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0" yWindow="0" windowWidth="16740" windowHeight="7020" tabRatio="811" firstSheet="1" activeTab="1"/>
  </bookViews>
  <sheets>
    <sheet name="非表示_リスト(計画・実績報告)" sheetId="50" state="hidden" r:id="rId1"/>
    <sheet name="A.貼付_2025提出" sheetId="52" r:id="rId2"/>
    <sheet name="A.貼付_2026提出" sheetId="53" state="hidden" r:id="rId3"/>
    <sheet name="A.貼付_2027提出" sheetId="54" state="hidden" r:id="rId4"/>
    <sheet name="A.貼付_2028提出" sheetId="55" state="hidden" r:id="rId5"/>
    <sheet name="結果1面" sheetId="45" r:id="rId6"/>
    <sheet name="結果2面" sheetId="28" r:id="rId7"/>
    <sheet name="結果3面" sheetId="44" r:id="rId8"/>
    <sheet name="結果4面" sheetId="22" r:id="rId9"/>
    <sheet name="結果5面" sheetId="36" r:id="rId10"/>
    <sheet name="結果6面" sheetId="46" r:id="rId11"/>
    <sheet name="結果7面個別票" sheetId="41" r:id="rId12"/>
    <sheet name="結果8面個別票" sheetId="35" r:id="rId13"/>
    <sheet name="参考2_エネ使用量経年" sheetId="59" r:id="rId14"/>
    <sheet name="参考3_排出量経年" sheetId="60" r:id="rId15"/>
  </sheets>
  <definedNames>
    <definedName name="_xlnm._FilterDatabase" localSheetId="10" hidden="1">結果6面!$B$31:$F$2159</definedName>
    <definedName name="_xlnm._FilterDatabase" localSheetId="13" hidden="1">参考2_エネ使用量経年!#REF!</definedName>
    <definedName name="_xlnm._FilterDatabase" localSheetId="14"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結果1面!$A$1:$Y$40</definedName>
    <definedName name="_xlnm.Print_Area" localSheetId="6">結果2面!$A$1:$V$35</definedName>
    <definedName name="_xlnm.Print_Area" localSheetId="7">結果3面!$A$1:$V$30</definedName>
    <definedName name="_xlnm.Print_Area" localSheetId="8">結果4面!$A$1:$Q$20</definedName>
    <definedName name="_xlnm.Print_Area" localSheetId="9">結果5面!$A$1:$Q$8</definedName>
    <definedName name="_xlnm.Print_Area" localSheetId="10">結果6面!$A$1:$N$27</definedName>
    <definedName name="_xlnm.Print_Area" localSheetId="11">結果7面個別票!$A$1:$Y$24</definedName>
    <definedName name="_xlnm.Print_Area" localSheetId="12">結果8面個別票!$A$1:$T$41</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L18" i="41" l="1"/>
  <c r="L23" i="41" s="1"/>
  <c r="G18" i="41"/>
  <c r="G23" i="41" s="1"/>
  <c r="U16" i="41"/>
  <c r="U21" i="41" s="1"/>
  <c r="Q16" i="41"/>
  <c r="Q21" i="41" s="1"/>
  <c r="L16" i="41"/>
  <c r="L21" i="41" s="1"/>
  <c r="AA405" i="59" l="1"/>
  <c r="Z405" i="59"/>
  <c r="Y405" i="59"/>
  <c r="X405" i="59"/>
  <c r="S405" i="59"/>
  <c r="R405" i="59"/>
  <c r="Q405" i="59"/>
  <c r="P405" i="59"/>
  <c r="AA404" i="59"/>
  <c r="Z404" i="59"/>
  <c r="Y404" i="59"/>
  <c r="X404" i="59"/>
  <c r="S404" i="59"/>
  <c r="R404" i="59"/>
  <c r="Q404" i="59"/>
  <c r="P404" i="59"/>
  <c r="AA403" i="59"/>
  <c r="Z403" i="59"/>
  <c r="Y403" i="59"/>
  <c r="X403" i="59"/>
  <c r="S403" i="59"/>
  <c r="R403" i="59"/>
  <c r="Q403" i="59"/>
  <c r="P403" i="59"/>
  <c r="AA402" i="59"/>
  <c r="Z402" i="59"/>
  <c r="Y402" i="59"/>
  <c r="X402" i="59"/>
  <c r="S402" i="59"/>
  <c r="R402" i="59"/>
  <c r="Q402" i="59"/>
  <c r="P402" i="59"/>
  <c r="AA401" i="59"/>
  <c r="Z401" i="59"/>
  <c r="Y401" i="59"/>
  <c r="X401" i="59"/>
  <c r="S401" i="59"/>
  <c r="R401" i="59"/>
  <c r="Q401" i="59"/>
  <c r="P401" i="59"/>
  <c r="AA400" i="59"/>
  <c r="Z400" i="59"/>
  <c r="Y400" i="59"/>
  <c r="X400" i="59"/>
  <c r="S400" i="59"/>
  <c r="R400" i="59"/>
  <c r="Q400" i="59"/>
  <c r="P400" i="59"/>
  <c r="AA399" i="59"/>
  <c r="Z399" i="59"/>
  <c r="Y399" i="59"/>
  <c r="X399" i="59"/>
  <c r="S399" i="59"/>
  <c r="R399" i="59"/>
  <c r="Q399" i="59"/>
  <c r="P399" i="59"/>
  <c r="AA398" i="59"/>
  <c r="Z398" i="59"/>
  <c r="Y398" i="59"/>
  <c r="X398" i="59"/>
  <c r="S398" i="59"/>
  <c r="R398" i="59"/>
  <c r="Q398" i="59"/>
  <c r="P398" i="59"/>
  <c r="AA397" i="59"/>
  <c r="Z397" i="59"/>
  <c r="Y397" i="59"/>
  <c r="X397" i="59"/>
  <c r="S397" i="59"/>
  <c r="R397" i="59"/>
  <c r="Q397" i="59"/>
  <c r="P397" i="59"/>
  <c r="AA396" i="59"/>
  <c r="Z396" i="59"/>
  <c r="Y396" i="59"/>
  <c r="X396" i="59"/>
  <c r="S396" i="59"/>
  <c r="R396" i="59"/>
  <c r="Q396" i="59"/>
  <c r="P396" i="59"/>
  <c r="AA395" i="59"/>
  <c r="Z395" i="59"/>
  <c r="Y395" i="59"/>
  <c r="X395" i="59"/>
  <c r="S395" i="59"/>
  <c r="R395" i="59"/>
  <c r="Q395" i="59"/>
  <c r="P395" i="59"/>
  <c r="AA337" i="59"/>
  <c r="Z337" i="59"/>
  <c r="Y337" i="59"/>
  <c r="X337" i="59"/>
  <c r="S337" i="59"/>
  <c r="R337" i="59"/>
  <c r="Q337" i="59"/>
  <c r="P337" i="59"/>
  <c r="AA336" i="59"/>
  <c r="Z336" i="59"/>
  <c r="Y336" i="59"/>
  <c r="X336" i="59"/>
  <c r="S336" i="59"/>
  <c r="R336" i="59"/>
  <c r="Q336" i="59"/>
  <c r="P336" i="59"/>
  <c r="AA335" i="59"/>
  <c r="Z335" i="59"/>
  <c r="Y335" i="59"/>
  <c r="X335" i="59"/>
  <c r="S335" i="59"/>
  <c r="R335" i="59"/>
  <c r="Q335" i="59"/>
  <c r="P335" i="59"/>
  <c r="AA334" i="59"/>
  <c r="Z334" i="59"/>
  <c r="Y334" i="59"/>
  <c r="X334" i="59"/>
  <c r="S334" i="59"/>
  <c r="R334" i="59"/>
  <c r="Q334" i="59"/>
  <c r="P334" i="59"/>
  <c r="AA332" i="59"/>
  <c r="Z332" i="59"/>
  <c r="Y332" i="59"/>
  <c r="X332" i="59"/>
  <c r="S332" i="59"/>
  <c r="R332" i="59"/>
  <c r="Q332" i="59"/>
  <c r="P332" i="59"/>
  <c r="AA330" i="59"/>
  <c r="Z330" i="59"/>
  <c r="Y330" i="59"/>
  <c r="X330" i="59"/>
  <c r="S330" i="59"/>
  <c r="R330" i="59"/>
  <c r="Q330" i="59"/>
  <c r="P330" i="59"/>
  <c r="AA328" i="59"/>
  <c r="Z328" i="59"/>
  <c r="Y328" i="59"/>
  <c r="X328" i="59"/>
  <c r="S328" i="59"/>
  <c r="R328" i="59"/>
  <c r="Q328" i="59"/>
  <c r="P328" i="59"/>
  <c r="AA326" i="59"/>
  <c r="Z326" i="59"/>
  <c r="Y326" i="59"/>
  <c r="X326" i="59"/>
  <c r="S326" i="59"/>
  <c r="R326" i="59"/>
  <c r="Q326" i="59"/>
  <c r="P326" i="59"/>
  <c r="AA324" i="59"/>
  <c r="Z324" i="59"/>
  <c r="Y324" i="59"/>
  <c r="X324" i="59"/>
  <c r="S324" i="59"/>
  <c r="R324" i="59"/>
  <c r="Q324" i="59"/>
  <c r="P324" i="59"/>
  <c r="AA322" i="59"/>
  <c r="Z322" i="59"/>
  <c r="Y322" i="59"/>
  <c r="X322" i="59"/>
  <c r="S322" i="59"/>
  <c r="R322" i="59"/>
  <c r="Q322" i="59"/>
  <c r="P322" i="59"/>
  <c r="AA316" i="59"/>
  <c r="Z316" i="59"/>
  <c r="Y316" i="59"/>
  <c r="X316" i="59"/>
  <c r="S316" i="59"/>
  <c r="R316" i="59"/>
  <c r="Q316" i="59"/>
  <c r="P316" i="59"/>
  <c r="AA315" i="59"/>
  <c r="Z315" i="59"/>
  <c r="Y315" i="59"/>
  <c r="X315" i="59"/>
  <c r="S315" i="59"/>
  <c r="R315" i="59"/>
  <c r="Q315" i="59"/>
  <c r="P315" i="59"/>
  <c r="AA314" i="59"/>
  <c r="Z314" i="59"/>
  <c r="Y314" i="59"/>
  <c r="X314" i="59"/>
  <c r="S314" i="59"/>
  <c r="R314" i="59"/>
  <c r="Q314" i="59"/>
  <c r="P314" i="59"/>
  <c r="AA313" i="59"/>
  <c r="Z313" i="59"/>
  <c r="Y313" i="59"/>
  <c r="X313" i="59"/>
  <c r="S313" i="59"/>
  <c r="R313" i="59"/>
  <c r="Q313" i="59"/>
  <c r="P313" i="59"/>
  <c r="AA312" i="59"/>
  <c r="Z312" i="59"/>
  <c r="Y312" i="59"/>
  <c r="X312" i="59"/>
  <c r="S312" i="59"/>
  <c r="R312" i="59"/>
  <c r="Q312" i="59"/>
  <c r="P312" i="59"/>
  <c r="AA311" i="59"/>
  <c r="Z311" i="59"/>
  <c r="Y311" i="59"/>
  <c r="X311" i="59"/>
  <c r="S311" i="59"/>
  <c r="R311" i="59"/>
  <c r="Q311" i="59"/>
  <c r="P311" i="59"/>
  <c r="AA310" i="59"/>
  <c r="Z310" i="59"/>
  <c r="Y310" i="59"/>
  <c r="X310" i="59"/>
  <c r="S310" i="59"/>
  <c r="R310" i="59"/>
  <c r="Q310" i="59"/>
  <c r="P310" i="59"/>
  <c r="AA309" i="59"/>
  <c r="Z309" i="59"/>
  <c r="Y309" i="59"/>
  <c r="X309" i="59"/>
  <c r="S309" i="59"/>
  <c r="R309" i="59"/>
  <c r="Q309" i="59"/>
  <c r="P309" i="59"/>
  <c r="AA308" i="59"/>
  <c r="Z308" i="59"/>
  <c r="Y308" i="59"/>
  <c r="X308" i="59"/>
  <c r="S308" i="59"/>
  <c r="R308" i="59"/>
  <c r="Q308" i="59"/>
  <c r="P308" i="59"/>
  <c r="AA307" i="59"/>
  <c r="Z307" i="59"/>
  <c r="Y307" i="59"/>
  <c r="X307" i="59"/>
  <c r="S307" i="59"/>
  <c r="R307" i="59"/>
  <c r="Q307" i="59"/>
  <c r="P307" i="59"/>
  <c r="AA306" i="59"/>
  <c r="Z306" i="59"/>
  <c r="Y306" i="59"/>
  <c r="X306" i="59"/>
  <c r="S306" i="59"/>
  <c r="R306" i="59"/>
  <c r="Q306" i="59"/>
  <c r="P306" i="59"/>
  <c r="AA305" i="59"/>
  <c r="Z305" i="59"/>
  <c r="Y305" i="59"/>
  <c r="X305" i="59"/>
  <c r="S305" i="59"/>
  <c r="R305" i="59"/>
  <c r="Q305" i="59"/>
  <c r="P305" i="59"/>
  <c r="AA304" i="59"/>
  <c r="Z304" i="59"/>
  <c r="Y304" i="59"/>
  <c r="X304" i="59"/>
  <c r="S304" i="59"/>
  <c r="R304" i="59"/>
  <c r="Q304" i="59"/>
  <c r="P304" i="59"/>
  <c r="AA303" i="59"/>
  <c r="Z303" i="59"/>
  <c r="Y303" i="59"/>
  <c r="X303" i="59"/>
  <c r="S303" i="59"/>
  <c r="R303" i="59"/>
  <c r="Q303" i="59"/>
  <c r="P303" i="59"/>
  <c r="AA302" i="59"/>
  <c r="Z302" i="59"/>
  <c r="Y302" i="59"/>
  <c r="X302" i="59"/>
  <c r="S302" i="59"/>
  <c r="R302" i="59"/>
  <c r="Q302" i="59"/>
  <c r="P302" i="59"/>
  <c r="AA301" i="59"/>
  <c r="Z301" i="59"/>
  <c r="Y301" i="59"/>
  <c r="X301" i="59"/>
  <c r="S301" i="59"/>
  <c r="R301" i="59"/>
  <c r="Q301" i="59"/>
  <c r="P301" i="59"/>
  <c r="AA300" i="59"/>
  <c r="Z300" i="59"/>
  <c r="Y300" i="59"/>
  <c r="X300" i="59"/>
  <c r="S300" i="59"/>
  <c r="R300" i="59"/>
  <c r="Q300" i="59"/>
  <c r="P300" i="59"/>
  <c r="AA299" i="59"/>
  <c r="Z299" i="59"/>
  <c r="Y299" i="59"/>
  <c r="X299" i="59"/>
  <c r="S299" i="59"/>
  <c r="R299" i="59"/>
  <c r="Q299" i="59"/>
  <c r="P299" i="59"/>
  <c r="AA298" i="59"/>
  <c r="Z298" i="59"/>
  <c r="Y298" i="59"/>
  <c r="X298" i="59"/>
  <c r="S298" i="59"/>
  <c r="R298" i="59"/>
  <c r="Q298" i="59"/>
  <c r="P298" i="59"/>
  <c r="AA297" i="59"/>
  <c r="Z297" i="59"/>
  <c r="Y297" i="59"/>
  <c r="X297" i="59"/>
  <c r="S297" i="59"/>
  <c r="R297" i="59"/>
  <c r="Q297" i="59"/>
  <c r="P297" i="59"/>
  <c r="AA296" i="59"/>
  <c r="Z296" i="59"/>
  <c r="Y296" i="59"/>
  <c r="X296" i="59"/>
  <c r="S296" i="59"/>
  <c r="R296" i="59"/>
  <c r="Q296" i="59"/>
  <c r="P296" i="59"/>
  <c r="AA295" i="59"/>
  <c r="Z295" i="59"/>
  <c r="Y295" i="59"/>
  <c r="X295" i="59"/>
  <c r="S295" i="59"/>
  <c r="R295" i="59"/>
  <c r="Q295" i="59"/>
  <c r="P295" i="59"/>
  <c r="AA294" i="59"/>
  <c r="Z294" i="59"/>
  <c r="Y294" i="59"/>
  <c r="X294" i="59"/>
  <c r="S294" i="59"/>
  <c r="R294" i="59"/>
  <c r="Q294" i="59"/>
  <c r="P294" i="59"/>
  <c r="AA293" i="59"/>
  <c r="Z293" i="59"/>
  <c r="Y293" i="59"/>
  <c r="X293" i="59"/>
  <c r="S293" i="59"/>
  <c r="R293" i="59"/>
  <c r="Q293" i="59"/>
  <c r="P293" i="59"/>
  <c r="AA292" i="59"/>
  <c r="Z292" i="59"/>
  <c r="Y292" i="59"/>
  <c r="X292" i="59"/>
  <c r="S292" i="59"/>
  <c r="R292" i="59"/>
  <c r="Q292" i="59"/>
  <c r="P292" i="59"/>
  <c r="AA291" i="59"/>
  <c r="Z291" i="59"/>
  <c r="Y291" i="59"/>
  <c r="X291" i="59"/>
  <c r="S291" i="59"/>
  <c r="R291" i="59"/>
  <c r="Q291" i="59"/>
  <c r="P291" i="59"/>
  <c r="AA290" i="59"/>
  <c r="Z290" i="59"/>
  <c r="Y290" i="59"/>
  <c r="X290" i="59"/>
  <c r="S290" i="59"/>
  <c r="R290" i="59"/>
  <c r="Q290" i="59"/>
  <c r="P290" i="59"/>
  <c r="AA289" i="59"/>
  <c r="Z289" i="59"/>
  <c r="Y289" i="59"/>
  <c r="X289" i="59"/>
  <c r="S289" i="59"/>
  <c r="R289" i="59"/>
  <c r="Q289" i="59"/>
  <c r="P289" i="59"/>
  <c r="AA288" i="59"/>
  <c r="Z288" i="59"/>
  <c r="Y288" i="59"/>
  <c r="X288" i="59"/>
  <c r="S288" i="59"/>
  <c r="R288" i="59"/>
  <c r="Q288" i="59"/>
  <c r="P288" i="59"/>
  <c r="AA287" i="59"/>
  <c r="Z287" i="59"/>
  <c r="Y287" i="59"/>
  <c r="X287" i="59"/>
  <c r="S287" i="59"/>
  <c r="R287" i="59"/>
  <c r="Q287" i="59"/>
  <c r="P287" i="59"/>
  <c r="AA286" i="59"/>
  <c r="Z286" i="59"/>
  <c r="Y286" i="59"/>
  <c r="X286" i="59"/>
  <c r="S286" i="59"/>
  <c r="R286" i="59"/>
  <c r="Q286" i="59"/>
  <c r="P286" i="59"/>
  <c r="AA285" i="59"/>
  <c r="Z285" i="59"/>
  <c r="Y285" i="59"/>
  <c r="X285" i="59"/>
  <c r="S285" i="59"/>
  <c r="R285" i="59"/>
  <c r="Q285" i="59"/>
  <c r="P285" i="59"/>
  <c r="K285" i="59"/>
  <c r="J285" i="59"/>
  <c r="I285" i="59"/>
  <c r="H285" i="59"/>
  <c r="AA284" i="59"/>
  <c r="Z284" i="59"/>
  <c r="Y284" i="59"/>
  <c r="X284" i="59"/>
  <c r="S284" i="59"/>
  <c r="R284" i="59"/>
  <c r="Q284" i="59"/>
  <c r="P284" i="59"/>
  <c r="AA283" i="59"/>
  <c r="Z283" i="59"/>
  <c r="Y283" i="59"/>
  <c r="X283" i="59"/>
  <c r="S283" i="59"/>
  <c r="R283" i="59"/>
  <c r="Q283" i="59"/>
  <c r="P283" i="59"/>
  <c r="AA282" i="59"/>
  <c r="Z282" i="59"/>
  <c r="Y282" i="59"/>
  <c r="X282" i="59"/>
  <c r="S282" i="59"/>
  <c r="R282" i="59"/>
  <c r="Q282" i="59"/>
  <c r="P282" i="59"/>
  <c r="AA281" i="59"/>
  <c r="Z281" i="59"/>
  <c r="Y281" i="59"/>
  <c r="X281" i="59"/>
  <c r="S281" i="59"/>
  <c r="R281" i="59"/>
  <c r="Q281" i="59"/>
  <c r="P281" i="59"/>
  <c r="AA280" i="59"/>
  <c r="Z280" i="59"/>
  <c r="Y280" i="59"/>
  <c r="X280" i="59"/>
  <c r="S280" i="59"/>
  <c r="R280" i="59"/>
  <c r="Q280" i="59"/>
  <c r="P280" i="59"/>
  <c r="AA279" i="59"/>
  <c r="Z279" i="59"/>
  <c r="Y279" i="59"/>
  <c r="X279" i="59"/>
  <c r="S279" i="59"/>
  <c r="R279" i="59"/>
  <c r="Q279" i="59"/>
  <c r="P279" i="59"/>
  <c r="AA278" i="59"/>
  <c r="Z278" i="59"/>
  <c r="Y278" i="59"/>
  <c r="X278" i="59"/>
  <c r="S278" i="59"/>
  <c r="R278" i="59"/>
  <c r="Q278" i="59"/>
  <c r="P278" i="59"/>
  <c r="AA277" i="59"/>
  <c r="Z277" i="59"/>
  <c r="Y277" i="59"/>
  <c r="X277" i="59"/>
  <c r="S277" i="59"/>
  <c r="R277" i="59"/>
  <c r="Q277" i="59"/>
  <c r="P277" i="59"/>
  <c r="AA276" i="59"/>
  <c r="Z276" i="59"/>
  <c r="Y276" i="59"/>
  <c r="X276" i="59"/>
  <c r="S276" i="59"/>
  <c r="R276" i="59"/>
  <c r="Q276" i="59"/>
  <c r="P276" i="59"/>
  <c r="AA275" i="59"/>
  <c r="Z275" i="59"/>
  <c r="Y275" i="59"/>
  <c r="X275" i="59"/>
  <c r="S275" i="59"/>
  <c r="R275" i="59"/>
  <c r="Q275" i="59"/>
  <c r="P275" i="59"/>
  <c r="AA274" i="59"/>
  <c r="Z274" i="59"/>
  <c r="Y274" i="59"/>
  <c r="X274" i="59"/>
  <c r="S274" i="59"/>
  <c r="R274" i="59"/>
  <c r="Q274" i="59"/>
  <c r="P274" i="59"/>
  <c r="AA273" i="59"/>
  <c r="Z273" i="59"/>
  <c r="Y273" i="59"/>
  <c r="X273" i="59"/>
  <c r="S273" i="59"/>
  <c r="R273" i="59"/>
  <c r="Q273" i="59"/>
  <c r="P273" i="59"/>
  <c r="AA272" i="59"/>
  <c r="Z272" i="59"/>
  <c r="Y272" i="59"/>
  <c r="X272" i="59"/>
  <c r="S272" i="59"/>
  <c r="R272" i="59"/>
  <c r="Q272" i="59"/>
  <c r="P272" i="59"/>
  <c r="AA271" i="59"/>
  <c r="Z271" i="59"/>
  <c r="Y271" i="59"/>
  <c r="X271" i="59"/>
  <c r="S271" i="59"/>
  <c r="R271" i="59"/>
  <c r="Q271" i="59"/>
  <c r="P271" i="59"/>
  <c r="AA270" i="59"/>
  <c r="Z270" i="59"/>
  <c r="Y270" i="59"/>
  <c r="X270" i="59"/>
  <c r="S270" i="59"/>
  <c r="R270" i="59"/>
  <c r="Q270" i="59"/>
  <c r="P270" i="59"/>
  <c r="AA269" i="59"/>
  <c r="Z269" i="59"/>
  <c r="Y269" i="59"/>
  <c r="X269" i="59"/>
  <c r="S269" i="59"/>
  <c r="R269" i="59"/>
  <c r="Q269" i="59"/>
  <c r="P269" i="59"/>
  <c r="AA268" i="59"/>
  <c r="Z268" i="59"/>
  <c r="Y268" i="59"/>
  <c r="X268" i="59"/>
  <c r="S268" i="59"/>
  <c r="R268" i="59"/>
  <c r="Q268" i="59"/>
  <c r="P268" i="59"/>
  <c r="AA267" i="59"/>
  <c r="Z267" i="59"/>
  <c r="Y267" i="59"/>
  <c r="X267" i="59"/>
  <c r="S267" i="59"/>
  <c r="R267" i="59"/>
  <c r="Q267" i="59"/>
  <c r="P267" i="59"/>
  <c r="AA266" i="59"/>
  <c r="Z266" i="59"/>
  <c r="Y266" i="59"/>
  <c r="X266" i="59"/>
  <c r="S266" i="59"/>
  <c r="R266" i="59"/>
  <c r="Q266" i="59"/>
  <c r="P266" i="59"/>
  <c r="AA265" i="59"/>
  <c r="Z265" i="59"/>
  <c r="Y265" i="59"/>
  <c r="X265" i="59"/>
  <c r="S265" i="59"/>
  <c r="R265" i="59"/>
  <c r="Q265" i="59"/>
  <c r="P265" i="59"/>
  <c r="AA264" i="59"/>
  <c r="Z264" i="59"/>
  <c r="Y264" i="59"/>
  <c r="X264" i="59"/>
  <c r="S264" i="59"/>
  <c r="R264" i="59"/>
  <c r="Q264" i="59"/>
  <c r="P264" i="59"/>
  <c r="AA263" i="59"/>
  <c r="Z263" i="59"/>
  <c r="Y263" i="59"/>
  <c r="X263" i="59"/>
  <c r="S263" i="59"/>
  <c r="R263" i="59"/>
  <c r="Q263" i="59"/>
  <c r="P263" i="59"/>
  <c r="AA262" i="59"/>
  <c r="Z262" i="59"/>
  <c r="Y262" i="59"/>
  <c r="X262" i="59"/>
  <c r="S262" i="59"/>
  <c r="R262" i="59"/>
  <c r="Q262" i="59"/>
  <c r="P262" i="59"/>
  <c r="AA261" i="59"/>
  <c r="Z261" i="59"/>
  <c r="Y261" i="59"/>
  <c r="X261" i="59"/>
  <c r="S261" i="59"/>
  <c r="R261" i="59"/>
  <c r="Q261" i="59"/>
  <c r="P261" i="59"/>
  <c r="AA260" i="59"/>
  <c r="Z260" i="59"/>
  <c r="Y260" i="59"/>
  <c r="X260" i="59"/>
  <c r="S260" i="59"/>
  <c r="R260" i="59"/>
  <c r="Q260" i="59"/>
  <c r="P260" i="59"/>
  <c r="AA259" i="59"/>
  <c r="Z259" i="59"/>
  <c r="Y259" i="59"/>
  <c r="X259" i="59"/>
  <c r="S259" i="59"/>
  <c r="R259" i="59"/>
  <c r="Q259" i="59"/>
  <c r="P259" i="59"/>
  <c r="AA258" i="59"/>
  <c r="Z258" i="59"/>
  <c r="Y258" i="59"/>
  <c r="X258" i="59"/>
  <c r="S258" i="59"/>
  <c r="R258" i="59"/>
  <c r="Q258" i="59"/>
  <c r="P258" i="59"/>
  <c r="AA218" i="59"/>
  <c r="Z218" i="59"/>
  <c r="Y218" i="59"/>
  <c r="X218" i="59"/>
  <c r="S218" i="59"/>
  <c r="R218" i="59"/>
  <c r="Q218" i="59"/>
  <c r="P218" i="59"/>
  <c r="AA217" i="59"/>
  <c r="Z217" i="59"/>
  <c r="Y217" i="59"/>
  <c r="X217" i="59"/>
  <c r="S217" i="59"/>
  <c r="R217" i="59"/>
  <c r="Q217" i="59"/>
  <c r="P217" i="59"/>
  <c r="AA216" i="59"/>
  <c r="Z216" i="59"/>
  <c r="Y216" i="59"/>
  <c r="X216" i="59"/>
  <c r="S216" i="59"/>
  <c r="R216" i="59"/>
  <c r="Q216" i="59"/>
  <c r="P216" i="59"/>
  <c r="AA215" i="59"/>
  <c r="Z215" i="59"/>
  <c r="Y215" i="59"/>
  <c r="X215" i="59"/>
  <c r="S215" i="59"/>
  <c r="R215" i="59"/>
  <c r="Q215" i="59"/>
  <c r="P215" i="59"/>
  <c r="AA214" i="59"/>
  <c r="Z214" i="59"/>
  <c r="Y214" i="59"/>
  <c r="X214" i="59"/>
  <c r="S214" i="59"/>
  <c r="R214" i="59"/>
  <c r="Q214" i="59"/>
  <c r="P214" i="59"/>
  <c r="AA213" i="59"/>
  <c r="Z213" i="59"/>
  <c r="Y213" i="59"/>
  <c r="X213" i="59"/>
  <c r="S213" i="59"/>
  <c r="R213" i="59"/>
  <c r="Q213" i="59"/>
  <c r="P213" i="59"/>
  <c r="AA212" i="59"/>
  <c r="Z212" i="59"/>
  <c r="Y212" i="59"/>
  <c r="X212" i="59"/>
  <c r="S212" i="59"/>
  <c r="R212" i="59"/>
  <c r="Q212" i="59"/>
  <c r="P212" i="59"/>
  <c r="AA211" i="59"/>
  <c r="Z211" i="59"/>
  <c r="Y211" i="59"/>
  <c r="X211" i="59"/>
  <c r="S211" i="59"/>
  <c r="R211" i="59"/>
  <c r="Q211" i="59"/>
  <c r="P211" i="59"/>
  <c r="AA210" i="59"/>
  <c r="Z210" i="59"/>
  <c r="Y210" i="59"/>
  <c r="X210" i="59"/>
  <c r="S210" i="59"/>
  <c r="R210" i="59"/>
  <c r="Q210" i="59"/>
  <c r="P210" i="59"/>
  <c r="AA209" i="59"/>
  <c r="Z209" i="59"/>
  <c r="Y209" i="59"/>
  <c r="X209" i="59"/>
  <c r="S209" i="59"/>
  <c r="R209" i="59"/>
  <c r="Q209" i="59"/>
  <c r="P209" i="59"/>
  <c r="AA208" i="59"/>
  <c r="Z208" i="59"/>
  <c r="Y208" i="59"/>
  <c r="X208" i="59"/>
  <c r="S208" i="59"/>
  <c r="R208" i="59"/>
  <c r="Q208" i="59"/>
  <c r="P208" i="59"/>
  <c r="AA207" i="59"/>
  <c r="Z207" i="59"/>
  <c r="Y207" i="59"/>
  <c r="X207" i="59"/>
  <c r="S207" i="59"/>
  <c r="R207" i="59"/>
  <c r="Q207" i="59"/>
  <c r="P207" i="59"/>
  <c r="AA206" i="59"/>
  <c r="Z206" i="59"/>
  <c r="Y206" i="59"/>
  <c r="X206" i="59"/>
  <c r="S206" i="59"/>
  <c r="R206" i="59"/>
  <c r="Q206" i="59"/>
  <c r="P206" i="59"/>
  <c r="AA205" i="59"/>
  <c r="Z205" i="59"/>
  <c r="Y205" i="59"/>
  <c r="X205" i="59"/>
  <c r="S205" i="59"/>
  <c r="R205" i="59"/>
  <c r="Q205" i="59"/>
  <c r="P205" i="59"/>
  <c r="AA204" i="59"/>
  <c r="Z204" i="59"/>
  <c r="Y204" i="59"/>
  <c r="X204" i="59"/>
  <c r="S204" i="59"/>
  <c r="R204" i="59"/>
  <c r="Q204" i="59"/>
  <c r="P204" i="59"/>
  <c r="AA203" i="59"/>
  <c r="Z203" i="59"/>
  <c r="Y203" i="59"/>
  <c r="X203" i="59"/>
  <c r="S203" i="59"/>
  <c r="R203" i="59"/>
  <c r="Q203" i="59"/>
  <c r="P203" i="59"/>
  <c r="AA202" i="59"/>
  <c r="Z202" i="59"/>
  <c r="Y202" i="59"/>
  <c r="X202" i="59"/>
  <c r="S202" i="59"/>
  <c r="R202" i="59"/>
  <c r="Q202" i="59"/>
  <c r="P202" i="59"/>
  <c r="AA201" i="59"/>
  <c r="Z201" i="59"/>
  <c r="Y201" i="59"/>
  <c r="X201" i="59"/>
  <c r="S201" i="59"/>
  <c r="R201" i="59"/>
  <c r="Q201" i="59"/>
  <c r="P201" i="59"/>
  <c r="AA200" i="59"/>
  <c r="Z200" i="59"/>
  <c r="Y200" i="59"/>
  <c r="X200" i="59"/>
  <c r="S200" i="59"/>
  <c r="R200" i="59"/>
  <c r="Q200" i="59"/>
  <c r="P200" i="59"/>
  <c r="AA199" i="59"/>
  <c r="Z199" i="59"/>
  <c r="Y199" i="59"/>
  <c r="X199" i="59"/>
  <c r="S199" i="59"/>
  <c r="R199" i="59"/>
  <c r="Q199" i="59"/>
  <c r="P199" i="59"/>
  <c r="AA198" i="59"/>
  <c r="Z198" i="59"/>
  <c r="Y198" i="59"/>
  <c r="X198" i="59"/>
  <c r="S198" i="59"/>
  <c r="R198" i="59"/>
  <c r="Q198" i="59"/>
  <c r="P198" i="59"/>
  <c r="K198" i="59"/>
  <c r="J198" i="59"/>
  <c r="I198" i="59"/>
  <c r="H198" i="59"/>
  <c r="AA197" i="59"/>
  <c r="Z197" i="59"/>
  <c r="Y197" i="59"/>
  <c r="X197" i="59"/>
  <c r="S197" i="59"/>
  <c r="R197" i="59"/>
  <c r="Q197" i="59"/>
  <c r="P197" i="59"/>
  <c r="AA196" i="59"/>
  <c r="Z196" i="59"/>
  <c r="Y196" i="59"/>
  <c r="X196" i="59"/>
  <c r="S196" i="59"/>
  <c r="R196" i="59"/>
  <c r="Q196" i="59"/>
  <c r="P196" i="59"/>
  <c r="AA195" i="59"/>
  <c r="Z195" i="59"/>
  <c r="Y195" i="59"/>
  <c r="X195" i="59"/>
  <c r="S195" i="59"/>
  <c r="R195" i="59"/>
  <c r="Q195" i="59"/>
  <c r="P195" i="59"/>
  <c r="AA194" i="59"/>
  <c r="Z194" i="59"/>
  <c r="Y194" i="59"/>
  <c r="X194" i="59"/>
  <c r="S194" i="59"/>
  <c r="R194" i="59"/>
  <c r="Q194" i="59"/>
  <c r="P194" i="59"/>
  <c r="AA193" i="59"/>
  <c r="Z193" i="59"/>
  <c r="Y193" i="59"/>
  <c r="X193" i="59"/>
  <c r="S193" i="59"/>
  <c r="R193" i="59"/>
  <c r="Q193" i="59"/>
  <c r="P193" i="59"/>
  <c r="AA192" i="59"/>
  <c r="Z192" i="59"/>
  <c r="Y192" i="59"/>
  <c r="X192" i="59"/>
  <c r="S192" i="59"/>
  <c r="R192" i="59"/>
  <c r="Q192" i="59"/>
  <c r="P192" i="59"/>
  <c r="AA191" i="59"/>
  <c r="Z191" i="59"/>
  <c r="Y191" i="59"/>
  <c r="X191" i="59"/>
  <c r="S191" i="59"/>
  <c r="R191" i="59"/>
  <c r="Q191" i="59"/>
  <c r="P191" i="59"/>
  <c r="AA190" i="59"/>
  <c r="Z190" i="59"/>
  <c r="Y190" i="59"/>
  <c r="X190" i="59"/>
  <c r="S190" i="59"/>
  <c r="R190" i="59"/>
  <c r="Q190" i="59"/>
  <c r="P190" i="59"/>
  <c r="AA189" i="59"/>
  <c r="Z189" i="59"/>
  <c r="Y189" i="59"/>
  <c r="X189" i="59"/>
  <c r="S189" i="59"/>
  <c r="R189" i="59"/>
  <c r="Q189" i="59"/>
  <c r="P189" i="59"/>
  <c r="AA188" i="59"/>
  <c r="Z188" i="59"/>
  <c r="Y188" i="59"/>
  <c r="X188" i="59"/>
  <c r="S188" i="59"/>
  <c r="R188" i="59"/>
  <c r="Q188" i="59"/>
  <c r="P188" i="59"/>
  <c r="AA187" i="59"/>
  <c r="Z187" i="59"/>
  <c r="Y187" i="59"/>
  <c r="X187" i="59"/>
  <c r="S187" i="59"/>
  <c r="R187" i="59"/>
  <c r="Q187" i="59"/>
  <c r="P187" i="59"/>
  <c r="AA186" i="59"/>
  <c r="Z186" i="59"/>
  <c r="Y186" i="59"/>
  <c r="X186" i="59"/>
  <c r="S186" i="59"/>
  <c r="R186" i="59"/>
  <c r="Q186" i="59"/>
  <c r="P186" i="59"/>
  <c r="AA185" i="59"/>
  <c r="Z185" i="59"/>
  <c r="Y185" i="59"/>
  <c r="X185" i="59"/>
  <c r="S185" i="59"/>
  <c r="R185" i="59"/>
  <c r="Q185" i="59"/>
  <c r="P185" i="59"/>
  <c r="AA184" i="59"/>
  <c r="Z184" i="59"/>
  <c r="Y184" i="59"/>
  <c r="X184" i="59"/>
  <c r="S184" i="59"/>
  <c r="R184" i="59"/>
  <c r="Q184" i="59"/>
  <c r="P184" i="59"/>
  <c r="AA183" i="59"/>
  <c r="Z183" i="59"/>
  <c r="Y183" i="59"/>
  <c r="X183" i="59"/>
  <c r="S183" i="59"/>
  <c r="R183" i="59"/>
  <c r="Q183" i="59"/>
  <c r="P183" i="59"/>
  <c r="AA182" i="59"/>
  <c r="Z182" i="59"/>
  <c r="Y182" i="59"/>
  <c r="X182" i="59"/>
  <c r="S182" i="59"/>
  <c r="R182" i="59"/>
  <c r="Q182" i="59"/>
  <c r="P182" i="59"/>
  <c r="AA181" i="59"/>
  <c r="Z181" i="59"/>
  <c r="Y181" i="59"/>
  <c r="X181" i="59"/>
  <c r="S181" i="59"/>
  <c r="R181" i="59"/>
  <c r="Q181" i="59"/>
  <c r="P181" i="59"/>
  <c r="AA180" i="59"/>
  <c r="Z180" i="59"/>
  <c r="Y180" i="59"/>
  <c r="X180" i="59"/>
  <c r="S180" i="59"/>
  <c r="R180" i="59"/>
  <c r="Q180" i="59"/>
  <c r="P180" i="59"/>
  <c r="AA179" i="59"/>
  <c r="Z179" i="59"/>
  <c r="Y179" i="59"/>
  <c r="X179" i="59"/>
  <c r="S179" i="59"/>
  <c r="R179" i="59"/>
  <c r="Q179" i="59"/>
  <c r="P179" i="59"/>
  <c r="AA178" i="59"/>
  <c r="Z178" i="59"/>
  <c r="Y178" i="59"/>
  <c r="X178" i="59"/>
  <c r="S178" i="59"/>
  <c r="R178" i="59"/>
  <c r="Q178" i="59"/>
  <c r="P178" i="59"/>
  <c r="AA177" i="59"/>
  <c r="Z177" i="59"/>
  <c r="Y177" i="59"/>
  <c r="X177" i="59"/>
  <c r="S177" i="59"/>
  <c r="R177" i="59"/>
  <c r="Q177" i="59"/>
  <c r="P177" i="59"/>
  <c r="AA176" i="59"/>
  <c r="Z176" i="59"/>
  <c r="Y176" i="59"/>
  <c r="X176" i="59"/>
  <c r="S176" i="59"/>
  <c r="R176" i="59"/>
  <c r="Q176" i="59"/>
  <c r="P176" i="59"/>
  <c r="AA175" i="59"/>
  <c r="Z175" i="59"/>
  <c r="Y175" i="59"/>
  <c r="X175" i="59"/>
  <c r="S175" i="59"/>
  <c r="R175" i="59"/>
  <c r="Q175" i="59"/>
  <c r="P175" i="59"/>
  <c r="AA174" i="59"/>
  <c r="Z174" i="59"/>
  <c r="Y174" i="59"/>
  <c r="X174" i="59"/>
  <c r="S174" i="59"/>
  <c r="R174" i="59"/>
  <c r="Q174" i="59"/>
  <c r="P174" i="59"/>
  <c r="AA173" i="59"/>
  <c r="Z173" i="59"/>
  <c r="Y173" i="59"/>
  <c r="X173" i="59"/>
  <c r="S173" i="59"/>
  <c r="R173" i="59"/>
  <c r="Q173" i="59"/>
  <c r="P173" i="59"/>
  <c r="AA172" i="59"/>
  <c r="Z172" i="59"/>
  <c r="Y172" i="59"/>
  <c r="X172" i="59"/>
  <c r="S172" i="59"/>
  <c r="R172" i="59"/>
  <c r="Q172" i="59"/>
  <c r="P172" i="59"/>
  <c r="AA171" i="59"/>
  <c r="Z171" i="59"/>
  <c r="Y171" i="59"/>
  <c r="X171" i="59"/>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W104" i="59"/>
  <c r="V104" i="59"/>
  <c r="U104" i="59"/>
  <c r="T104" i="59"/>
  <c r="O104" i="59"/>
  <c r="N104" i="59"/>
  <c r="M104" i="59"/>
  <c r="L104" i="59"/>
  <c r="AA90" i="59"/>
  <c r="Z90" i="59"/>
  <c r="Y90" i="59"/>
  <c r="X90" i="59"/>
  <c r="S90" i="59"/>
  <c r="R90" i="59"/>
  <c r="Q90" i="59"/>
  <c r="P90" i="59"/>
  <c r="K90" i="59"/>
  <c r="K337" i="59" s="1"/>
  <c r="J90" i="59"/>
  <c r="J337" i="59" s="1"/>
  <c r="I90" i="59"/>
  <c r="I337" i="59" s="1"/>
  <c r="H90" i="59"/>
  <c r="H337" i="59" s="1"/>
  <c r="AA89" i="59"/>
  <c r="Z89" i="59"/>
  <c r="Y89" i="59"/>
  <c r="X89" i="59"/>
  <c r="S89" i="59"/>
  <c r="R89" i="59"/>
  <c r="Q89" i="59"/>
  <c r="P89" i="59"/>
  <c r="K89" i="59"/>
  <c r="K336" i="59" s="1"/>
  <c r="J89" i="59"/>
  <c r="J336" i="59" s="1"/>
  <c r="I89" i="59"/>
  <c r="I336" i="59" s="1"/>
  <c r="H89" i="59"/>
  <c r="H336" i="59" s="1"/>
  <c r="AA88" i="59"/>
  <c r="Z88" i="59"/>
  <c r="Y88" i="59"/>
  <c r="X88" i="59"/>
  <c r="S88" i="59"/>
  <c r="R88" i="59"/>
  <c r="Q88" i="59"/>
  <c r="P88" i="59"/>
  <c r="K88" i="59"/>
  <c r="K335" i="59" s="1"/>
  <c r="J88" i="59"/>
  <c r="J335" i="59" s="1"/>
  <c r="I88" i="59"/>
  <c r="I335" i="59" s="1"/>
  <c r="H88" i="59"/>
  <c r="H335" i="59" s="1"/>
  <c r="AA87" i="59"/>
  <c r="Z87" i="59"/>
  <c r="Y87" i="59"/>
  <c r="X87" i="59"/>
  <c r="S87" i="59"/>
  <c r="R87" i="59"/>
  <c r="Q87" i="59"/>
  <c r="P87" i="59"/>
  <c r="K87" i="59"/>
  <c r="K334" i="59" s="1"/>
  <c r="J87" i="59"/>
  <c r="J334" i="59" s="1"/>
  <c r="I87" i="59"/>
  <c r="I334" i="59" s="1"/>
  <c r="H87" i="59"/>
  <c r="H334" i="59" s="1"/>
  <c r="AA86" i="59"/>
  <c r="Z86" i="59"/>
  <c r="Y86" i="59"/>
  <c r="X86" i="59"/>
  <c r="S86" i="59"/>
  <c r="R86" i="59"/>
  <c r="Q86" i="59"/>
  <c r="P86" i="59"/>
  <c r="AA85" i="59"/>
  <c r="Z85" i="59"/>
  <c r="Y85" i="59"/>
  <c r="X85" i="59"/>
  <c r="S85" i="59"/>
  <c r="R85" i="59"/>
  <c r="Q85" i="59"/>
  <c r="P85" i="59"/>
  <c r="K85" i="59"/>
  <c r="K332" i="59" s="1"/>
  <c r="J85" i="59"/>
  <c r="J332" i="59" s="1"/>
  <c r="I85" i="59"/>
  <c r="I332" i="59" s="1"/>
  <c r="H85" i="59"/>
  <c r="H332" i="59" s="1"/>
  <c r="AA84" i="59"/>
  <c r="Z84" i="59"/>
  <c r="Y84" i="59"/>
  <c r="X84" i="59"/>
  <c r="S84" i="59"/>
  <c r="R84" i="59"/>
  <c r="Q84" i="59"/>
  <c r="P84" i="59"/>
  <c r="AA83" i="59"/>
  <c r="Z83" i="59"/>
  <c r="Y83" i="59"/>
  <c r="X83" i="59"/>
  <c r="S83" i="59"/>
  <c r="R83" i="59"/>
  <c r="Q83" i="59"/>
  <c r="P83" i="59"/>
  <c r="K83" i="59"/>
  <c r="K330" i="59" s="1"/>
  <c r="J83" i="59"/>
  <c r="J330" i="59" s="1"/>
  <c r="I83" i="59"/>
  <c r="I330" i="59" s="1"/>
  <c r="H83" i="59"/>
  <c r="H330" i="59" s="1"/>
  <c r="AA82" i="59"/>
  <c r="Z82" i="59"/>
  <c r="Y82" i="59"/>
  <c r="X82" i="59"/>
  <c r="S82" i="59"/>
  <c r="R82" i="59"/>
  <c r="Q82" i="59"/>
  <c r="P82" i="59"/>
  <c r="AA81" i="59"/>
  <c r="Z81" i="59"/>
  <c r="Y81" i="59"/>
  <c r="X81" i="59"/>
  <c r="S81" i="59"/>
  <c r="R81" i="59"/>
  <c r="Q81" i="59"/>
  <c r="P81" i="59"/>
  <c r="K81" i="59"/>
  <c r="K328" i="59" s="1"/>
  <c r="J81" i="59"/>
  <c r="J328" i="59" s="1"/>
  <c r="I81" i="59"/>
  <c r="I328" i="59" s="1"/>
  <c r="H81" i="59"/>
  <c r="H328" i="59" s="1"/>
  <c r="AA80" i="59"/>
  <c r="Z80" i="59"/>
  <c r="Y80" i="59"/>
  <c r="X80" i="59"/>
  <c r="S80" i="59"/>
  <c r="R80" i="59"/>
  <c r="Q80" i="59"/>
  <c r="P80" i="59"/>
  <c r="AA79" i="59"/>
  <c r="Z79" i="59"/>
  <c r="Y79" i="59"/>
  <c r="X79" i="59"/>
  <c r="S79" i="59"/>
  <c r="R79" i="59"/>
  <c r="Q79" i="59"/>
  <c r="P79" i="59"/>
  <c r="K79" i="59"/>
  <c r="K326" i="59" s="1"/>
  <c r="J79" i="59"/>
  <c r="J326" i="59" s="1"/>
  <c r="I79" i="59"/>
  <c r="I326" i="59" s="1"/>
  <c r="H79" i="59"/>
  <c r="H326" i="59" s="1"/>
  <c r="AA78" i="59"/>
  <c r="Z78" i="59"/>
  <c r="Y78" i="59"/>
  <c r="X78" i="59"/>
  <c r="S78" i="59"/>
  <c r="R78" i="59"/>
  <c r="Q78" i="59"/>
  <c r="P78" i="59"/>
  <c r="AA77" i="59"/>
  <c r="Z77" i="59"/>
  <c r="Y77" i="59"/>
  <c r="X77" i="59"/>
  <c r="S77" i="59"/>
  <c r="R77" i="59"/>
  <c r="Q77" i="59"/>
  <c r="P77" i="59"/>
  <c r="K77" i="59"/>
  <c r="K324" i="59" s="1"/>
  <c r="J77" i="59"/>
  <c r="J324" i="59" s="1"/>
  <c r="I77" i="59"/>
  <c r="I324" i="59" s="1"/>
  <c r="H77" i="59"/>
  <c r="H324" i="59" s="1"/>
  <c r="AA76" i="59"/>
  <c r="Z76" i="59"/>
  <c r="Y76" i="59"/>
  <c r="X76" i="59"/>
  <c r="S76" i="59"/>
  <c r="R76" i="59"/>
  <c r="Q76" i="59"/>
  <c r="P76" i="59"/>
  <c r="AA75" i="59"/>
  <c r="Z75" i="59"/>
  <c r="Y75" i="59"/>
  <c r="X75" i="59"/>
  <c r="S75" i="59"/>
  <c r="R75" i="59"/>
  <c r="Q75" i="59"/>
  <c r="P75" i="59"/>
  <c r="K75" i="59"/>
  <c r="K322" i="59" s="1"/>
  <c r="J75" i="59"/>
  <c r="J322" i="59" s="1"/>
  <c r="I75" i="59"/>
  <c r="I322" i="59" s="1"/>
  <c r="H75" i="59"/>
  <c r="H322" i="59" s="1"/>
  <c r="AA74" i="59"/>
  <c r="Z74" i="59"/>
  <c r="Y74" i="59"/>
  <c r="X74" i="59"/>
  <c r="S74" i="59"/>
  <c r="R74" i="59"/>
  <c r="Q74" i="59"/>
  <c r="P74" i="59"/>
  <c r="K74" i="59"/>
  <c r="J74" i="59"/>
  <c r="I74" i="59"/>
  <c r="H74" i="59"/>
  <c r="AA73" i="59"/>
  <c r="Z73" i="59"/>
  <c r="Y73" i="59"/>
  <c r="X73" i="59"/>
  <c r="S73" i="59"/>
  <c r="R73" i="59"/>
  <c r="Q73" i="59"/>
  <c r="P73" i="59"/>
  <c r="K73" i="59"/>
  <c r="J73" i="59"/>
  <c r="I73" i="59"/>
  <c r="H73" i="59"/>
  <c r="AA72" i="59"/>
  <c r="Z72" i="59"/>
  <c r="Y72" i="59"/>
  <c r="X72" i="59"/>
  <c r="S72" i="59"/>
  <c r="R72" i="59"/>
  <c r="Q72" i="59"/>
  <c r="P72" i="59"/>
  <c r="K72" i="59"/>
  <c r="J72" i="59"/>
  <c r="I72" i="59"/>
  <c r="H72" i="59"/>
  <c r="AA71" i="59"/>
  <c r="Z71" i="59"/>
  <c r="Y71" i="59"/>
  <c r="X71" i="59"/>
  <c r="S71" i="59"/>
  <c r="R71" i="59"/>
  <c r="Q71" i="59"/>
  <c r="P71" i="59"/>
  <c r="K71" i="59"/>
  <c r="J71" i="59"/>
  <c r="I71" i="59"/>
  <c r="H71" i="59"/>
  <c r="AA70" i="59"/>
  <c r="Z70" i="59"/>
  <c r="Y70" i="59"/>
  <c r="X70" i="59"/>
  <c r="S70" i="59"/>
  <c r="R70" i="59"/>
  <c r="Q70" i="59"/>
  <c r="P70" i="59"/>
  <c r="K70" i="59"/>
  <c r="J70" i="59"/>
  <c r="I70" i="59"/>
  <c r="H70" i="59"/>
  <c r="AA69" i="59"/>
  <c r="Z69" i="59"/>
  <c r="Y69" i="59"/>
  <c r="X69" i="59"/>
  <c r="S69" i="59"/>
  <c r="R69" i="59"/>
  <c r="Q69" i="59"/>
  <c r="P69" i="59"/>
  <c r="K69" i="59"/>
  <c r="J69" i="59"/>
  <c r="I69" i="59"/>
  <c r="H69" i="59"/>
  <c r="AA68" i="59"/>
  <c r="Z68" i="59"/>
  <c r="Y68" i="59"/>
  <c r="X68" i="59"/>
  <c r="S68" i="59"/>
  <c r="R68" i="59"/>
  <c r="Q68" i="59"/>
  <c r="P68" i="59"/>
  <c r="K68" i="59"/>
  <c r="J68" i="59"/>
  <c r="I68" i="59"/>
  <c r="H68" i="59"/>
  <c r="AA67" i="59"/>
  <c r="Z67" i="59"/>
  <c r="Y67" i="59"/>
  <c r="X67" i="59"/>
  <c r="S67" i="59"/>
  <c r="R67" i="59"/>
  <c r="Q67" i="59"/>
  <c r="P67" i="59"/>
  <c r="K67" i="59"/>
  <c r="J67" i="59"/>
  <c r="I67" i="59"/>
  <c r="H67" i="59"/>
  <c r="AA66" i="59"/>
  <c r="Z66" i="59"/>
  <c r="Y66" i="59"/>
  <c r="X66" i="59"/>
  <c r="S66" i="59"/>
  <c r="R66" i="59"/>
  <c r="Q66" i="59"/>
  <c r="P66" i="59"/>
  <c r="K66" i="59"/>
  <c r="J66" i="59"/>
  <c r="I66" i="59"/>
  <c r="H66" i="59"/>
  <c r="AA65" i="59"/>
  <c r="Z65" i="59"/>
  <c r="Y65" i="59"/>
  <c r="X65" i="59"/>
  <c r="S65" i="59"/>
  <c r="R65" i="59"/>
  <c r="Q65" i="59"/>
  <c r="P65" i="59"/>
  <c r="K65" i="59"/>
  <c r="J65" i="59"/>
  <c r="I65" i="59"/>
  <c r="H65" i="59"/>
  <c r="AA64" i="59"/>
  <c r="Z64" i="59"/>
  <c r="Y64" i="59"/>
  <c r="X64" i="59"/>
  <c r="S64" i="59"/>
  <c r="R64" i="59"/>
  <c r="Q64" i="59"/>
  <c r="P64" i="59"/>
  <c r="K64" i="59"/>
  <c r="J64" i="59"/>
  <c r="I64" i="59"/>
  <c r="H64" i="59"/>
  <c r="AA63" i="59"/>
  <c r="Z63" i="59"/>
  <c r="Y63" i="59"/>
  <c r="X63" i="59"/>
  <c r="S63" i="59"/>
  <c r="R63" i="59"/>
  <c r="Q63" i="59"/>
  <c r="P63" i="59"/>
  <c r="K63" i="59"/>
  <c r="J63" i="59"/>
  <c r="I63" i="59"/>
  <c r="H63" i="59"/>
  <c r="AA62" i="59"/>
  <c r="Z62" i="59"/>
  <c r="Y62" i="59"/>
  <c r="X62" i="59"/>
  <c r="S62" i="59"/>
  <c r="R62" i="59"/>
  <c r="Q62" i="59"/>
  <c r="P62" i="59"/>
  <c r="K62" i="59"/>
  <c r="J62" i="59"/>
  <c r="I62" i="59"/>
  <c r="H62" i="59"/>
  <c r="AA61" i="59"/>
  <c r="Z61" i="59"/>
  <c r="Y61" i="59"/>
  <c r="X61" i="59"/>
  <c r="S61" i="59"/>
  <c r="R61" i="59"/>
  <c r="Q61" i="59"/>
  <c r="P61" i="59"/>
  <c r="K61" i="59"/>
  <c r="J61" i="59"/>
  <c r="I61" i="59"/>
  <c r="H61" i="59"/>
  <c r="AA60" i="59"/>
  <c r="Z60" i="59"/>
  <c r="Y60" i="59"/>
  <c r="X60" i="59"/>
  <c r="S60" i="59"/>
  <c r="R60" i="59"/>
  <c r="Q60" i="59"/>
  <c r="P60" i="59"/>
  <c r="K60" i="59"/>
  <c r="J60" i="59"/>
  <c r="I60" i="59"/>
  <c r="H60" i="59"/>
  <c r="AA59" i="59"/>
  <c r="Z59" i="59"/>
  <c r="Y59" i="59"/>
  <c r="X59" i="59"/>
  <c r="S59" i="59"/>
  <c r="R59" i="59"/>
  <c r="Q59" i="59"/>
  <c r="P59" i="59"/>
  <c r="K59" i="59"/>
  <c r="J59" i="59"/>
  <c r="I59" i="59"/>
  <c r="H59" i="59"/>
  <c r="AA58" i="59"/>
  <c r="Z58" i="59"/>
  <c r="Y58" i="59"/>
  <c r="X58" i="59"/>
  <c r="S58" i="59"/>
  <c r="R58" i="59"/>
  <c r="Q58" i="59"/>
  <c r="P58" i="59"/>
  <c r="K58" i="59"/>
  <c r="J58" i="59"/>
  <c r="I58" i="59"/>
  <c r="H58" i="59"/>
  <c r="AA57" i="59"/>
  <c r="Z57" i="59"/>
  <c r="Y57" i="59"/>
  <c r="X57" i="59"/>
  <c r="S57" i="59"/>
  <c r="R57" i="59"/>
  <c r="Q57" i="59"/>
  <c r="P57" i="59"/>
  <c r="K57" i="59"/>
  <c r="J57" i="59"/>
  <c r="I57" i="59"/>
  <c r="H57" i="59"/>
  <c r="AA56" i="59"/>
  <c r="Z56" i="59"/>
  <c r="Y56" i="59"/>
  <c r="X56" i="59"/>
  <c r="S56" i="59"/>
  <c r="R56" i="59"/>
  <c r="Q56" i="59"/>
  <c r="P56" i="59"/>
  <c r="K56" i="59"/>
  <c r="J56" i="59"/>
  <c r="I56" i="59"/>
  <c r="H56" i="59"/>
  <c r="AA55" i="59"/>
  <c r="Z55" i="59"/>
  <c r="Y55" i="59"/>
  <c r="X55" i="59"/>
  <c r="S55" i="59"/>
  <c r="R55" i="59"/>
  <c r="Q55" i="59"/>
  <c r="P55" i="59"/>
  <c r="K55" i="59"/>
  <c r="J55" i="59"/>
  <c r="I55" i="59"/>
  <c r="H55" i="59"/>
  <c r="AA54" i="59"/>
  <c r="Z54" i="59"/>
  <c r="Y54" i="59"/>
  <c r="X54" i="59"/>
  <c r="S54" i="59"/>
  <c r="R54" i="59"/>
  <c r="Q54" i="59"/>
  <c r="P54" i="59"/>
  <c r="K54" i="59"/>
  <c r="J54" i="59"/>
  <c r="I54" i="59"/>
  <c r="H54" i="59"/>
  <c r="AA53" i="59"/>
  <c r="Z53" i="59"/>
  <c r="Y53" i="59"/>
  <c r="X53" i="59"/>
  <c r="S53" i="59"/>
  <c r="R53" i="59"/>
  <c r="Q53" i="59"/>
  <c r="P53" i="59"/>
  <c r="K53" i="59"/>
  <c r="J53" i="59"/>
  <c r="I53" i="59"/>
  <c r="H53" i="59"/>
  <c r="AA52" i="59"/>
  <c r="Z52" i="59"/>
  <c r="Y52" i="59"/>
  <c r="X52" i="59"/>
  <c r="S52" i="59"/>
  <c r="R52" i="59"/>
  <c r="Q52" i="59"/>
  <c r="P52" i="59"/>
  <c r="K52" i="59"/>
  <c r="J52" i="59"/>
  <c r="I52" i="59"/>
  <c r="H52" i="59"/>
  <c r="AA51" i="59"/>
  <c r="Z51" i="59"/>
  <c r="Y51" i="59"/>
  <c r="X51" i="59"/>
  <c r="S51" i="59"/>
  <c r="R51" i="59"/>
  <c r="Q51" i="59"/>
  <c r="P51" i="59"/>
  <c r="K51" i="59"/>
  <c r="J51" i="59"/>
  <c r="I51" i="59"/>
  <c r="H51" i="59"/>
  <c r="AA50" i="59"/>
  <c r="Z50" i="59"/>
  <c r="Y50" i="59"/>
  <c r="X50" i="59"/>
  <c r="S50" i="59"/>
  <c r="R50" i="59"/>
  <c r="Q50" i="59"/>
  <c r="P50" i="59"/>
  <c r="K50" i="59"/>
  <c r="J50" i="59"/>
  <c r="I50" i="59"/>
  <c r="H50" i="59"/>
  <c r="AA49" i="59"/>
  <c r="Z49" i="59"/>
  <c r="Y49" i="59"/>
  <c r="X49" i="59"/>
  <c r="S49" i="59"/>
  <c r="R49" i="59"/>
  <c r="Q49" i="59"/>
  <c r="P49" i="59"/>
  <c r="K49" i="59"/>
  <c r="J49" i="59"/>
  <c r="I49" i="59"/>
  <c r="H49" i="59"/>
  <c r="AA48" i="59"/>
  <c r="Z48" i="59"/>
  <c r="Y48" i="59"/>
  <c r="X48" i="59"/>
  <c r="S48" i="59"/>
  <c r="R48" i="59"/>
  <c r="Q48" i="59"/>
  <c r="P48" i="59"/>
  <c r="K48" i="59"/>
  <c r="J48" i="59"/>
  <c r="I48" i="59"/>
  <c r="H48" i="59"/>
  <c r="AA47" i="59"/>
  <c r="Z47" i="59"/>
  <c r="Y47" i="59"/>
  <c r="X47" i="59"/>
  <c r="S47" i="59"/>
  <c r="R47" i="59"/>
  <c r="Q47" i="59"/>
  <c r="P47" i="59"/>
  <c r="K47" i="59"/>
  <c r="J47" i="59"/>
  <c r="I47" i="59"/>
  <c r="H47" i="59"/>
  <c r="AA46" i="59"/>
  <c r="Z46" i="59"/>
  <c r="Y46" i="59"/>
  <c r="X46" i="59"/>
  <c r="S46" i="59"/>
  <c r="R46" i="59"/>
  <c r="Q46" i="59"/>
  <c r="P46" i="59"/>
  <c r="K46" i="59"/>
  <c r="J46" i="59"/>
  <c r="I46" i="59"/>
  <c r="H46" i="59"/>
  <c r="AA45" i="59"/>
  <c r="Z45" i="59"/>
  <c r="Y45" i="59"/>
  <c r="X45" i="59"/>
  <c r="S45" i="59"/>
  <c r="R45" i="59"/>
  <c r="Q45" i="59"/>
  <c r="P45" i="59"/>
  <c r="K45" i="59"/>
  <c r="J45" i="59"/>
  <c r="I45" i="59"/>
  <c r="H45" i="59"/>
  <c r="AA44" i="59"/>
  <c r="Z44" i="59"/>
  <c r="Y44" i="59"/>
  <c r="X44" i="59"/>
  <c r="S44" i="59"/>
  <c r="R44" i="59"/>
  <c r="Q44" i="59"/>
  <c r="P44" i="59"/>
  <c r="K44" i="59"/>
  <c r="J44" i="59"/>
  <c r="I44" i="59"/>
  <c r="H44" i="59"/>
  <c r="AA43" i="59"/>
  <c r="Z43" i="59"/>
  <c r="Y43" i="59"/>
  <c r="X43" i="59"/>
  <c r="S43" i="59"/>
  <c r="R43" i="59"/>
  <c r="Q43" i="59"/>
  <c r="P43" i="59"/>
  <c r="K43" i="59"/>
  <c r="J43" i="59"/>
  <c r="I43" i="59"/>
  <c r="H43" i="59"/>
  <c r="AA42" i="59"/>
  <c r="Z42" i="59"/>
  <c r="Y42" i="59"/>
  <c r="X42" i="59"/>
  <c r="S42" i="59"/>
  <c r="R42" i="59"/>
  <c r="Q42" i="59"/>
  <c r="P42" i="59"/>
  <c r="K42" i="59"/>
  <c r="J42" i="59"/>
  <c r="I42" i="59"/>
  <c r="H42" i="59"/>
  <c r="AA41" i="59"/>
  <c r="Z41" i="59"/>
  <c r="Y41" i="59"/>
  <c r="X41" i="59"/>
  <c r="S41" i="59"/>
  <c r="R41" i="59"/>
  <c r="Q41" i="59"/>
  <c r="P41" i="59"/>
  <c r="K41" i="59"/>
  <c r="J41" i="59"/>
  <c r="I41" i="59"/>
  <c r="H41" i="59"/>
  <c r="AA40" i="59"/>
  <c r="Z40" i="59"/>
  <c r="Y40" i="59"/>
  <c r="X40" i="59"/>
  <c r="S40" i="59"/>
  <c r="R40" i="59"/>
  <c r="Q40" i="59"/>
  <c r="P40" i="59"/>
  <c r="K40" i="59"/>
  <c r="J40" i="59"/>
  <c r="I40" i="59"/>
  <c r="H40" i="59"/>
  <c r="AA39" i="59"/>
  <c r="Z39" i="59"/>
  <c r="Y39" i="59"/>
  <c r="X39" i="59"/>
  <c r="S39" i="59"/>
  <c r="R39" i="59"/>
  <c r="Q39" i="59"/>
  <c r="P39" i="59"/>
  <c r="K39" i="59"/>
  <c r="J39" i="59"/>
  <c r="I39" i="59"/>
  <c r="H39" i="59"/>
  <c r="AA38" i="59"/>
  <c r="Z38" i="59"/>
  <c r="Y38" i="59"/>
  <c r="X38" i="59"/>
  <c r="S38" i="59"/>
  <c r="R38" i="59"/>
  <c r="Q38" i="59"/>
  <c r="P38" i="59"/>
  <c r="K38" i="59"/>
  <c r="J38" i="59"/>
  <c r="I38" i="59"/>
  <c r="H38" i="59"/>
  <c r="AA37" i="59"/>
  <c r="Z37" i="59"/>
  <c r="Y37" i="59"/>
  <c r="X37" i="59"/>
  <c r="S37" i="59"/>
  <c r="R37" i="59"/>
  <c r="Q37" i="59"/>
  <c r="P37" i="59"/>
  <c r="K37" i="59"/>
  <c r="J37" i="59"/>
  <c r="I37" i="59"/>
  <c r="H37" i="59"/>
  <c r="AA36" i="59"/>
  <c r="Z36" i="59"/>
  <c r="Y36" i="59"/>
  <c r="X36" i="59"/>
  <c r="S36" i="59"/>
  <c r="R36" i="59"/>
  <c r="Q36" i="59"/>
  <c r="P36" i="59"/>
  <c r="AA35" i="59"/>
  <c r="Z35" i="59"/>
  <c r="Y35" i="59"/>
  <c r="X35" i="59"/>
  <c r="S35" i="59"/>
  <c r="R35" i="59"/>
  <c r="Q35" i="59"/>
  <c r="P35" i="59"/>
  <c r="K35" i="59"/>
  <c r="J35" i="59"/>
  <c r="I35" i="59"/>
  <c r="H35" i="59"/>
  <c r="AA34" i="59"/>
  <c r="Z34" i="59"/>
  <c r="Y34" i="59"/>
  <c r="X34" i="59"/>
  <c r="S34" i="59"/>
  <c r="R34" i="59"/>
  <c r="Q34" i="59"/>
  <c r="P34" i="59"/>
  <c r="K34" i="59"/>
  <c r="J34" i="59"/>
  <c r="I34" i="59"/>
  <c r="H34" i="59"/>
  <c r="AA33" i="59"/>
  <c r="Z33" i="59"/>
  <c r="Y33" i="59"/>
  <c r="X33" i="59"/>
  <c r="S33" i="59"/>
  <c r="R33" i="59"/>
  <c r="Q33" i="59"/>
  <c r="P33" i="59"/>
  <c r="K33" i="59"/>
  <c r="J33" i="59"/>
  <c r="I33" i="59"/>
  <c r="H33" i="59"/>
  <c r="AA32" i="59"/>
  <c r="Z32" i="59"/>
  <c r="Y32" i="59"/>
  <c r="X32" i="59"/>
  <c r="S32" i="59"/>
  <c r="R32" i="59"/>
  <c r="Q32" i="59"/>
  <c r="P32" i="59"/>
  <c r="K32" i="59"/>
  <c r="J32" i="59"/>
  <c r="I32" i="59"/>
  <c r="H32" i="59"/>
  <c r="AA31" i="59"/>
  <c r="Z31" i="59"/>
  <c r="Y31" i="59"/>
  <c r="X31" i="59"/>
  <c r="S31" i="59"/>
  <c r="R31" i="59"/>
  <c r="Q31" i="59"/>
  <c r="P31" i="59"/>
  <c r="K31" i="59"/>
  <c r="J31" i="59"/>
  <c r="I31" i="59"/>
  <c r="H31" i="59"/>
  <c r="AA30" i="59"/>
  <c r="Z30" i="59"/>
  <c r="Y30" i="59"/>
  <c r="X30" i="59"/>
  <c r="S30" i="59"/>
  <c r="R30" i="59"/>
  <c r="Q30" i="59"/>
  <c r="P30" i="59"/>
  <c r="K30" i="59"/>
  <c r="J30" i="59"/>
  <c r="I30" i="59"/>
  <c r="H30" i="59"/>
  <c r="AA29" i="59"/>
  <c r="Z29" i="59"/>
  <c r="Y29" i="59"/>
  <c r="X29" i="59"/>
  <c r="S29" i="59"/>
  <c r="R29" i="59"/>
  <c r="Q29" i="59"/>
  <c r="P29" i="59"/>
  <c r="K29" i="59"/>
  <c r="J29" i="59"/>
  <c r="I29" i="59"/>
  <c r="H29" i="59"/>
  <c r="AA28" i="59"/>
  <c r="Z28" i="59"/>
  <c r="Y28" i="59"/>
  <c r="X28" i="59"/>
  <c r="S28" i="59"/>
  <c r="R28" i="59"/>
  <c r="Q28" i="59"/>
  <c r="P28" i="59"/>
  <c r="K28" i="59"/>
  <c r="J28" i="59"/>
  <c r="I28" i="59"/>
  <c r="H28" i="59"/>
  <c r="AA27" i="59"/>
  <c r="Z27" i="59"/>
  <c r="Y27" i="59"/>
  <c r="X27" i="59"/>
  <c r="S27" i="59"/>
  <c r="R27" i="59"/>
  <c r="Q27" i="59"/>
  <c r="P27" i="59"/>
  <c r="K27" i="59"/>
  <c r="J27" i="59"/>
  <c r="I27" i="59"/>
  <c r="H27" i="59"/>
  <c r="AA26" i="59"/>
  <c r="Z26" i="59"/>
  <c r="Y26" i="59"/>
  <c r="X26" i="59"/>
  <c r="S26" i="59"/>
  <c r="R26" i="59"/>
  <c r="Q26" i="59"/>
  <c r="P26" i="59"/>
  <c r="K26" i="59"/>
  <c r="J26" i="59"/>
  <c r="I26" i="59"/>
  <c r="H26" i="59"/>
  <c r="AA25" i="59"/>
  <c r="Z25" i="59"/>
  <c r="Y25" i="59"/>
  <c r="X25" i="59"/>
  <c r="S25" i="59"/>
  <c r="R25" i="59"/>
  <c r="Q25" i="59"/>
  <c r="P25" i="59"/>
  <c r="K25" i="59"/>
  <c r="J25" i="59"/>
  <c r="I25" i="59"/>
  <c r="H25" i="59"/>
  <c r="AA24" i="59"/>
  <c r="Z24" i="59"/>
  <c r="Y24" i="59"/>
  <c r="X24" i="59"/>
  <c r="S24" i="59"/>
  <c r="R24" i="59"/>
  <c r="Q24" i="59"/>
  <c r="P24" i="59"/>
  <c r="K24" i="59"/>
  <c r="J24" i="59"/>
  <c r="I24" i="59"/>
  <c r="H24" i="59"/>
  <c r="AA23" i="59"/>
  <c r="Z23" i="59"/>
  <c r="Y23" i="59"/>
  <c r="X23" i="59"/>
  <c r="S23" i="59"/>
  <c r="R23" i="59"/>
  <c r="Q23" i="59"/>
  <c r="P23" i="59"/>
  <c r="K23" i="59"/>
  <c r="J23" i="59"/>
  <c r="I23" i="59"/>
  <c r="H23" i="59"/>
  <c r="AA22" i="59"/>
  <c r="Z22" i="59"/>
  <c r="Y22" i="59"/>
  <c r="X22" i="59"/>
  <c r="S22" i="59"/>
  <c r="R22" i="59"/>
  <c r="Q22" i="59"/>
  <c r="P22" i="59"/>
  <c r="K22" i="59"/>
  <c r="J22" i="59"/>
  <c r="I22" i="59"/>
  <c r="H22" i="59"/>
  <c r="AA21" i="59"/>
  <c r="Z21" i="59"/>
  <c r="Y21" i="59"/>
  <c r="X21" i="59"/>
  <c r="S21" i="59"/>
  <c r="R21" i="59"/>
  <c r="Q21" i="59"/>
  <c r="P21" i="59"/>
  <c r="K21" i="59"/>
  <c r="J21" i="59"/>
  <c r="I21" i="59"/>
  <c r="H21" i="59"/>
  <c r="AA20" i="59"/>
  <c r="Z20" i="59"/>
  <c r="Y20" i="59"/>
  <c r="X20" i="59"/>
  <c r="S20" i="59"/>
  <c r="R20" i="59"/>
  <c r="Q20" i="59"/>
  <c r="P20" i="59"/>
  <c r="K20" i="59"/>
  <c r="J20" i="59"/>
  <c r="I20" i="59"/>
  <c r="H20" i="59"/>
  <c r="AA19" i="59"/>
  <c r="Z19" i="59"/>
  <c r="Y19" i="59"/>
  <c r="X19" i="59"/>
  <c r="S19" i="59"/>
  <c r="R19" i="59"/>
  <c r="Q19" i="59"/>
  <c r="P19" i="59"/>
  <c r="K19" i="59"/>
  <c r="J19" i="59"/>
  <c r="I19" i="59"/>
  <c r="H19" i="59"/>
  <c r="AA18" i="59"/>
  <c r="Z18" i="59"/>
  <c r="Y18" i="59"/>
  <c r="X18" i="59"/>
  <c r="S18" i="59"/>
  <c r="R18" i="59"/>
  <c r="Q18" i="59"/>
  <c r="P18" i="59"/>
  <c r="K18" i="59"/>
  <c r="J18" i="59"/>
  <c r="I18" i="59"/>
  <c r="H18" i="59"/>
  <c r="AA17" i="59"/>
  <c r="Z17" i="59"/>
  <c r="Y17" i="59"/>
  <c r="X17" i="59"/>
  <c r="S17" i="59"/>
  <c r="R17" i="59"/>
  <c r="Q17" i="59"/>
  <c r="P17" i="59"/>
  <c r="K17" i="59"/>
  <c r="J17" i="59"/>
  <c r="I17" i="59"/>
  <c r="H17" i="59"/>
  <c r="AA16" i="59"/>
  <c r="Z16" i="59"/>
  <c r="Y16" i="59"/>
  <c r="X16" i="59"/>
  <c r="S16" i="59"/>
  <c r="R16" i="59"/>
  <c r="Q16" i="59"/>
  <c r="P16" i="59"/>
  <c r="K16" i="59"/>
  <c r="J16" i="59"/>
  <c r="I16" i="59"/>
  <c r="H16" i="59"/>
  <c r="AA15" i="59"/>
  <c r="Z15" i="59"/>
  <c r="Y15" i="59"/>
  <c r="X15" i="59"/>
  <c r="S15" i="59"/>
  <c r="R15" i="59"/>
  <c r="Q15" i="59"/>
  <c r="P15" i="59"/>
  <c r="K15" i="59"/>
  <c r="J15" i="59"/>
  <c r="I15" i="59"/>
  <c r="H15" i="59"/>
  <c r="AA14" i="59"/>
  <c r="Z14" i="59"/>
  <c r="Y14" i="59"/>
  <c r="X14" i="59"/>
  <c r="S14" i="59"/>
  <c r="R14" i="59"/>
  <c r="Q14" i="59"/>
  <c r="P14" i="59"/>
  <c r="K14" i="59"/>
  <c r="J14" i="59"/>
  <c r="I14" i="59"/>
  <c r="H14" i="59"/>
  <c r="AA13" i="59"/>
  <c r="Z13" i="59"/>
  <c r="Y13" i="59"/>
  <c r="X13" i="59"/>
  <c r="S13" i="59"/>
  <c r="R13" i="59"/>
  <c r="Q13" i="59"/>
  <c r="P13" i="59"/>
  <c r="K13" i="59"/>
  <c r="J13" i="59"/>
  <c r="I13" i="59"/>
  <c r="H13" i="59"/>
  <c r="AA12" i="59"/>
  <c r="Z12" i="59"/>
  <c r="Y12" i="59"/>
  <c r="X12" i="59"/>
  <c r="S12" i="59"/>
  <c r="R12" i="59"/>
  <c r="Q12" i="59"/>
  <c r="P12" i="59"/>
  <c r="K12" i="59"/>
  <c r="J12" i="59"/>
  <c r="I12" i="59"/>
  <c r="H12" i="59"/>
  <c r="AA11" i="59"/>
  <c r="Z11" i="59"/>
  <c r="Y11" i="59"/>
  <c r="X11" i="59"/>
  <c r="S11" i="59"/>
  <c r="R11" i="59"/>
  <c r="Q11" i="59"/>
  <c r="P11" i="59"/>
  <c r="K11" i="59"/>
  <c r="J11" i="59"/>
  <c r="I11" i="59"/>
  <c r="H11" i="59"/>
  <c r="AA10" i="59"/>
  <c r="Z10" i="59"/>
  <c r="Y10" i="59"/>
  <c r="X10" i="59"/>
  <c r="S10" i="59"/>
  <c r="R10" i="59"/>
  <c r="Q10" i="59"/>
  <c r="P10" i="59"/>
  <c r="K10" i="59"/>
  <c r="J10" i="59"/>
  <c r="I10" i="59"/>
  <c r="H10" i="59"/>
  <c r="AA9" i="59"/>
  <c r="Z9" i="59"/>
  <c r="Y9" i="59"/>
  <c r="X9" i="59"/>
  <c r="S9" i="59"/>
  <c r="R9" i="59"/>
  <c r="Q9" i="59"/>
  <c r="P9" i="59"/>
  <c r="K9" i="59"/>
  <c r="J9" i="59"/>
  <c r="I9" i="59"/>
  <c r="H9" i="59"/>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D294" i="53"/>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U231"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R158" i="59" l="1"/>
  <c r="O138" i="59"/>
  <c r="L122" i="59"/>
  <c r="L124" i="59"/>
  <c r="L125" i="59"/>
  <c r="L136" i="59"/>
  <c r="O139" i="59"/>
  <c r="O141" i="59"/>
  <c r="O148" i="59"/>
  <c r="O149" i="59"/>
  <c r="O152" i="59"/>
  <c r="O153" i="59"/>
  <c r="O157" i="59"/>
  <c r="O165" i="59"/>
  <c r="O137" i="59"/>
  <c r="N143" i="59"/>
  <c r="N144" i="59"/>
  <c r="N145" i="59"/>
  <c r="N152" i="59"/>
  <c r="N155" i="59"/>
  <c r="N135" i="59"/>
  <c r="N137" i="59"/>
  <c r="M139" i="59"/>
  <c r="M140" i="59"/>
  <c r="M144" i="59"/>
  <c r="M145" i="59"/>
  <c r="M148" i="59"/>
  <c r="M152" i="59"/>
  <c r="M155" i="59"/>
  <c r="M165" i="59"/>
  <c r="L155" i="59"/>
  <c r="L165" i="59"/>
  <c r="M121" i="59"/>
  <c r="M124" i="59"/>
  <c r="M125" i="59"/>
  <c r="M132" i="59"/>
  <c r="M134" i="59"/>
  <c r="L138" i="59"/>
  <c r="L143" i="59"/>
  <c r="L152" i="59"/>
  <c r="L154" i="59"/>
  <c r="N118" i="59"/>
  <c r="N123" i="59"/>
  <c r="N124" i="59"/>
  <c r="N128" i="59"/>
  <c r="N129" i="59"/>
  <c r="N131" i="59"/>
  <c r="L120" i="59"/>
  <c r="O127" i="59"/>
  <c r="O129" i="59"/>
  <c r="O130" i="59"/>
  <c r="L126" i="59"/>
  <c r="L128" i="59"/>
  <c r="N136" i="59"/>
  <c r="M126" i="59"/>
  <c r="M127" i="59"/>
  <c r="M128" i="59"/>
  <c r="M130" i="59"/>
  <c r="N125" i="59"/>
  <c r="N126" i="59"/>
  <c r="O124" i="59"/>
  <c r="L123" i="59"/>
  <c r="M131" i="59"/>
  <c r="L133" i="59"/>
  <c r="O136" i="59"/>
  <c r="M142" i="59"/>
  <c r="M151" i="59"/>
  <c r="N120" i="59"/>
  <c r="M122" i="59"/>
  <c r="M123" i="59"/>
  <c r="L127" i="59"/>
  <c r="N138" i="59"/>
  <c r="N140" i="59"/>
  <c r="N151" i="59"/>
  <c r="AI231" i="55"/>
  <c r="BO231" i="55"/>
  <c r="BO232" i="55" s="1"/>
  <c r="BQ232" i="55" s="1"/>
  <c r="CU231" i="55"/>
  <c r="CU232" i="55" s="1"/>
  <c r="CW232" i="55" s="1"/>
  <c r="EA231" i="55"/>
  <c r="EA232" i="55" s="1"/>
  <c r="EC232" i="55" s="1"/>
  <c r="FG231" i="55"/>
  <c r="FG232" i="55" s="1"/>
  <c r="FI232" i="55" s="1"/>
  <c r="N122" i="59"/>
  <c r="L129" i="59"/>
  <c r="O131" i="59"/>
  <c r="N132" i="59"/>
  <c r="N133" i="59"/>
  <c r="O146" i="59"/>
  <c r="O147" i="59"/>
  <c r="O151" i="59"/>
  <c r="N156" i="59"/>
  <c r="O122" i="59"/>
  <c r="N127" i="59"/>
  <c r="M129" i="59"/>
  <c r="O133" i="59"/>
  <c r="O154" i="59"/>
  <c r="M120" i="59"/>
  <c r="L121" i="59"/>
  <c r="O128" i="59"/>
  <c r="L132" i="59"/>
  <c r="V159" i="59"/>
  <c r="M138" i="59"/>
  <c r="L142" i="59"/>
  <c r="O144" i="59"/>
  <c r="O145" i="59"/>
  <c r="N148" i="59"/>
  <c r="N149" i="59"/>
  <c r="N157" i="59"/>
  <c r="N165" i="59"/>
  <c r="O119" i="59"/>
  <c r="O120" i="59"/>
  <c r="N121" i="59"/>
  <c r="O126" i="59"/>
  <c r="N134" i="59"/>
  <c r="L137" i="59"/>
  <c r="O140" i="59"/>
  <c r="N142" i="59"/>
  <c r="M143" i="59"/>
  <c r="M147" i="59"/>
  <c r="L149" i="59"/>
  <c r="L156" i="59"/>
  <c r="L157" i="59"/>
  <c r="L118" i="59"/>
  <c r="O125" i="59"/>
  <c r="O134" i="59"/>
  <c r="L139" i="59"/>
  <c r="N147" i="59"/>
  <c r="M150" i="59"/>
  <c r="M156" i="59"/>
  <c r="AM231" i="54"/>
  <c r="AM232" i="54" s="1"/>
  <c r="AO232" i="54" s="1"/>
  <c r="BS231" i="54"/>
  <c r="BS232" i="54" s="1"/>
  <c r="BU232" i="54" s="1"/>
  <c r="CY231" i="54"/>
  <c r="CY232" i="54" s="1"/>
  <c r="DA232" i="54" s="1"/>
  <c r="S112" i="59"/>
  <c r="O123" i="59"/>
  <c r="M133" i="59"/>
  <c r="N139" i="59"/>
  <c r="M141" i="59"/>
  <c r="L146" i="59"/>
  <c r="O156" i="59"/>
  <c r="W159" i="59"/>
  <c r="U111" i="59"/>
  <c r="S111" i="59"/>
  <c r="S159" i="59"/>
  <c r="Q159" i="59"/>
  <c r="O121" i="59"/>
  <c r="L131" i="59"/>
  <c r="L135" i="59"/>
  <c r="M136" i="59"/>
  <c r="N141" i="59"/>
  <c r="O143" i="59"/>
  <c r="L145" i="59"/>
  <c r="N150" i="59"/>
  <c r="M154" i="59"/>
  <c r="O155" i="59"/>
  <c r="M118" i="59"/>
  <c r="L119" i="59"/>
  <c r="O132" i="59"/>
  <c r="M135" i="59"/>
  <c r="L140" i="59"/>
  <c r="L148" i="59"/>
  <c r="O150" i="59"/>
  <c r="L151" i="59"/>
  <c r="L153" i="59"/>
  <c r="N154" i="59"/>
  <c r="M119" i="59"/>
  <c r="L141" i="59"/>
  <c r="M146" i="59"/>
  <c r="L150" i="59"/>
  <c r="M153" i="59"/>
  <c r="O118" i="59"/>
  <c r="N119" i="59"/>
  <c r="N130" i="59"/>
  <c r="L134" i="59"/>
  <c r="O135" i="59"/>
  <c r="U159" i="59"/>
  <c r="L144" i="59"/>
  <c r="N146" i="59"/>
  <c r="L147" i="59"/>
  <c r="M149" i="59"/>
  <c r="N153" i="59"/>
  <c r="M157" i="59"/>
  <c r="H265" i="59"/>
  <c r="H178"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3" i="59"/>
  <c r="H196" i="59"/>
  <c r="I289" i="59"/>
  <c r="I202" i="59"/>
  <c r="I291" i="59"/>
  <c r="I204" i="59"/>
  <c r="I294" i="59"/>
  <c r="I207" i="59"/>
  <c r="I296" i="59"/>
  <c r="I209" i="59"/>
  <c r="H261" i="59"/>
  <c r="H174" i="59"/>
  <c r="P111" i="59"/>
  <c r="Q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7" i="59"/>
  <c r="I200" i="59"/>
  <c r="J288" i="59"/>
  <c r="J201" i="59"/>
  <c r="J290" i="59"/>
  <c r="J203" i="59"/>
  <c r="J292" i="59"/>
  <c r="J205" i="59"/>
  <c r="J258" i="59"/>
  <c r="J171" i="59"/>
  <c r="R91" i="59"/>
  <c r="Z91" i="59"/>
  <c r="J260" i="59"/>
  <c r="J173" i="59"/>
  <c r="J262" i="59"/>
  <c r="J175" i="59"/>
  <c r="J264" i="59"/>
  <c r="J177" i="59"/>
  <c r="J266" i="59"/>
  <c r="J179" i="59"/>
  <c r="J268" i="59"/>
  <c r="J181" i="59"/>
  <c r="J270" i="59"/>
  <c r="J183" i="59"/>
  <c r="J272" i="59"/>
  <c r="J185" i="59"/>
  <c r="J274" i="59"/>
  <c r="J187" i="59"/>
  <c r="J276" i="59"/>
  <c r="J189" i="59"/>
  <c r="J278" i="59"/>
  <c r="J191" i="59"/>
  <c r="J280" i="59"/>
  <c r="J193" i="59"/>
  <c r="J283" i="59"/>
  <c r="J196" i="59"/>
  <c r="H284" i="59"/>
  <c r="H197" i="59"/>
  <c r="T111" i="59"/>
  <c r="O231" i="54"/>
  <c r="O232" i="54" s="1"/>
  <c r="Q232" i="54" s="1"/>
  <c r="AU231" i="54"/>
  <c r="AU232" i="54" s="1"/>
  <c r="AW232" i="54" s="1"/>
  <c r="R111"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H282" i="59"/>
  <c r="H195" i="59"/>
  <c r="K283" i="59"/>
  <c r="K196" i="59"/>
  <c r="I284" i="59"/>
  <c r="I197" i="59"/>
  <c r="H286" i="59"/>
  <c r="H199" i="59"/>
  <c r="I298" i="59"/>
  <c r="I211" i="59"/>
  <c r="I302" i="59"/>
  <c r="I215" i="59"/>
  <c r="H267" i="59"/>
  <c r="H180" i="59"/>
  <c r="H269" i="59"/>
  <c r="H182" i="59"/>
  <c r="H271" i="59"/>
  <c r="H184" i="59"/>
  <c r="H273" i="59"/>
  <c r="H186" i="59"/>
  <c r="H275" i="59"/>
  <c r="H188" i="59"/>
  <c r="H277" i="59"/>
  <c r="H190" i="59"/>
  <c r="H279" i="59"/>
  <c r="H192" i="59"/>
  <c r="H281" i="59"/>
  <c r="H194" i="59"/>
  <c r="I282" i="59"/>
  <c r="I195" i="59"/>
  <c r="J284" i="59"/>
  <c r="J197" i="59"/>
  <c r="H259" i="59"/>
  <c r="H172" i="59"/>
  <c r="H263" i="59"/>
  <c r="H176" i="59"/>
  <c r="I259" i="59"/>
  <c r="I172" i="59"/>
  <c r="I261" i="59"/>
  <c r="I174" i="59"/>
  <c r="I263" i="59"/>
  <c r="I176" i="59"/>
  <c r="I265" i="59"/>
  <c r="I178" i="59"/>
  <c r="I267" i="59"/>
  <c r="I180" i="59"/>
  <c r="I269" i="59"/>
  <c r="I182" i="59"/>
  <c r="I271" i="59"/>
  <c r="I184" i="59"/>
  <c r="I273" i="59"/>
  <c r="I186" i="59"/>
  <c r="I275" i="59"/>
  <c r="I188" i="59"/>
  <c r="I277" i="59"/>
  <c r="I190" i="59"/>
  <c r="I279" i="59"/>
  <c r="I192" i="59"/>
  <c r="I281" i="59"/>
  <c r="I194" i="59"/>
  <c r="J282" i="59"/>
  <c r="J195" i="59"/>
  <c r="K284" i="59"/>
  <c r="K197" i="59"/>
  <c r="J286" i="59"/>
  <c r="J199" i="59"/>
  <c r="V111" i="59"/>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K282" i="59"/>
  <c r="K195" i="59"/>
  <c r="W111" i="59"/>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H288" i="59"/>
  <c r="H201" i="59"/>
  <c r="H293" i="59"/>
  <c r="H206" i="59"/>
  <c r="H295" i="59"/>
  <c r="H208" i="59"/>
  <c r="H297" i="59"/>
  <c r="H210" i="59"/>
  <c r="I300" i="59"/>
  <c r="I213" i="59"/>
  <c r="I395" i="59"/>
  <c r="I306" i="59"/>
  <c r="Q92" i="59"/>
  <c r="Y92" i="59"/>
  <c r="J400" i="59"/>
  <c r="J311" i="59"/>
  <c r="J402" i="59"/>
  <c r="J313" i="59"/>
  <c r="K286" i="59"/>
  <c r="K199" i="59"/>
  <c r="K288" i="59"/>
  <c r="K201" i="59"/>
  <c r="K290" i="59"/>
  <c r="K203" i="59"/>
  <c r="K292" i="59"/>
  <c r="K205" i="59"/>
  <c r="J294" i="59"/>
  <c r="J207" i="59"/>
  <c r="J296" i="59"/>
  <c r="J209" i="59"/>
  <c r="J298" i="59"/>
  <c r="J211" i="59"/>
  <c r="J300" i="59"/>
  <c r="J213" i="59"/>
  <c r="J302" i="59"/>
  <c r="J215" i="59"/>
  <c r="H396" i="59"/>
  <c r="H307" i="59"/>
  <c r="J398" i="59"/>
  <c r="J309" i="59"/>
  <c r="K400" i="59"/>
  <c r="K311" i="59"/>
  <c r="H287" i="59"/>
  <c r="H200" i="59"/>
  <c r="H289" i="59"/>
  <c r="H202" i="59"/>
  <c r="H291" i="59"/>
  <c r="H204" i="59"/>
  <c r="K294" i="59"/>
  <c r="K207" i="59"/>
  <c r="K296" i="59"/>
  <c r="K209" i="59"/>
  <c r="K298" i="59"/>
  <c r="K211" i="59"/>
  <c r="K300" i="59"/>
  <c r="K213" i="59"/>
  <c r="K302" i="59"/>
  <c r="K215" i="59"/>
  <c r="H305" i="59"/>
  <c r="H218" i="59"/>
  <c r="K395" i="59"/>
  <c r="K306" i="59"/>
  <c r="S92" i="59"/>
  <c r="I396" i="59"/>
  <c r="I307" i="59"/>
  <c r="H397" i="59"/>
  <c r="H308" i="59"/>
  <c r="K398" i="59"/>
  <c r="K309" i="59"/>
  <c r="H299" i="59"/>
  <c r="H212" i="59"/>
  <c r="H301" i="59"/>
  <c r="H214" i="59"/>
  <c r="H303" i="59"/>
  <c r="H216" i="59"/>
  <c r="I305" i="59"/>
  <c r="I218" i="59"/>
  <c r="J396" i="59"/>
  <c r="J307" i="59"/>
  <c r="I397" i="59"/>
  <c r="I308" i="59"/>
  <c r="I404" i="59"/>
  <c r="I315" i="59"/>
  <c r="J287" i="59"/>
  <c r="J200" i="59"/>
  <c r="J289" i="59"/>
  <c r="J202" i="59"/>
  <c r="J291" i="59"/>
  <c r="J204" i="59"/>
  <c r="I293" i="59"/>
  <c r="I206" i="59"/>
  <c r="I295" i="59"/>
  <c r="I208" i="59"/>
  <c r="I297" i="59"/>
  <c r="I210" i="59"/>
  <c r="I299" i="59"/>
  <c r="I212" i="59"/>
  <c r="I301" i="59"/>
  <c r="I214" i="59"/>
  <c r="I303" i="59"/>
  <c r="I216" i="59"/>
  <c r="H304" i="59"/>
  <c r="H217" i="59"/>
  <c r="J305" i="59"/>
  <c r="J218" i="59"/>
  <c r="K396" i="59"/>
  <c r="K307" i="59"/>
  <c r="I283" i="59"/>
  <c r="I196" i="59"/>
  <c r="K287" i="59"/>
  <c r="K200" i="59"/>
  <c r="K289" i="59"/>
  <c r="K202" i="59"/>
  <c r="K291" i="59"/>
  <c r="K204" i="59"/>
  <c r="J293" i="59"/>
  <c r="J206" i="59"/>
  <c r="J295" i="59"/>
  <c r="J208" i="59"/>
  <c r="J297" i="59"/>
  <c r="J210" i="59"/>
  <c r="J299" i="59"/>
  <c r="J212" i="59"/>
  <c r="J301" i="59"/>
  <c r="J214" i="59"/>
  <c r="J303" i="59"/>
  <c r="J216" i="59"/>
  <c r="I304" i="59"/>
  <c r="I217" i="59"/>
  <c r="K305" i="59"/>
  <c r="K218" i="59"/>
  <c r="H290" i="59"/>
  <c r="H203" i="59"/>
  <c r="H292" i="59"/>
  <c r="H205" i="59"/>
  <c r="K293" i="59"/>
  <c r="K206" i="59"/>
  <c r="K295" i="59"/>
  <c r="K208" i="59"/>
  <c r="K297" i="59"/>
  <c r="K210" i="59"/>
  <c r="K299" i="59"/>
  <c r="K212" i="59"/>
  <c r="K301" i="59"/>
  <c r="K214" i="59"/>
  <c r="K303" i="59"/>
  <c r="K216" i="59"/>
  <c r="J304" i="59"/>
  <c r="J217" i="59"/>
  <c r="I286" i="59"/>
  <c r="I199" i="59"/>
  <c r="I288" i="59"/>
  <c r="I201" i="59"/>
  <c r="I290" i="59"/>
  <c r="I203" i="59"/>
  <c r="I292" i="59"/>
  <c r="I205" i="59"/>
  <c r="H294" i="59"/>
  <c r="H207" i="59"/>
  <c r="H296" i="59"/>
  <c r="H209" i="59"/>
  <c r="H298" i="59"/>
  <c r="H211" i="59"/>
  <c r="H300" i="59"/>
  <c r="H213" i="59"/>
  <c r="H302" i="59"/>
  <c r="H215" i="59"/>
  <c r="K304" i="59"/>
  <c r="K217" i="59"/>
  <c r="H395" i="59"/>
  <c r="H306" i="59"/>
  <c r="P92" i="59"/>
  <c r="X92" i="59"/>
  <c r="I400" i="59"/>
  <c r="I311" i="59"/>
  <c r="I402" i="59"/>
  <c r="I313" i="59"/>
  <c r="P93" i="59"/>
  <c r="P114" i="59"/>
  <c r="X93" i="59"/>
  <c r="S158" i="59"/>
  <c r="K402" i="59"/>
  <c r="K313" i="59"/>
  <c r="J404" i="59"/>
  <c r="J315" i="59"/>
  <c r="Q93" i="59"/>
  <c r="Q114" i="59"/>
  <c r="Y93" i="59"/>
  <c r="H399" i="59"/>
  <c r="H310" i="59"/>
  <c r="H401" i="59"/>
  <c r="H312" i="59"/>
  <c r="H403" i="59"/>
  <c r="H314" i="59"/>
  <c r="K404" i="59"/>
  <c r="K315" i="59"/>
  <c r="R93" i="59"/>
  <c r="R114" i="59"/>
  <c r="Z93" i="59"/>
  <c r="U158" i="59"/>
  <c r="J395" i="59"/>
  <c r="J306" i="59"/>
  <c r="R92" i="59"/>
  <c r="Z92" i="59"/>
  <c r="J397" i="59"/>
  <c r="J308" i="59"/>
  <c r="I399" i="59"/>
  <c r="I310" i="59"/>
  <c r="I401" i="59"/>
  <c r="I312" i="59"/>
  <c r="I403" i="59"/>
  <c r="I314" i="59"/>
  <c r="S114" i="59"/>
  <c r="S93" i="59"/>
  <c r="AA93" i="59"/>
  <c r="AA92" i="59"/>
  <c r="K397" i="59"/>
  <c r="K308" i="59"/>
  <c r="J399" i="59"/>
  <c r="J310" i="59"/>
  <c r="J401" i="59"/>
  <c r="J312" i="59"/>
  <c r="J403" i="59"/>
  <c r="J314" i="59"/>
  <c r="H405" i="59"/>
  <c r="H316" i="59"/>
  <c r="P112" i="59"/>
  <c r="W158" i="59"/>
  <c r="H398" i="59"/>
  <c r="H309" i="59"/>
  <c r="K399" i="59"/>
  <c r="K310" i="59"/>
  <c r="K401" i="59"/>
  <c r="K312" i="59"/>
  <c r="K403" i="59"/>
  <c r="K314" i="59"/>
  <c r="I405" i="59"/>
  <c r="I316" i="59"/>
  <c r="Q112" i="59"/>
  <c r="I398" i="59"/>
  <c r="I309" i="59"/>
  <c r="H400" i="59"/>
  <c r="H311" i="59"/>
  <c r="H402" i="59"/>
  <c r="H313" i="59"/>
  <c r="J405" i="59"/>
  <c r="J316" i="59"/>
  <c r="R112" i="59"/>
  <c r="Q158" i="59"/>
  <c r="H404" i="59"/>
  <c r="H315" i="59"/>
  <c r="K405" i="59"/>
  <c r="K316" i="59"/>
  <c r="R159" i="59"/>
  <c r="T158" i="59"/>
  <c r="T159" i="59"/>
  <c r="V158" i="59"/>
  <c r="M137" i="59"/>
  <c r="O142" i="59"/>
  <c r="P159" i="59"/>
  <c r="P158" i="59"/>
  <c r="L130" i="59"/>
  <c r="R339" i="59"/>
  <c r="R338" i="59"/>
  <c r="R342" i="59"/>
  <c r="Z342" i="59"/>
  <c r="P339" i="59"/>
  <c r="P338" i="59"/>
  <c r="X342" i="59"/>
  <c r="Q342" i="59"/>
  <c r="Q338" i="59"/>
  <c r="Q339" i="59"/>
  <c r="Y342" i="59"/>
  <c r="S338" i="59"/>
  <c r="S342" i="59"/>
  <c r="S339" i="59"/>
  <c r="AA342" i="59"/>
  <c r="P342" i="59"/>
  <c r="AE231" i="55"/>
  <c r="AE232" i="55" s="1"/>
  <c r="AG232" i="55" s="1"/>
  <c r="BK231" i="55"/>
  <c r="BK232" i="55" s="1"/>
  <c r="BM232" i="55" s="1"/>
  <c r="CQ231" i="55"/>
  <c r="CQ232" i="55" s="1"/>
  <c r="CS232" i="55" s="1"/>
  <c r="DW231" i="55"/>
  <c r="DW232" i="55" s="1"/>
  <c r="DY232" i="55" s="1"/>
  <c r="FC231" i="55"/>
  <c r="FC232" i="55" s="1"/>
  <c r="FE232" i="55" s="1"/>
  <c r="AI231" i="54"/>
  <c r="AI232" i="54" s="1"/>
  <c r="AK232" i="54" s="1"/>
  <c r="BO231" i="54"/>
  <c r="BO232" i="54" s="1"/>
  <c r="BQ232" i="54" s="1"/>
  <c r="GM231" i="55"/>
  <c r="GM232" i="55" s="1"/>
  <c r="GO232" i="55" s="1"/>
  <c r="GI231" i="55"/>
  <c r="GI232" i="55" s="1"/>
  <c r="GK232" i="55" s="1"/>
  <c r="I332" i="55"/>
  <c r="E83" i="59" s="1"/>
  <c r="O320" i="55"/>
  <c r="E131" i="59" s="1"/>
  <c r="AA231" i="55"/>
  <c r="AA232" i="55" s="1"/>
  <c r="AC232" i="55" s="1"/>
  <c r="BG231" i="55"/>
  <c r="BG232" i="55" s="1"/>
  <c r="BI232" i="55" s="1"/>
  <c r="CM231" i="55"/>
  <c r="CM232" i="55" s="1"/>
  <c r="CO232" i="55" s="1"/>
  <c r="DS231" i="55"/>
  <c r="DS232" i="55" s="1"/>
  <c r="DU232" i="55" s="1"/>
  <c r="EY231" i="55"/>
  <c r="EY232" i="55" s="1"/>
  <c r="FA232" i="55" s="1"/>
  <c r="GE231" i="55"/>
  <c r="GE232" i="55" s="1"/>
  <c r="GG232" i="55" s="1"/>
  <c r="G347" i="55"/>
  <c r="D5" i="59" s="1"/>
  <c r="AE231" i="54"/>
  <c r="AE232" i="54" s="1"/>
  <c r="AG232" i="54" s="1"/>
  <c r="BK231" i="54"/>
  <c r="BK232" i="54" s="1"/>
  <c r="BM232" i="54" s="1"/>
  <c r="CQ231" i="54"/>
  <c r="CQ232" i="54" s="1"/>
  <c r="CS232" i="54" s="1"/>
  <c r="G344" i="55"/>
  <c r="I330" i="55"/>
  <c r="E71" i="59" s="1"/>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O324" i="55"/>
  <c r="G136" i="59" s="1"/>
  <c r="I333" i="55"/>
  <c r="E85" i="59" s="1"/>
  <c r="I325" i="55"/>
  <c r="CA231" i="54"/>
  <c r="CA232" i="54" s="1"/>
  <c r="CC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I321" i="55"/>
  <c r="G37" i="59" s="1"/>
  <c r="I322" i="55"/>
  <c r="AM231" i="55"/>
  <c r="AM232" i="55" s="1"/>
  <c r="AO232" i="55" s="1"/>
  <c r="BS231" i="55"/>
  <c r="BS232" i="55" s="1"/>
  <c r="BU232" i="55" s="1"/>
  <c r="CY231" i="55"/>
  <c r="CY232" i="55" s="1"/>
  <c r="DA232" i="55" s="1"/>
  <c r="EE231" i="55"/>
  <c r="EE232" i="55" s="1"/>
  <c r="EG232" i="55" s="1"/>
  <c r="FK231" i="55"/>
  <c r="FK232" i="55" s="1"/>
  <c r="FM232" i="55" s="1"/>
  <c r="GQ231" i="55"/>
  <c r="GQ232" i="55" s="1"/>
  <c r="GS232" i="55" s="1"/>
  <c r="I335" i="55"/>
  <c r="E88" i="59" s="1"/>
  <c r="I338" i="55"/>
  <c r="P338" i="55" s="1"/>
  <c r="G346" i="55"/>
  <c r="G352" i="55"/>
  <c r="O331" i="55"/>
  <c r="E141" i="59" s="1"/>
  <c r="I323" i="55"/>
  <c r="E55" i="59" s="1"/>
  <c r="I329" i="55"/>
  <c r="O333" i="55"/>
  <c r="E152" i="59" s="1"/>
  <c r="O336" i="55"/>
  <c r="E156" i="59" s="1"/>
  <c r="I328" i="55"/>
  <c r="I337" i="55"/>
  <c r="W231" i="55"/>
  <c r="W232" i="55" s="1"/>
  <c r="Y232" i="55" s="1"/>
  <c r="BC231" i="55"/>
  <c r="BC232" i="55" s="1"/>
  <c r="BE232" i="55" s="1"/>
  <c r="CI231" i="55"/>
  <c r="CI232" i="55" s="1"/>
  <c r="CK232" i="55" s="1"/>
  <c r="DO231" i="55"/>
  <c r="DO232" i="55" s="1"/>
  <c r="DQ232" i="55" s="1"/>
  <c r="EU231" i="55"/>
  <c r="EU232" i="55" s="1"/>
  <c r="EW232" i="55" s="1"/>
  <c r="GA231" i="55"/>
  <c r="GA232" i="55" s="1"/>
  <c r="GC232" i="55" s="1"/>
  <c r="G348" i="55"/>
  <c r="G350" i="55"/>
  <c r="O337" i="55"/>
  <c r="E157" i="59" s="1"/>
  <c r="AA231" i="54"/>
  <c r="AA232" i="54" s="1"/>
  <c r="AC232" i="54" s="1"/>
  <c r="BG231" i="54"/>
  <c r="BG232" i="54" s="1"/>
  <c r="BI232" i="54" s="1"/>
  <c r="CM231" i="54"/>
  <c r="CM232" i="54" s="1"/>
  <c r="CO232" i="54" s="1"/>
  <c r="CU231" i="54"/>
  <c r="CU232" i="54" s="1"/>
  <c r="CW232" i="54" s="1"/>
  <c r="DS231" i="54"/>
  <c r="DS232" i="54" s="1"/>
  <c r="DU232" i="54" s="1"/>
  <c r="EA231" i="54"/>
  <c r="EA232" i="54" s="1"/>
  <c r="EC232" i="54" s="1"/>
  <c r="EY231" i="54"/>
  <c r="EY232" i="54" s="1"/>
  <c r="FA232" i="54" s="1"/>
  <c r="FG231" i="54"/>
  <c r="FG232" i="54" s="1"/>
  <c r="FI232" i="54" s="1"/>
  <c r="GE231" i="54"/>
  <c r="GE232" i="54" s="1"/>
  <c r="GG232" i="54" s="1"/>
  <c r="GM231" i="54"/>
  <c r="GM232" i="54" s="1"/>
  <c r="GO232" i="54" s="1"/>
  <c r="O321" i="55"/>
  <c r="G131" i="59" s="1"/>
  <c r="O334" i="55"/>
  <c r="E154" i="59" s="1"/>
  <c r="K232" i="55"/>
  <c r="M232" i="55" s="1"/>
  <c r="S231" i="55"/>
  <c r="S232" i="55" s="1"/>
  <c r="U232" i="55" s="1"/>
  <c r="AI232" i="55"/>
  <c r="AK232" i="55" s="1"/>
  <c r="AQ232" i="55"/>
  <c r="AS232" i="55" s="1"/>
  <c r="AY231" i="55"/>
  <c r="AY232" i="55" s="1"/>
  <c r="BA232" i="55" s="1"/>
  <c r="BW232" i="55"/>
  <c r="BY232" i="55" s="1"/>
  <c r="CE231" i="55"/>
  <c r="CE232" i="55" s="1"/>
  <c r="CG232" i="55" s="1"/>
  <c r="DC232" i="55"/>
  <c r="DE232" i="55" s="1"/>
  <c r="DK231" i="55"/>
  <c r="DK232" i="55" s="1"/>
  <c r="DM232" i="55" s="1"/>
  <c r="EI232" i="55"/>
  <c r="EK232" i="55" s="1"/>
  <c r="EQ231" i="55"/>
  <c r="EQ232" i="55" s="1"/>
  <c r="ES232" i="55" s="1"/>
  <c r="FO232" i="55"/>
  <c r="FQ232" i="55" s="1"/>
  <c r="FW231" i="55"/>
  <c r="FW232" i="55" s="1"/>
  <c r="FY232" i="55" s="1"/>
  <c r="GU232" i="55"/>
  <c r="GW232" i="55" s="1"/>
  <c r="I334" i="55"/>
  <c r="G342" i="55"/>
  <c r="G349" i="55"/>
  <c r="O330" i="55"/>
  <c r="E140" i="59" s="1"/>
  <c r="G355" i="55"/>
  <c r="D4" i="59" s="1"/>
  <c r="G343" i="55"/>
  <c r="D2" i="59" s="1"/>
  <c r="I324" i="55"/>
  <c r="G55" i="59" s="1"/>
  <c r="O335" i="55"/>
  <c r="E155" i="59" s="1"/>
  <c r="G354" i="55"/>
  <c r="O323" i="55"/>
  <c r="E136" i="59" s="1"/>
  <c r="I327" i="55"/>
  <c r="O332" i="55"/>
  <c r="I336" i="55"/>
  <c r="E89" i="59" s="1"/>
  <c r="G345" i="55"/>
  <c r="I331" i="55"/>
  <c r="G351" i="55"/>
  <c r="I320" i="55"/>
  <c r="E37" i="59" s="1"/>
  <c r="I326" i="55"/>
  <c r="G353" i="55"/>
  <c r="D3" i="59" s="1"/>
  <c r="AI231" i="53"/>
  <c r="AI232" i="53" s="1"/>
  <c r="AK232" i="53" s="1"/>
  <c r="S231" i="54"/>
  <c r="S232" i="54" s="1"/>
  <c r="U232" i="54" s="1"/>
  <c r="AY231" i="54"/>
  <c r="AY232" i="54" s="1"/>
  <c r="BA232" i="54" s="1"/>
  <c r="CE231" i="54"/>
  <c r="CE232" i="54" s="1"/>
  <c r="CG232" i="54" s="1"/>
  <c r="DK231" i="54"/>
  <c r="DK232" i="54" s="1"/>
  <c r="DM232" i="54" s="1"/>
  <c r="EQ231" i="54"/>
  <c r="EQ232" i="54" s="1"/>
  <c r="ES232" i="54" s="1"/>
  <c r="FW231" i="54"/>
  <c r="FW232" i="54" s="1"/>
  <c r="FY232" i="54" s="1"/>
  <c r="S231" i="53"/>
  <c r="S232" i="53" s="1"/>
  <c r="U232" i="53" s="1"/>
  <c r="W231" i="54"/>
  <c r="W232" i="54" s="1"/>
  <c r="Y232" i="54" s="1"/>
  <c r="BC231" i="54"/>
  <c r="BC232" i="54" s="1"/>
  <c r="BE232" i="54" s="1"/>
  <c r="CI231" i="54"/>
  <c r="CI232" i="54" s="1"/>
  <c r="CK232" i="54" s="1"/>
  <c r="DO231" i="54"/>
  <c r="DO232" i="54" s="1"/>
  <c r="DQ232" i="54" s="1"/>
  <c r="EU231" i="54"/>
  <c r="EU232" i="54" s="1"/>
  <c r="EW232" i="54" s="1"/>
  <c r="GA231" i="54"/>
  <c r="GA232" i="54" s="1"/>
  <c r="GC232" i="54" s="1"/>
  <c r="K232" i="54"/>
  <c r="M232" i="54" s="1"/>
  <c r="AQ232" i="54"/>
  <c r="AS232" i="54" s="1"/>
  <c r="BW232" i="54"/>
  <c r="BY232" i="54" s="1"/>
  <c r="DC232" i="54"/>
  <c r="DE232" i="54" s="1"/>
  <c r="EI232" i="54"/>
  <c r="EK232" i="54" s="1"/>
  <c r="FO232" i="54"/>
  <c r="FQ232" i="54" s="1"/>
  <c r="GU232" i="54"/>
  <c r="GW232" i="54"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EY231" i="52"/>
  <c r="EY232" i="52" s="1"/>
  <c r="FA232" i="52" s="1"/>
  <c r="GE231" i="52"/>
  <c r="GE232" i="52" s="1"/>
  <c r="GG232" i="52" s="1"/>
  <c r="AY231" i="53"/>
  <c r="AY232" i="53" s="1"/>
  <c r="BA232" i="53" s="1"/>
  <c r="BO231" i="53"/>
  <c r="BO232" i="53" s="1"/>
  <c r="BQ232" i="53" s="1"/>
  <c r="CE231" i="53"/>
  <c r="CE232" i="53" s="1"/>
  <c r="CG232" i="53" s="1"/>
  <c r="CU231" i="53"/>
  <c r="CU232" i="53" s="1"/>
  <c r="CW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AE231" i="52"/>
  <c r="AE232" i="52" s="1"/>
  <c r="AG232" i="52" s="1"/>
  <c r="AM231" i="52"/>
  <c r="AM232" i="52" s="1"/>
  <c r="AO232" i="52" s="1"/>
  <c r="BK231" i="52"/>
  <c r="BK232" i="52" s="1"/>
  <c r="BM232" i="52" s="1"/>
  <c r="BS231" i="52"/>
  <c r="BS232" i="52" s="1"/>
  <c r="BU232" i="52" s="1"/>
  <c r="CQ231" i="52"/>
  <c r="CQ232" i="52" s="1"/>
  <c r="CS232" i="52" s="1"/>
  <c r="CY231" i="52"/>
  <c r="CY232" i="52" s="1"/>
  <c r="DA232" i="52" s="1"/>
  <c r="DW231" i="52"/>
  <c r="DW232" i="52" s="1"/>
  <c r="DY232" i="52" s="1"/>
  <c r="EE231" i="52"/>
  <c r="EE232" i="52" s="1"/>
  <c r="EG232" i="52" s="1"/>
  <c r="FC231" i="52"/>
  <c r="FC232" i="52" s="1"/>
  <c r="FE232" i="52" s="1"/>
  <c r="FK231" i="52"/>
  <c r="FK232" i="52" s="1"/>
  <c r="FM232" i="52" s="1"/>
  <c r="GI231" i="52"/>
  <c r="GI232" i="52" s="1"/>
  <c r="GK232" i="52" s="1"/>
  <c r="GQ231" i="52"/>
  <c r="GQ232" i="52" s="1"/>
  <c r="GS232" i="52" s="1"/>
  <c r="O231" i="53"/>
  <c r="O232" i="53" s="1"/>
  <c r="Q232" i="53" s="1"/>
  <c r="AE231" i="53"/>
  <c r="AE232" i="53" s="1"/>
  <c r="AG232" i="53" s="1"/>
  <c r="AU231" i="53"/>
  <c r="AU232" i="53" s="1"/>
  <c r="AW232" i="53" s="1"/>
  <c r="BK231" i="53"/>
  <c r="BK232" i="53" s="1"/>
  <c r="BM232" i="53" s="1"/>
  <c r="CA231" i="53"/>
  <c r="CA232" i="53" s="1"/>
  <c r="CC232" i="53" s="1"/>
  <c r="CQ231" i="53"/>
  <c r="CQ232" i="53" s="1"/>
  <c r="CS232" i="53" s="1"/>
  <c r="DG231" i="53"/>
  <c r="DG232" i="53" s="1"/>
  <c r="DI232" i="53" s="1"/>
  <c r="EM231" i="53"/>
  <c r="EM232" i="53" s="1"/>
  <c r="EO232" i="53" s="1"/>
  <c r="FS231" i="53"/>
  <c r="FS232" i="53" s="1"/>
  <c r="FU232" i="53" s="1"/>
  <c r="GY231" i="53"/>
  <c r="GY232" i="53" s="1"/>
  <c r="HA232" i="53" s="1"/>
  <c r="EI232" i="53"/>
  <c r="EK232" i="53" s="1"/>
  <c r="AM231" i="53"/>
  <c r="AM232" i="53" s="1"/>
  <c r="AO232" i="53" s="1"/>
  <c r="BS231" i="53"/>
  <c r="BS232" i="53" s="1"/>
  <c r="BU232" i="53" s="1"/>
  <c r="CY231" i="53"/>
  <c r="CY232" i="53" s="1"/>
  <c r="DA232" i="53" s="1"/>
  <c r="DW231" i="53"/>
  <c r="DW232" i="53" s="1"/>
  <c r="DY232" i="53" s="1"/>
  <c r="EE231" i="53"/>
  <c r="EE232" i="53" s="1"/>
  <c r="EG232" i="53" s="1"/>
  <c r="FC231" i="53"/>
  <c r="FC232" i="53" s="1"/>
  <c r="FE232" i="53" s="1"/>
  <c r="FK231" i="53"/>
  <c r="FK232" i="53" s="1"/>
  <c r="FM232" i="53" s="1"/>
  <c r="GI231" i="53"/>
  <c r="GI232" i="53" s="1"/>
  <c r="GK232" i="53" s="1"/>
  <c r="GQ231" i="53"/>
  <c r="GQ232" i="53" s="1"/>
  <c r="GS232" i="53" s="1"/>
  <c r="BW231" i="53"/>
  <c r="BW232" i="53" s="1"/>
  <c r="BY232" i="53" s="1"/>
  <c r="DC231" i="53"/>
  <c r="DC232" i="53" s="1"/>
  <c r="DE232" i="53" s="1"/>
  <c r="GU231" i="53"/>
  <c r="GU232" i="53" s="1"/>
  <c r="GW232" i="53" s="1"/>
  <c r="DG231" i="52"/>
  <c r="DG232" i="52" s="1"/>
  <c r="DI232" i="52" s="1"/>
  <c r="EM231" i="52"/>
  <c r="EM232" i="52" s="1"/>
  <c r="EO232" i="52" s="1"/>
  <c r="GY231" i="52"/>
  <c r="GY232" i="52" s="1"/>
  <c r="HA232" i="52" s="1"/>
  <c r="AY231" i="52"/>
  <c r="AY232" i="52" s="1"/>
  <c r="BA232" i="52" s="1"/>
  <c r="EQ231" i="52"/>
  <c r="EQ232" i="52" s="1"/>
  <c r="ES232" i="52" s="1"/>
  <c r="FW231" i="52"/>
  <c r="FW232" i="52" s="1"/>
  <c r="FY232" i="52" s="1"/>
  <c r="K232" i="53"/>
  <c r="M232" i="53" s="1"/>
  <c r="S231" i="52"/>
  <c r="S232" i="52" s="1"/>
  <c r="U232" i="52" s="1"/>
  <c r="CE231" i="52"/>
  <c r="CE232" i="52" s="1"/>
  <c r="CG232" i="52" s="1"/>
  <c r="DK231" i="52"/>
  <c r="DK232" i="52" s="1"/>
  <c r="DM232" i="52" s="1"/>
  <c r="AQ232" i="53"/>
  <c r="AS232" i="53" s="1"/>
  <c r="FO232" i="53"/>
  <c r="FQ232" i="53" s="1"/>
  <c r="O231" i="52"/>
  <c r="O232" i="52" s="1"/>
  <c r="Q232" i="52" s="1"/>
  <c r="AU231" i="52"/>
  <c r="AU232" i="52" s="1"/>
  <c r="AW232" i="52" s="1"/>
  <c r="CA231" i="52"/>
  <c r="CA232" i="52" s="1"/>
  <c r="CC232" i="52" s="1"/>
  <c r="FS231" i="52"/>
  <c r="FS232" i="52" s="1"/>
  <c r="FU232" i="52" s="1"/>
  <c r="AA231" i="53"/>
  <c r="AA232" i="53" s="1"/>
  <c r="AC232" i="53" s="1"/>
  <c r="BG231" i="53"/>
  <c r="BG232" i="53" s="1"/>
  <c r="BI232" i="53" s="1"/>
  <c r="CM231" i="53"/>
  <c r="CM232" i="53" s="1"/>
  <c r="CO232" i="53" s="1"/>
  <c r="DS231" i="53"/>
  <c r="DS232" i="53" s="1"/>
  <c r="DU232" i="53" s="1"/>
  <c r="EY231" i="53"/>
  <c r="EY232" i="53" s="1"/>
  <c r="FA232" i="53" s="1"/>
  <c r="GE231" i="53"/>
  <c r="GE232" i="53" s="1"/>
  <c r="GG232" i="53" s="1"/>
  <c r="DO231" i="52"/>
  <c r="DO232" i="52" s="1"/>
  <c r="DQ232" i="52" s="1"/>
  <c r="EU231" i="52"/>
  <c r="EU232" i="52" s="1"/>
  <c r="EW232" i="52" s="1"/>
  <c r="GA231" i="52"/>
  <c r="GA232" i="52" s="1"/>
  <c r="GC232" i="52" s="1"/>
  <c r="BC231" i="52"/>
  <c r="BC232" i="52" s="1"/>
  <c r="BE232" i="52" s="1"/>
  <c r="CI231" i="52"/>
  <c r="CI232" i="52" s="1"/>
  <c r="CK232" i="52" s="1"/>
  <c r="W231" i="52"/>
  <c r="W232" i="52" s="1"/>
  <c r="Y232" i="52" s="1"/>
  <c r="K232" i="52"/>
  <c r="M232" i="52" s="1"/>
  <c r="BO231" i="52"/>
  <c r="BO232" i="52" s="1"/>
  <c r="BQ232" i="52" s="1"/>
  <c r="CU231" i="52"/>
  <c r="CU232" i="52" s="1"/>
  <c r="CW232" i="52" s="1"/>
  <c r="EA231" i="52"/>
  <c r="EA232" i="52" s="1"/>
  <c r="EC232" i="52" s="1"/>
  <c r="FG231" i="52"/>
  <c r="FG232" i="52" s="1"/>
  <c r="FI232" i="52" s="1"/>
  <c r="FO232" i="52"/>
  <c r="FQ232" i="52" s="1"/>
  <c r="GM231" i="52"/>
  <c r="GM232" i="52" s="1"/>
  <c r="GO232" i="52" s="1"/>
  <c r="AI231" i="52"/>
  <c r="AI232" i="52" s="1"/>
  <c r="AK232" i="52" s="1"/>
  <c r="BW232" i="52"/>
  <c r="BY232" i="52" s="1"/>
  <c r="DC232" i="52"/>
  <c r="DE232" i="52" s="1"/>
  <c r="GU232" i="52"/>
  <c r="GW232" i="52" s="1"/>
  <c r="AQ232" i="52"/>
  <c r="AS232" i="52" s="1"/>
  <c r="EI232" i="52"/>
  <c r="EK232" i="52" s="1"/>
  <c r="AV284" i="53"/>
  <c r="N248" i="53"/>
  <c r="Z248" i="55"/>
  <c r="AK260" i="52"/>
  <c r="AQ284" i="55"/>
  <c r="AY260" i="52"/>
  <c r="AP248" i="55"/>
  <c r="AO260" i="53"/>
  <c r="I248" i="54"/>
  <c r="AE272" i="53"/>
  <c r="O284" i="53"/>
  <c r="K248" i="52"/>
  <c r="AY272" i="53"/>
  <c r="AH272" i="52"/>
  <c r="AP284" i="54"/>
  <c r="K272" i="53"/>
  <c r="H260" i="52"/>
  <c r="X260" i="52"/>
  <c r="E284" i="55"/>
  <c r="AQ248" i="52"/>
  <c r="AO272" i="54"/>
  <c r="AH272" i="54"/>
  <c r="BB260" i="54"/>
  <c r="J284" i="55"/>
  <c r="AZ272" i="52"/>
  <c r="U248" i="54"/>
  <c r="W260" i="53"/>
  <c r="AL272" i="52"/>
  <c r="AI248" i="53"/>
  <c r="E248" i="55"/>
  <c r="AZ284" i="52"/>
  <c r="AE248" i="54"/>
  <c r="AV284" i="55"/>
  <c r="AB272" i="55"/>
  <c r="AJ272" i="52"/>
  <c r="H260" i="54"/>
  <c r="U248" i="52"/>
  <c r="Z272" i="55"/>
  <c r="AL248" i="53"/>
  <c r="AE260" i="52"/>
  <c r="H248" i="55"/>
  <c r="K284" i="52"/>
  <c r="AB248" i="54"/>
  <c r="AE284" i="52"/>
  <c r="T260" i="53"/>
  <c r="P248" i="54"/>
  <c r="AF248" i="52"/>
  <c r="AW284" i="54"/>
  <c r="AN260" i="54"/>
  <c r="V284" i="53"/>
  <c r="AO272" i="52"/>
  <c r="AK272" i="55"/>
  <c r="AR284" i="54"/>
  <c r="F248" i="54"/>
  <c r="AO260" i="54"/>
  <c r="AZ260" i="54"/>
  <c r="AN272" i="53"/>
  <c r="AH284" i="55"/>
  <c r="AJ284" i="53"/>
  <c r="R248" i="53"/>
  <c r="AQ284" i="52"/>
  <c r="I260" i="55"/>
  <c r="F284" i="53"/>
  <c r="Z284" i="55"/>
  <c r="E260" i="53"/>
  <c r="Y248" i="52"/>
  <c r="AX284" i="53"/>
  <c r="AX272" i="54"/>
  <c r="AA260" i="53"/>
  <c r="AO248" i="54"/>
  <c r="H272" i="53"/>
  <c r="T260" i="52"/>
  <c r="AH248" i="54"/>
  <c r="AQ248" i="55"/>
  <c r="L272" i="52"/>
  <c r="Y260" i="54"/>
  <c r="BB260" i="53"/>
  <c r="E248" i="54"/>
  <c r="AF284" i="53"/>
  <c r="BB260" i="55"/>
  <c r="U284" i="54"/>
  <c r="AE260" i="55"/>
  <c r="AA272" i="52"/>
  <c r="J284" i="53"/>
  <c r="AA248" i="54"/>
  <c r="AD272" i="53"/>
  <c r="X272" i="54"/>
  <c r="BB272" i="52"/>
  <c r="H260" i="53"/>
  <c r="BA284" i="52"/>
  <c r="X248" i="53"/>
  <c r="Y248" i="54"/>
  <c r="AM248" i="53"/>
  <c r="L284" i="55"/>
  <c r="W248" i="55"/>
  <c r="AM260" i="53"/>
  <c r="AB260" i="52"/>
  <c r="X260" i="55"/>
  <c r="V284" i="54"/>
  <c r="AB260" i="55"/>
  <c r="AI248" i="52"/>
  <c r="F284" i="52"/>
  <c r="X248" i="55"/>
  <c r="AY260" i="53"/>
  <c r="N260" i="53"/>
  <c r="S272" i="55"/>
  <c r="S284" i="55"/>
  <c r="AG284" i="52"/>
  <c r="X284" i="55"/>
  <c r="AH260" i="55"/>
  <c r="P248" i="53"/>
  <c r="R272" i="52"/>
  <c r="AH284" i="52"/>
  <c r="Y248" i="53"/>
  <c r="AI284" i="54"/>
  <c r="H260" i="55"/>
  <c r="AW248" i="55"/>
  <c r="F260" i="55"/>
  <c r="AE284" i="54"/>
  <c r="V248" i="55"/>
  <c r="AM260" i="55"/>
  <c r="S260" i="55"/>
  <c r="R248" i="55"/>
  <c r="H284" i="54"/>
  <c r="AD284" i="54"/>
  <c r="AM272" i="53"/>
  <c r="BB272" i="54"/>
  <c r="E260" i="52"/>
  <c r="P260" i="52"/>
  <c r="AL284" i="54"/>
  <c r="H272" i="54"/>
  <c r="X260" i="54"/>
  <c r="BA284" i="55"/>
  <c r="AA284" i="52"/>
  <c r="AY284" i="52"/>
  <c r="P284" i="52"/>
  <c r="N248" i="55"/>
  <c r="T248" i="54"/>
  <c r="AP248" i="53"/>
  <c r="Q284" i="53"/>
  <c r="AG248" i="52"/>
  <c r="BA272" i="54"/>
  <c r="AJ260" i="52"/>
  <c r="AR272" i="54"/>
  <c r="Z284" i="52"/>
  <c r="AH248" i="53"/>
  <c r="AZ260" i="53"/>
  <c r="AY284" i="55"/>
  <c r="AS272" i="54"/>
  <c r="AR260" i="53"/>
  <c r="AZ284" i="55"/>
  <c r="AD272" i="55"/>
  <c r="K284" i="55"/>
  <c r="AB284" i="54"/>
  <c r="T260" i="54"/>
  <c r="W272" i="55"/>
  <c r="N248" i="54"/>
  <c r="W284" i="52"/>
  <c r="AY272" i="54"/>
  <c r="S284" i="53"/>
  <c r="M260" i="54"/>
  <c r="N284" i="53"/>
  <c r="G272" i="52"/>
  <c r="U284" i="52"/>
  <c r="S248" i="55"/>
  <c r="Z248" i="53"/>
  <c r="G272" i="55"/>
  <c r="F284" i="55"/>
  <c r="W272" i="52"/>
  <c r="K272" i="55"/>
  <c r="Y260" i="55"/>
  <c r="N272" i="55"/>
  <c r="Q260" i="55"/>
  <c r="R260" i="54"/>
  <c r="Q272" i="54"/>
  <c r="AE248" i="53"/>
  <c r="AQ248" i="53"/>
  <c r="V260" i="55"/>
  <c r="S284" i="52"/>
  <c r="AG284" i="53"/>
  <c r="J248" i="52"/>
  <c r="AE284" i="53"/>
  <c r="AY248" i="55"/>
  <c r="AO260" i="55"/>
  <c r="Y284" i="55"/>
  <c r="L260" i="55"/>
  <c r="AS284" i="55"/>
  <c r="AP284" i="55"/>
  <c r="M248" i="53"/>
  <c r="W272" i="53"/>
  <c r="AY260" i="54"/>
  <c r="F248" i="52"/>
  <c r="AW284" i="55"/>
  <c r="AT248" i="53"/>
  <c r="BA272" i="55"/>
  <c r="M284" i="52"/>
  <c r="AL260" i="55"/>
  <c r="AT248" i="54"/>
  <c r="AU272" i="54"/>
  <c r="V272" i="55"/>
  <c r="AP272" i="53"/>
  <c r="T272" i="55"/>
  <c r="N260" i="55"/>
  <c r="AI272" i="53"/>
  <c r="K248" i="54"/>
  <c r="O260" i="53"/>
  <c r="AU284" i="52"/>
  <c r="AQ272" i="54"/>
  <c r="AE260" i="53"/>
  <c r="X284" i="54"/>
  <c r="AK248" i="53"/>
  <c r="AI284" i="52"/>
  <c r="AS284" i="53"/>
  <c r="BA260" i="55"/>
  <c r="M284" i="55"/>
  <c r="AS284" i="52"/>
  <c r="AD248" i="54"/>
  <c r="AO284" i="54"/>
  <c r="AE272" i="52"/>
  <c r="U260" i="52"/>
  <c r="AG272" i="52"/>
  <c r="AE272" i="55"/>
  <c r="AZ284" i="53"/>
  <c r="AW284" i="53"/>
  <c r="AD260" i="52"/>
  <c r="AO284" i="55"/>
  <c r="R284" i="54"/>
  <c r="AP272" i="54"/>
  <c r="S260" i="52"/>
  <c r="AS248" i="53"/>
  <c r="AF260" i="54"/>
  <c r="T248" i="52"/>
  <c r="AL248" i="52"/>
  <c r="G284" i="55"/>
  <c r="U260" i="55"/>
  <c r="H248" i="53"/>
  <c r="O272" i="54"/>
  <c r="F248" i="55"/>
  <c r="L260" i="54"/>
  <c r="P284" i="53"/>
  <c r="AX272" i="53"/>
  <c r="Z284" i="53"/>
  <c r="AZ248" i="54"/>
  <c r="K248" i="53"/>
  <c r="J272" i="53"/>
  <c r="E248" i="52"/>
  <c r="BA260" i="52"/>
  <c r="W248" i="53"/>
  <c r="H272" i="55"/>
  <c r="G272" i="54"/>
  <c r="AJ284" i="55"/>
  <c r="AX272" i="55"/>
  <c r="AP284" i="52"/>
  <c r="BB284" i="54"/>
  <c r="AL272" i="55"/>
  <c r="AU284" i="53"/>
  <c r="AN284" i="54"/>
  <c r="AB260" i="53"/>
  <c r="AG248" i="55"/>
  <c r="AR272" i="55"/>
  <c r="AO248" i="55"/>
  <c r="AC272" i="54"/>
  <c r="M272" i="55"/>
  <c r="AN284" i="55"/>
  <c r="AY272" i="52"/>
  <c r="Y284" i="54"/>
  <c r="AC272" i="53"/>
  <c r="Z260" i="52"/>
  <c r="AY248" i="53"/>
  <c r="AI272" i="52"/>
  <c r="AH248" i="52"/>
  <c r="Q260" i="54"/>
  <c r="P248" i="55"/>
  <c r="BA248" i="54"/>
  <c r="E272" i="53"/>
  <c r="AX248" i="55"/>
  <c r="I272" i="53"/>
  <c r="AL248" i="54"/>
  <c r="AC260" i="54"/>
  <c r="V248" i="52"/>
  <c r="AY260" i="55"/>
  <c r="AL260" i="54"/>
  <c r="AH248" i="55"/>
  <c r="AF248" i="53"/>
  <c r="AD284" i="52"/>
  <c r="U272" i="54"/>
  <c r="E284" i="54"/>
  <c r="G248" i="54"/>
  <c r="AU248" i="53"/>
  <c r="I248" i="52"/>
  <c r="P260" i="53"/>
  <c r="AU248" i="52"/>
  <c r="AY248" i="54"/>
  <c r="AW248" i="54"/>
  <c r="AB284" i="52"/>
  <c r="AU272" i="55"/>
  <c r="AA272" i="54"/>
  <c r="Q272" i="52"/>
  <c r="J260" i="53"/>
  <c r="M284" i="53"/>
  <c r="AM248" i="52"/>
  <c r="AW248" i="53"/>
  <c r="AC272" i="52"/>
  <c r="AJ284" i="54"/>
  <c r="AZ272" i="53"/>
  <c r="BA284" i="53"/>
  <c r="J260" i="52"/>
  <c r="Q260" i="52"/>
  <c r="AW284" i="52"/>
  <c r="I260" i="53"/>
  <c r="Q272" i="53"/>
  <c r="AN260" i="53"/>
  <c r="AA248" i="55"/>
  <c r="U260" i="53"/>
  <c r="AK284" i="54"/>
  <c r="W284" i="55"/>
  <c r="AA260" i="54"/>
  <c r="Y272" i="54"/>
  <c r="K272" i="52"/>
  <c r="AZ248" i="55"/>
  <c r="AX260" i="53"/>
  <c r="AS260" i="55"/>
  <c r="AD272" i="54"/>
  <c r="V260" i="52"/>
  <c r="K260" i="55"/>
  <c r="AF248" i="55"/>
  <c r="AV248" i="54"/>
  <c r="AX248" i="53"/>
  <c r="F272" i="55"/>
  <c r="W284" i="54"/>
  <c r="AU272" i="52"/>
  <c r="O260" i="52"/>
  <c r="AC272" i="55"/>
  <c r="L272" i="55"/>
  <c r="AL284" i="53"/>
  <c r="AI248" i="55"/>
  <c r="BB284" i="52"/>
  <c r="F284" i="54"/>
  <c r="BB272" i="53"/>
  <c r="AK260" i="53"/>
  <c r="AK272" i="54"/>
  <c r="T284" i="53"/>
  <c r="AX260" i="54"/>
  <c r="T284" i="52"/>
  <c r="AK248" i="52"/>
  <c r="K260" i="53"/>
  <c r="AP272" i="55"/>
  <c r="AQ248" i="54"/>
  <c r="O260" i="55"/>
  <c r="AC248" i="54"/>
  <c r="AG272" i="53"/>
  <c r="AT272" i="52"/>
  <c r="AC248" i="53"/>
  <c r="AS260" i="54"/>
  <c r="Y284" i="53"/>
  <c r="AQ272" i="53"/>
  <c r="BB272" i="55"/>
  <c r="T272" i="54"/>
  <c r="AV248" i="55"/>
  <c r="E260" i="54"/>
  <c r="S260" i="54"/>
  <c r="AB284" i="53"/>
  <c r="BA260" i="53"/>
  <c r="V272" i="52"/>
  <c r="U272" i="53"/>
  <c r="AK260" i="55"/>
  <c r="I260" i="54"/>
  <c r="BA248" i="53"/>
  <c r="AS248" i="55"/>
  <c r="AG248" i="54"/>
  <c r="AD272" i="52"/>
  <c r="AI248" i="54"/>
  <c r="W260" i="54"/>
  <c r="AA260" i="55"/>
  <c r="H284" i="53"/>
  <c r="AF260" i="52"/>
  <c r="J272" i="52"/>
  <c r="G248" i="53"/>
  <c r="H248" i="52"/>
  <c r="Q284" i="54"/>
  <c r="S248" i="53"/>
  <c r="P248" i="52"/>
  <c r="Z272" i="53"/>
  <c r="M260" i="55"/>
  <c r="AM284" i="52"/>
  <c r="AF284" i="54"/>
  <c r="AG260" i="53"/>
  <c r="AF284" i="52"/>
  <c r="AG260" i="54"/>
  <c r="AP260" i="52"/>
  <c r="AI284" i="53"/>
  <c r="AC284" i="52"/>
  <c r="AZ272" i="55"/>
  <c r="AC248" i="55"/>
  <c r="M272" i="52"/>
  <c r="AW272" i="53"/>
  <c r="J248" i="54"/>
  <c r="AX248" i="52"/>
  <c r="N272" i="54"/>
  <c r="AX260" i="52"/>
  <c r="AQ260" i="54"/>
  <c r="AJ272" i="55"/>
  <c r="AM284" i="55"/>
  <c r="AU260" i="53"/>
  <c r="AS260" i="52"/>
  <c r="AR272" i="52"/>
  <c r="AS284" i="54"/>
  <c r="AV284" i="52"/>
  <c r="M260" i="53"/>
  <c r="W260" i="52"/>
  <c r="AN272" i="52"/>
  <c r="AV272" i="52"/>
  <c r="AP284" i="53"/>
  <c r="AL272" i="53"/>
  <c r="K248" i="55"/>
  <c r="AG260" i="55"/>
  <c r="AS260" i="53"/>
  <c r="AI260" i="53"/>
  <c r="AR248" i="54"/>
  <c r="AR260" i="52"/>
  <c r="O248" i="54"/>
  <c r="AF272" i="52"/>
  <c r="W248" i="52"/>
  <c r="AV260" i="52"/>
  <c r="V248" i="53"/>
  <c r="Y284" i="52"/>
  <c r="O248" i="55"/>
  <c r="G260" i="52"/>
  <c r="AJ248" i="55"/>
  <c r="S284" i="54"/>
  <c r="AR248" i="53"/>
  <c r="I284" i="53"/>
  <c r="AY284" i="54"/>
  <c r="Y272" i="55"/>
  <c r="AW272" i="55"/>
  <c r="AR248" i="52"/>
  <c r="AM248" i="55"/>
  <c r="AQ272" i="55"/>
  <c r="K260" i="52"/>
  <c r="AK260" i="54"/>
  <c r="AH284" i="54"/>
  <c r="AA272" i="53"/>
  <c r="Q284" i="52"/>
  <c r="L248" i="53"/>
  <c r="AN248" i="52"/>
  <c r="O284" i="52"/>
  <c r="AU260" i="52"/>
  <c r="AQ284" i="54"/>
  <c r="AR272" i="53"/>
  <c r="AM272" i="52"/>
  <c r="O248" i="52"/>
  <c r="AK272" i="53"/>
  <c r="AK272" i="52"/>
  <c r="AM248" i="54"/>
  <c r="P260" i="55"/>
  <c r="AB260" i="54"/>
  <c r="AF260" i="55"/>
  <c r="AA284" i="53"/>
  <c r="R272" i="53"/>
  <c r="W284" i="53"/>
  <c r="AG284" i="54"/>
  <c r="N284" i="54"/>
  <c r="J284" i="52"/>
  <c r="AV272" i="53"/>
  <c r="AE248" i="55"/>
  <c r="AN272" i="54"/>
  <c r="Q248" i="54"/>
  <c r="AT248" i="55"/>
  <c r="R272" i="55"/>
  <c r="G248" i="55"/>
  <c r="AU284" i="54"/>
  <c r="AT284" i="54"/>
  <c r="AP260" i="53"/>
  <c r="Z248" i="54"/>
  <c r="AE260" i="54"/>
  <c r="AW260" i="54"/>
  <c r="O272" i="55"/>
  <c r="H284" i="55"/>
  <c r="AC260" i="53"/>
  <c r="AB272" i="53"/>
  <c r="AH272" i="55"/>
  <c r="Y248" i="55"/>
  <c r="R260" i="55"/>
  <c r="N284" i="52"/>
  <c r="AL260" i="52"/>
  <c r="AQ284" i="53"/>
  <c r="AZ248" i="52"/>
  <c r="S260" i="53"/>
  <c r="BA272" i="52"/>
  <c r="AU260" i="55"/>
  <c r="AM272" i="54"/>
  <c r="AL272" i="54"/>
  <c r="AK248" i="55"/>
  <c r="AW260" i="53"/>
  <c r="AS272" i="53"/>
  <c r="AC284" i="55"/>
  <c r="AJ284" i="52"/>
  <c r="AV260" i="54"/>
  <c r="Q248" i="55"/>
  <c r="U260" i="54"/>
  <c r="AP260" i="54"/>
  <c r="AO272" i="55"/>
  <c r="AC260" i="55"/>
  <c r="AD260" i="53"/>
  <c r="BB284" i="55"/>
  <c r="AG260" i="52"/>
  <c r="AZ248" i="53"/>
  <c r="AE284" i="55"/>
  <c r="AV260" i="53"/>
  <c r="L248" i="52"/>
  <c r="M272" i="53"/>
  <c r="AN248" i="55"/>
  <c r="AV272" i="55"/>
  <c r="BB248" i="53"/>
  <c r="M248" i="55"/>
  <c r="J248" i="53"/>
  <c r="AQ260" i="53"/>
  <c r="K260" i="54"/>
  <c r="AF284" i="55"/>
  <c r="AG272" i="55"/>
  <c r="I284" i="54"/>
  <c r="BA248" i="55"/>
  <c r="S272" i="52"/>
  <c r="AI260" i="55"/>
  <c r="K284" i="54"/>
  <c r="AP272" i="52"/>
  <c r="E284" i="53"/>
  <c r="N260" i="52"/>
  <c r="AW272" i="54"/>
  <c r="AN248" i="54"/>
  <c r="R248" i="52"/>
  <c r="V260" i="53"/>
  <c r="M248" i="54"/>
  <c r="Q260" i="53"/>
  <c r="AJ248" i="53"/>
  <c r="AB272" i="54"/>
  <c r="AG248" i="53"/>
  <c r="T272" i="52"/>
  <c r="G260" i="53"/>
  <c r="AZ260" i="52"/>
  <c r="I248" i="53"/>
  <c r="AB248" i="52"/>
  <c r="J272" i="55"/>
  <c r="L260" i="53"/>
  <c r="R272" i="54"/>
  <c r="G260" i="54"/>
  <c r="AN284" i="52"/>
  <c r="L272" i="53"/>
  <c r="Z260" i="55"/>
  <c r="F260" i="53"/>
  <c r="X248" i="52"/>
  <c r="AA260" i="52"/>
  <c r="AV248" i="52"/>
  <c r="M260" i="52"/>
  <c r="AN260" i="55"/>
  <c r="AW260" i="55"/>
  <c r="R260" i="53"/>
  <c r="AL260" i="53"/>
  <c r="AY284" i="53"/>
  <c r="Y272" i="53"/>
  <c r="N260" i="54"/>
  <c r="V272" i="54"/>
  <c r="AU272" i="53"/>
  <c r="N284" i="55"/>
  <c r="AR248" i="55"/>
  <c r="AD260" i="55"/>
  <c r="AN272" i="55"/>
  <c r="AC260" i="52"/>
  <c r="AJ260" i="55"/>
  <c r="AJ260" i="53"/>
  <c r="AI260" i="54"/>
  <c r="Z260" i="54"/>
  <c r="F260" i="52"/>
  <c r="R260" i="52"/>
  <c r="Z272" i="54"/>
  <c r="X272" i="52"/>
  <c r="F272" i="52"/>
  <c r="O284" i="55"/>
  <c r="AT284" i="53"/>
  <c r="AA272" i="55"/>
  <c r="Z272" i="52"/>
  <c r="AR260" i="54"/>
  <c r="M248" i="52"/>
  <c r="AE272" i="54"/>
  <c r="L248" i="54"/>
  <c r="E272" i="54"/>
  <c r="AX284" i="55"/>
  <c r="AS248" i="54"/>
  <c r="Z284" i="54"/>
  <c r="AO284" i="52"/>
  <c r="AL284" i="52"/>
  <c r="F272" i="53"/>
  <c r="AB248" i="53"/>
  <c r="AD248" i="53"/>
  <c r="AT284" i="55"/>
  <c r="M272" i="54"/>
  <c r="G284" i="53"/>
  <c r="AM284" i="54"/>
  <c r="Y272" i="52"/>
  <c r="AD248" i="55"/>
  <c r="AG284" i="55"/>
  <c r="Y260" i="53"/>
  <c r="AY272" i="55"/>
  <c r="BA248" i="52"/>
  <c r="AK284" i="52"/>
  <c r="N248" i="52"/>
  <c r="AF272" i="54"/>
  <c r="AA284" i="55"/>
  <c r="AS272" i="52"/>
  <c r="T284" i="54"/>
  <c r="G260" i="55"/>
  <c r="H272" i="52"/>
  <c r="AB272" i="52"/>
  <c r="AB248" i="55"/>
  <c r="AT260" i="53"/>
  <c r="P272" i="54"/>
  <c r="BA272" i="53"/>
  <c r="AP248" i="54"/>
  <c r="U248" i="55"/>
  <c r="AO284" i="53"/>
  <c r="AQ272" i="52"/>
  <c r="AZ272" i="54"/>
  <c r="K284" i="53"/>
  <c r="AT260" i="54"/>
  <c r="O272" i="53"/>
  <c r="P272" i="52"/>
  <c r="AI284" i="55"/>
  <c r="AJ272" i="54"/>
  <c r="H284" i="52"/>
  <c r="G272" i="53"/>
  <c r="AS272" i="55"/>
  <c r="AO260" i="52"/>
  <c r="AI260" i="52"/>
  <c r="AJ248" i="52"/>
  <c r="AT260" i="55"/>
  <c r="E272" i="52"/>
  <c r="J260" i="55"/>
  <c r="T248" i="53"/>
  <c r="AT248" i="52"/>
  <c r="AC284" i="53"/>
  <c r="F272" i="54"/>
  <c r="T248" i="55"/>
  <c r="AH260" i="54"/>
  <c r="E248" i="53"/>
  <c r="AA248" i="52"/>
  <c r="Q284" i="55"/>
  <c r="AZ260" i="55"/>
  <c r="L284" i="52"/>
  <c r="AT272" i="53"/>
  <c r="AC284" i="54"/>
  <c r="AI272" i="55"/>
  <c r="N272" i="53"/>
  <c r="P284" i="55"/>
  <c r="AD284" i="53"/>
  <c r="V284" i="55"/>
  <c r="S272" i="53"/>
  <c r="K272" i="54"/>
  <c r="R284" i="52"/>
  <c r="AP260" i="55"/>
  <c r="I284" i="52"/>
  <c r="BB260" i="52"/>
  <c r="L284" i="54"/>
  <c r="AA284" i="54"/>
  <c r="Z260" i="53"/>
  <c r="AW248" i="52"/>
  <c r="R284" i="55"/>
  <c r="AV248" i="53"/>
  <c r="E284" i="52"/>
  <c r="AA248" i="53"/>
  <c r="AR284" i="52"/>
  <c r="P272" i="53"/>
  <c r="J260" i="54"/>
  <c r="AU248" i="54"/>
  <c r="J248" i="55"/>
  <c r="N272" i="52"/>
  <c r="F260" i="54"/>
  <c r="P260" i="54"/>
  <c r="AL248" i="55"/>
  <c r="AR260" i="55"/>
  <c r="R284" i="53"/>
  <c r="J284" i="54"/>
  <c r="AK248" i="54"/>
  <c r="H248" i="54"/>
  <c r="AM272" i="55"/>
  <c r="I272" i="54"/>
  <c r="T284" i="55"/>
  <c r="X260" i="53"/>
  <c r="AT284" i="52"/>
  <c r="O260" i="54"/>
  <c r="U284" i="55"/>
  <c r="P272" i="55"/>
  <c r="O284" i="54"/>
  <c r="L248" i="55"/>
  <c r="U284" i="53"/>
  <c r="AW272" i="52"/>
  <c r="X284" i="53"/>
  <c r="Q248" i="52"/>
  <c r="AR284" i="53"/>
  <c r="AM260" i="52"/>
  <c r="AK284" i="53"/>
  <c r="BB284" i="53"/>
  <c r="AX248" i="54"/>
  <c r="I260" i="52"/>
  <c r="V260" i="54"/>
  <c r="AW260" i="52"/>
  <c r="L260" i="52"/>
  <c r="AK284" i="55"/>
  <c r="W272" i="54"/>
  <c r="AJ260" i="54"/>
  <c r="R248" i="54"/>
  <c r="U248" i="53"/>
  <c r="AB284" i="55"/>
  <c r="T272" i="53"/>
  <c r="AX272" i="52"/>
  <c r="AH284" i="53"/>
  <c r="AH260" i="53"/>
  <c r="O248" i="53"/>
  <c r="AF272" i="55"/>
  <c r="AO248" i="52"/>
  <c r="T260" i="55"/>
  <c r="V272" i="53"/>
  <c r="AO272" i="53"/>
  <c r="E272" i="55"/>
  <c r="V284" i="52"/>
  <c r="AD248" i="52"/>
  <c r="AU260" i="54"/>
  <c r="AP248" i="52"/>
  <c r="AT272" i="54"/>
  <c r="AU248" i="55"/>
  <c r="X272" i="53"/>
  <c r="BB248" i="54"/>
  <c r="AN284" i="53"/>
  <c r="AJ272" i="53"/>
  <c r="AF272" i="53"/>
  <c r="L272" i="54"/>
  <c r="AX260" i="55"/>
  <c r="S248" i="54"/>
  <c r="AV272" i="54"/>
  <c r="I272" i="52"/>
  <c r="AH260" i="52"/>
  <c r="W248" i="54"/>
  <c r="AF260" i="53"/>
  <c r="G284" i="52"/>
  <c r="AN248" i="53"/>
  <c r="X248" i="54"/>
  <c r="AQ260" i="55"/>
  <c r="AQ260" i="52"/>
  <c r="AH272" i="53"/>
  <c r="Y260" i="52"/>
  <c r="M284" i="54"/>
  <c r="Q248" i="53"/>
  <c r="F248" i="53"/>
  <c r="G248" i="52"/>
  <c r="AV284" i="54"/>
  <c r="U272" i="52"/>
  <c r="AY248" i="52"/>
  <c r="AS248" i="52"/>
  <c r="S272" i="54"/>
  <c r="AX284" i="52"/>
  <c r="AM260" i="54"/>
  <c r="S248" i="52"/>
  <c r="U272" i="55"/>
  <c r="BA260" i="54"/>
  <c r="AR284" i="55"/>
  <c r="Q272" i="55"/>
  <c r="Z248" i="52"/>
  <c r="L284" i="53"/>
  <c r="AN260" i="52"/>
  <c r="AX284" i="54"/>
  <c r="AU284" i="55"/>
  <c r="BB248" i="55"/>
  <c r="AZ284" i="54"/>
  <c r="BA284" i="54"/>
  <c r="W260" i="55"/>
  <c r="J272" i="54"/>
  <c r="AO248" i="53"/>
  <c r="AM284" i="53"/>
  <c r="AF248" i="54"/>
  <c r="I284" i="55"/>
  <c r="I272" i="55"/>
  <c r="AT260" i="52"/>
  <c r="E260" i="55"/>
  <c r="AJ248" i="54"/>
  <c r="AT272" i="55"/>
  <c r="X284" i="52"/>
  <c r="AI272" i="54"/>
  <c r="I248" i="55"/>
  <c r="V248" i="54"/>
  <c r="X272" i="55"/>
  <c r="O272" i="52"/>
  <c r="AG272" i="54"/>
  <c r="G284" i="54"/>
  <c r="AC248" i="52"/>
  <c r="P284" i="54"/>
  <c r="BB248" i="52"/>
  <c r="AD260" i="54"/>
  <c r="AV260" i="55"/>
  <c r="AL284" i="55"/>
  <c r="AD284" i="55"/>
  <c r="AE248" i="52"/>
  <c r="CJ261" i="55" l="1"/>
  <c r="CB261" i="55"/>
  <c r="BX249" i="54"/>
  <c r="CF273" i="55"/>
  <c r="CN249" i="53"/>
  <c r="CW261" i="53"/>
  <c r="BD261" i="54"/>
  <c r="CQ273" i="54"/>
  <c r="BR273" i="54"/>
  <c r="CE273" i="53"/>
  <c r="CY249" i="52"/>
  <c r="AZ299" i="52"/>
  <c r="CD273" i="52"/>
  <c r="CC261" i="54"/>
  <c r="BT249" i="53"/>
  <c r="AV299" i="52"/>
  <c r="CU249" i="52"/>
  <c r="U299" i="52"/>
  <c r="BT249" i="52"/>
  <c r="BX285" i="52"/>
  <c r="BP273" i="53"/>
  <c r="BL273" i="53"/>
  <c r="BQ249" i="55"/>
  <c r="BN261" i="54"/>
  <c r="CS249" i="54"/>
  <c r="CS261" i="52"/>
  <c r="CA249" i="52"/>
  <c r="AB299" i="52"/>
  <c r="BQ285" i="55"/>
  <c r="CW285" i="55"/>
  <c r="CO261" i="55"/>
  <c r="BJ273" i="53"/>
  <c r="BD285" i="53"/>
  <c r="BZ261" i="52"/>
  <c r="BV273" i="55"/>
  <c r="BJ249" i="55"/>
  <c r="CD261" i="55"/>
  <c r="BR273" i="55"/>
  <c r="BS285" i="52"/>
  <c r="BE273" i="52"/>
  <c r="CP249" i="53"/>
  <c r="CV273" i="55"/>
  <c r="CV249" i="53"/>
  <c r="CT249" i="53"/>
  <c r="BR249" i="55"/>
  <c r="CM261" i="54"/>
  <c r="DA285" i="52"/>
  <c r="BL273" i="52"/>
  <c r="CA261" i="55"/>
  <c r="CV273" i="54"/>
  <c r="BV285" i="52"/>
  <c r="BF249" i="55"/>
  <c r="CT273" i="52"/>
  <c r="CL249" i="54"/>
  <c r="CG285" i="55"/>
  <c r="BY261" i="52"/>
  <c r="BD249" i="53"/>
  <c r="BT261" i="53"/>
  <c r="CG261" i="53"/>
  <c r="BP285" i="52"/>
  <c r="BY285" i="54"/>
  <c r="BK261" i="52"/>
  <c r="CK285" i="55"/>
  <c r="BP261" i="53"/>
  <c r="BK249" i="54"/>
  <c r="CA273" i="53"/>
  <c r="CU249" i="55"/>
  <c r="BN273" i="54"/>
  <c r="CH249" i="54"/>
  <c r="BO273" i="53"/>
  <c r="CI261" i="55"/>
  <c r="BM285" i="54"/>
  <c r="BF273" i="55"/>
  <c r="BG273" i="52"/>
  <c r="BQ261" i="53"/>
  <c r="CI261" i="52"/>
  <c r="BU273" i="52"/>
  <c r="CL249" i="52"/>
  <c r="AM299" i="52"/>
  <c r="CL249" i="53"/>
  <c r="CN285" i="54"/>
  <c r="CS273" i="52"/>
  <c r="CK261" i="55"/>
  <c r="CT273" i="53"/>
  <c r="BG261" i="54"/>
  <c r="BU273" i="54"/>
  <c r="BP273" i="54"/>
  <c r="BH261" i="53"/>
  <c r="BR261" i="55"/>
  <c r="BF285" i="53"/>
  <c r="CK273" i="54"/>
  <c r="CD249" i="52"/>
  <c r="AE299" i="52"/>
  <c r="CS273" i="54"/>
  <c r="BW249" i="53"/>
  <c r="CN249" i="54"/>
  <c r="BX285" i="55"/>
  <c r="CO285" i="54"/>
  <c r="CW273" i="54"/>
  <c r="BW273" i="55"/>
  <c r="CU261" i="53"/>
  <c r="CK273" i="53"/>
  <c r="CA261" i="54"/>
  <c r="BO273" i="54"/>
  <c r="CI285" i="52"/>
  <c r="BF249" i="52"/>
  <c r="G299" i="52"/>
  <c r="CN273" i="52"/>
  <c r="BD249" i="54"/>
  <c r="CK261" i="52"/>
  <c r="BF249" i="54"/>
  <c r="CU273" i="54"/>
  <c r="CM285" i="52"/>
  <c r="BU261" i="52"/>
  <c r="CB249" i="55"/>
  <c r="BQ261" i="52"/>
  <c r="BO285" i="54"/>
  <c r="BV273" i="53"/>
  <c r="BG249" i="54"/>
  <c r="CT261" i="55"/>
  <c r="BR285" i="54"/>
  <c r="BK249" i="55"/>
  <c r="CB273" i="53"/>
  <c r="BS261" i="54"/>
  <c r="CL261" i="54"/>
  <c r="CO273" i="53"/>
  <c r="BS249" i="53"/>
  <c r="CW261" i="54"/>
  <c r="BQ249" i="53"/>
  <c r="BG285" i="53"/>
  <c r="BS261" i="55"/>
  <c r="CY249" i="55"/>
  <c r="BT285" i="52"/>
  <c r="CV285" i="54"/>
  <c r="BG249" i="53"/>
  <c r="CP261" i="53"/>
  <c r="BU285" i="54"/>
  <c r="CE249" i="54"/>
  <c r="BM273" i="52"/>
  <c r="CR285" i="55"/>
  <c r="BV285" i="54"/>
  <c r="BR249" i="52"/>
  <c r="S299" i="52"/>
  <c r="CZ273" i="54"/>
  <c r="CM273" i="53"/>
  <c r="CD261" i="54"/>
  <c r="BI273" i="52"/>
  <c r="CC249" i="54"/>
  <c r="CN273" i="55"/>
  <c r="BQ249" i="54"/>
  <c r="CP285" i="53"/>
  <c r="CI273" i="52"/>
  <c r="BF285" i="54"/>
  <c r="CE261" i="53"/>
  <c r="BK285" i="52"/>
  <c r="CL261" i="55"/>
  <c r="BN249" i="54"/>
  <c r="CA273" i="52"/>
  <c r="BK285" i="53"/>
  <c r="CS285" i="55"/>
  <c r="AW299" i="52"/>
  <c r="CV249" i="52"/>
  <c r="AA299" i="52"/>
  <c r="BZ249" i="52"/>
  <c r="BW249" i="54"/>
  <c r="CG273" i="52"/>
  <c r="CQ285" i="53"/>
  <c r="BU249" i="53"/>
  <c r="BL285" i="53"/>
  <c r="CO285" i="53"/>
  <c r="CF273" i="54"/>
  <c r="CF273" i="53"/>
  <c r="AI299" i="52"/>
  <c r="CH249" i="52"/>
  <c r="BF273" i="53"/>
  <c r="BZ273" i="52"/>
  <c r="BH261" i="52"/>
  <c r="BQ261" i="54"/>
  <c r="BD285" i="54"/>
  <c r="CV285" i="52"/>
  <c r="BH249" i="55"/>
  <c r="CG261" i="52"/>
  <c r="CY273" i="55"/>
  <c r="BP249" i="53"/>
  <c r="CZ285" i="52"/>
  <c r="DA261" i="55"/>
  <c r="CY249" i="53"/>
  <c r="CN261" i="55"/>
  <c r="CW285" i="53"/>
  <c r="CO273" i="52"/>
  <c r="BX285" i="54"/>
  <c r="CI273" i="53"/>
  <c r="CI261" i="53"/>
  <c r="CG285" i="53"/>
  <c r="BH249" i="53"/>
  <c r="CC285" i="55"/>
  <c r="CG273" i="55"/>
  <c r="DA261" i="53"/>
  <c r="BE273" i="53"/>
  <c r="BO285" i="55"/>
  <c r="BL249" i="52"/>
  <c r="M299" i="52"/>
  <c r="CS285" i="52"/>
  <c r="BR285" i="55"/>
  <c r="BT285" i="55"/>
  <c r="CQ285" i="52"/>
  <c r="CA249" i="55"/>
  <c r="CX273" i="55"/>
  <c r="CQ249" i="53"/>
  <c r="BQ285" i="52"/>
  <c r="CR249" i="55"/>
  <c r="AG299" i="52"/>
  <c r="CF249" i="52"/>
  <c r="X299" i="52"/>
  <c r="BW249" i="52"/>
  <c r="CA285" i="54"/>
  <c r="BK273" i="55"/>
  <c r="CR285" i="52"/>
  <c r="BM261" i="53"/>
  <c r="BS285" i="53"/>
  <c r="CE273" i="52"/>
  <c r="CA273" i="55"/>
  <c r="BX273" i="55"/>
  <c r="BJ273" i="52"/>
  <c r="BF273" i="52"/>
  <c r="BU249" i="55"/>
  <c r="CE249" i="52"/>
  <c r="AF299" i="52"/>
  <c r="CQ249" i="55"/>
  <c r="BW261" i="55"/>
  <c r="BQ273" i="55"/>
  <c r="CB261" i="52"/>
  <c r="CL273" i="54"/>
  <c r="BE273" i="55"/>
  <c r="CX273" i="53"/>
  <c r="BX273" i="52"/>
  <c r="CY261" i="54"/>
  <c r="CG261" i="54"/>
  <c r="CB249" i="53"/>
  <c r="CZ285" i="54"/>
  <c r="BX261" i="53"/>
  <c r="CB285" i="55"/>
  <c r="BL249" i="54"/>
  <c r="DA261" i="52"/>
  <c r="CC249" i="55"/>
  <c r="BS285" i="54"/>
  <c r="BT273" i="54"/>
  <c r="CB261" i="53"/>
  <c r="BS273" i="54"/>
  <c r="CV273" i="52"/>
  <c r="CB285" i="52"/>
  <c r="BJ261" i="54"/>
  <c r="BP273" i="55"/>
  <c r="BT273" i="53"/>
  <c r="BW285" i="52"/>
  <c r="DA249" i="53"/>
  <c r="CV261" i="55"/>
  <c r="CZ261" i="53"/>
  <c r="CX273" i="52"/>
  <c r="BI261" i="53"/>
  <c r="CJ249" i="52"/>
  <c r="AK299" i="52"/>
  <c r="CB249" i="54"/>
  <c r="CO249" i="52"/>
  <c r="AP299" i="52"/>
  <c r="BL285" i="52"/>
  <c r="CR261" i="55"/>
  <c r="BM261" i="54"/>
  <c r="CF285" i="54"/>
  <c r="BP261" i="55"/>
  <c r="BP261" i="52"/>
  <c r="CP273" i="52"/>
  <c r="BS273" i="55"/>
  <c r="CL273" i="52"/>
  <c r="BE261" i="52"/>
  <c r="BG261" i="53"/>
  <c r="BD261" i="55"/>
  <c r="CB273" i="52"/>
  <c r="CX249" i="55"/>
  <c r="BX249" i="52"/>
  <c r="Y299" i="52"/>
  <c r="BP285" i="53"/>
  <c r="CW285" i="52"/>
  <c r="CE273" i="54"/>
  <c r="CJ285" i="53"/>
  <c r="BL285" i="55"/>
  <c r="CO261" i="54"/>
  <c r="CG273" i="53"/>
  <c r="CE261" i="52"/>
  <c r="CU285" i="55"/>
  <c r="BX261" i="54"/>
  <c r="BM285" i="52"/>
  <c r="BR249" i="54"/>
  <c r="CD285" i="54"/>
  <c r="BF261" i="54"/>
  <c r="CX261" i="54"/>
  <c r="CJ273" i="52"/>
  <c r="CJ249" i="54"/>
  <c r="CI261" i="54"/>
  <c r="CM261" i="53"/>
  <c r="CZ273" i="52"/>
  <c r="K299" i="52"/>
  <c r="BJ249" i="52"/>
  <c r="CI249" i="55"/>
  <c r="BN285" i="54"/>
  <c r="BJ285" i="55"/>
  <c r="CU273" i="52"/>
  <c r="BE285" i="55"/>
  <c r="BU273" i="55"/>
  <c r="CJ273" i="54"/>
  <c r="CN249" i="52"/>
  <c r="AO299" i="52"/>
  <c r="CL249" i="55"/>
  <c r="BZ261" i="55"/>
  <c r="BX273" i="54"/>
  <c r="CC285" i="52"/>
  <c r="BM285" i="53"/>
  <c r="BO249" i="54"/>
  <c r="CU261" i="54"/>
  <c r="CH285" i="53"/>
  <c r="CA261" i="52"/>
  <c r="BY261" i="53"/>
  <c r="CP285" i="54"/>
  <c r="BI261" i="55"/>
  <c r="CW249" i="53"/>
  <c r="CT261" i="52"/>
  <c r="CN261" i="54"/>
  <c r="CM285" i="55"/>
  <c r="BY249" i="54"/>
  <c r="CP261" i="55"/>
  <c r="BH273" i="55"/>
  <c r="BT249" i="55"/>
  <c r="CF285" i="55"/>
  <c r="BJ285" i="54"/>
  <c r="CQ273" i="53"/>
  <c r="BI249" i="55"/>
  <c r="BV249" i="54"/>
  <c r="CY261" i="55"/>
  <c r="CQ261" i="52"/>
  <c r="BT261" i="55"/>
  <c r="BU261" i="55"/>
  <c r="CW273" i="52"/>
  <c r="BI249" i="53"/>
  <c r="CW273" i="55"/>
  <c r="BF285" i="52"/>
  <c r="BV261" i="55"/>
  <c r="Q299" i="52"/>
  <c r="BP249" i="52"/>
  <c r="CO249" i="53"/>
  <c r="CU261" i="52"/>
  <c r="BP273" i="52"/>
  <c r="BI285" i="53"/>
  <c r="CZ261" i="55"/>
  <c r="BN261" i="55"/>
  <c r="CZ273" i="55"/>
  <c r="BN261" i="52"/>
  <c r="CD249" i="54"/>
  <c r="CW249" i="54"/>
  <c r="BM273" i="55"/>
  <c r="BI261" i="52"/>
  <c r="BE261" i="55"/>
  <c r="BK249" i="53"/>
  <c r="CP285" i="52"/>
  <c r="BZ249" i="53"/>
  <c r="CS285" i="53"/>
  <c r="DA273" i="52"/>
  <c r="CK285" i="53"/>
  <c r="CD285" i="53"/>
  <c r="BN285" i="53"/>
  <c r="BD261" i="53"/>
  <c r="CL285" i="54"/>
  <c r="CM285" i="53"/>
  <c r="CM273" i="52"/>
  <c r="CJ273" i="53"/>
  <c r="DA249" i="55"/>
  <c r="CM273" i="55"/>
  <c r="BG285" i="52"/>
  <c r="CQ261" i="54"/>
  <c r="BK273" i="52"/>
  <c r="BM273" i="53"/>
  <c r="CE249" i="53"/>
  <c r="BZ285" i="55"/>
  <c r="BW261" i="53"/>
  <c r="CV261" i="52"/>
  <c r="CO261" i="52"/>
  <c r="CN285" i="52"/>
  <c r="CR273" i="53"/>
  <c r="BN285" i="52"/>
  <c r="CY261" i="52"/>
  <c r="BJ273" i="54"/>
  <c r="CZ249" i="53"/>
  <c r="BE261" i="53"/>
  <c r="BL273" i="55"/>
  <c r="CC273" i="55"/>
  <c r="BG273" i="53"/>
  <c r="CX261" i="53"/>
  <c r="CS249" i="55"/>
  <c r="CJ261" i="53"/>
  <c r="CZ261" i="54"/>
  <c r="CX285" i="54"/>
  <c r="CZ273" i="53"/>
  <c r="BZ261" i="54"/>
  <c r="BL261" i="54"/>
  <c r="BS261" i="53"/>
  <c r="BF285" i="55"/>
  <c r="CB285" i="54"/>
  <c r="CL261" i="53"/>
  <c r="BN249" i="52"/>
  <c r="O299" i="52"/>
  <c r="CI285" i="55"/>
  <c r="CL261" i="52"/>
  <c r="CU249" i="54"/>
  <c r="CM261" i="52"/>
  <c r="BS249" i="54"/>
  <c r="BE249" i="54"/>
  <c r="BS249" i="55"/>
  <c r="CJ249" i="55"/>
  <c r="CR285" i="53"/>
  <c r="BY261" i="54"/>
  <c r="CL285" i="53"/>
  <c r="BN273" i="53"/>
  <c r="CY285" i="52"/>
  <c r="CW285" i="54"/>
  <c r="CM249" i="55"/>
  <c r="BG285" i="55"/>
  <c r="CV249" i="55"/>
  <c r="DA273" i="55"/>
  <c r="BX261" i="52"/>
  <c r="BT261" i="54"/>
  <c r="BT273" i="52"/>
  <c r="BV273" i="54"/>
  <c r="BK273" i="53"/>
  <c r="BD273" i="54"/>
  <c r="CD273" i="53"/>
  <c r="CM261" i="55"/>
  <c r="CA285" i="53"/>
  <c r="BZ273" i="54"/>
  <c r="BV261" i="52"/>
  <c r="CO285" i="55"/>
  <c r="CP249" i="54"/>
  <c r="CS249" i="53"/>
  <c r="BW273" i="52"/>
  <c r="BH273" i="52"/>
  <c r="BX273" i="53"/>
  <c r="BX261" i="55"/>
  <c r="CG249" i="55"/>
  <c r="CZ285" i="53"/>
  <c r="CH261" i="55"/>
  <c r="BU285" i="55"/>
  <c r="CF261" i="54"/>
  <c r="BB299" i="52"/>
  <c r="DA249" i="52"/>
  <c r="BW273" i="54"/>
  <c r="BI273" i="54"/>
  <c r="CT261" i="54"/>
  <c r="BI249" i="52"/>
  <c r="J299" i="52"/>
  <c r="BY285" i="55"/>
  <c r="AN299" i="52"/>
  <c r="CM249" i="52"/>
  <c r="CB273" i="54"/>
  <c r="BY273" i="52"/>
  <c r="BN249" i="55"/>
  <c r="BL285" i="54"/>
  <c r="BI285" i="54"/>
  <c r="BZ285" i="54"/>
  <c r="CD249" i="53"/>
  <c r="CP249" i="55"/>
  <c r="BU261" i="53"/>
  <c r="BQ261" i="55"/>
  <c r="CW261" i="55"/>
  <c r="BQ273" i="54"/>
  <c r="CK249" i="52"/>
  <c r="AL299" i="52"/>
  <c r="BF249" i="53"/>
  <c r="BS273" i="53"/>
  <c r="BJ261" i="52"/>
  <c r="BF273" i="54"/>
  <c r="BL249" i="55"/>
  <c r="BR261" i="53"/>
  <c r="BF261" i="52"/>
  <c r="BM249" i="55"/>
  <c r="BO273" i="55"/>
  <c r="CY285" i="55"/>
  <c r="CC273" i="52"/>
  <c r="CH285" i="52"/>
  <c r="CT273" i="54"/>
  <c r="DA273" i="53"/>
  <c r="BM249" i="54"/>
  <c r="BD249" i="55"/>
  <c r="BV261" i="54"/>
  <c r="BV285" i="55"/>
  <c r="BM273" i="54"/>
  <c r="BG261" i="55"/>
  <c r="BR285" i="53"/>
  <c r="CD285" i="52"/>
  <c r="BT285" i="54"/>
  <c r="BD273" i="52"/>
  <c r="BV249" i="55"/>
  <c r="CT285" i="55"/>
  <c r="CZ249" i="54"/>
  <c r="BH249" i="54"/>
  <c r="BT285" i="53"/>
  <c r="CE249" i="55"/>
  <c r="BN273" i="52"/>
  <c r="BL261" i="53"/>
  <c r="CQ285" i="54"/>
  <c r="CO261" i="53"/>
  <c r="BP261" i="54"/>
  <c r="BV285" i="53"/>
  <c r="BZ249" i="55"/>
  <c r="BD285" i="52"/>
  <c r="CR273" i="54"/>
  <c r="CK261" i="54"/>
  <c r="CR249" i="54"/>
  <c r="BU261" i="54"/>
  <c r="BH285" i="54"/>
  <c r="CE285" i="52"/>
  <c r="BT273" i="55"/>
  <c r="CY285" i="54"/>
  <c r="CT249" i="52"/>
  <c r="AU299" i="52"/>
  <c r="CZ249" i="55"/>
  <c r="BP285" i="55"/>
  <c r="CP273" i="53"/>
  <c r="BO261" i="54"/>
  <c r="CN249" i="55"/>
  <c r="CH249" i="55"/>
  <c r="BO273" i="52"/>
  <c r="BI273" i="55"/>
  <c r="CJ285" i="52"/>
  <c r="CC261" i="55"/>
  <c r="BZ261" i="53"/>
  <c r="CZ249" i="52"/>
  <c r="BA299" i="52"/>
  <c r="CJ261" i="54"/>
  <c r="CM249" i="53"/>
  <c r="BW285" i="53"/>
  <c r="BJ285" i="52"/>
  <c r="BS249" i="52"/>
  <c r="T299" i="52"/>
  <c r="BV249" i="52"/>
  <c r="W299" i="52"/>
  <c r="CT273" i="55"/>
  <c r="CN261" i="52"/>
  <c r="BG273" i="55"/>
  <c r="CC273" i="54"/>
  <c r="CO273" i="55"/>
  <c r="CS285" i="54"/>
  <c r="BO285" i="52"/>
  <c r="CV285" i="55"/>
  <c r="BU285" i="53"/>
  <c r="CD273" i="55"/>
  <c r="CJ249" i="53"/>
  <c r="DA285" i="53"/>
  <c r="BJ273" i="55"/>
  <c r="CT285" i="54"/>
  <c r="CH249" i="53"/>
  <c r="CY273" i="53"/>
  <c r="CR249" i="52"/>
  <c r="AS299" i="52"/>
  <c r="CV285" i="53"/>
  <c r="CH285" i="54"/>
  <c r="BH285" i="52"/>
  <c r="CS261" i="53"/>
  <c r="BX285" i="53"/>
  <c r="BF261" i="53"/>
  <c r="CC273" i="53"/>
  <c r="BM285" i="55"/>
  <c r="CL273" i="53"/>
  <c r="CN261" i="53"/>
  <c r="CF285" i="53"/>
  <c r="BE285" i="53"/>
  <c r="BO285" i="53"/>
  <c r="CU285" i="52"/>
  <c r="CY273" i="54"/>
  <c r="DA249" i="54"/>
  <c r="BD285" i="55"/>
  <c r="CE273" i="55"/>
  <c r="BJ285" i="53"/>
  <c r="CH261" i="54"/>
  <c r="CV249" i="54"/>
  <c r="CX261" i="55"/>
  <c r="CV261" i="53"/>
  <c r="BY249" i="53"/>
  <c r="BD261" i="52"/>
  <c r="CF261" i="53"/>
  <c r="CG249" i="54"/>
  <c r="CH273" i="55"/>
  <c r="CG249" i="53"/>
  <c r="BP249" i="54"/>
  <c r="BK249" i="52"/>
  <c r="L299" i="52"/>
  <c r="BS285" i="55"/>
  <c r="CA249" i="53"/>
  <c r="CQ273" i="55"/>
  <c r="BE285" i="52"/>
  <c r="BP249" i="55"/>
  <c r="CH273" i="54"/>
  <c r="BZ273" i="53"/>
  <c r="H299" i="52"/>
  <c r="BG249" i="52"/>
  <c r="BK261" i="55"/>
  <c r="CN273" i="54"/>
  <c r="CT249" i="54"/>
  <c r="BR273" i="53"/>
  <c r="BH261" i="54"/>
  <c r="CK249" i="53"/>
  <c r="CE261" i="54"/>
  <c r="BY261" i="55"/>
  <c r="CQ261" i="53"/>
  <c r="AX299" i="52"/>
  <c r="CW249" i="52"/>
  <c r="BV249" i="53"/>
  <c r="CS261" i="54"/>
  <c r="BW249" i="55"/>
  <c r="BW273" i="53"/>
  <c r="CX285" i="52"/>
  <c r="BE285" i="54"/>
  <c r="CC285" i="53"/>
  <c r="AH299" i="52"/>
  <c r="CG249" i="52"/>
  <c r="BW285" i="54"/>
  <c r="BN249" i="53"/>
  <c r="BH285" i="53"/>
  <c r="CX249" i="52"/>
  <c r="AY299" i="52"/>
  <c r="CK273" i="52"/>
  <c r="CJ285" i="54"/>
  <c r="CX273" i="54"/>
  <c r="CA273" i="54"/>
  <c r="BX249" i="53"/>
  <c r="BY273" i="53"/>
  <c r="CA249" i="54"/>
  <c r="CW273" i="53"/>
  <c r="AD299" i="52"/>
  <c r="CC249" i="52"/>
  <c r="CR273" i="52"/>
  <c r="BK285" i="55"/>
  <c r="DA285" i="55"/>
  <c r="CO249" i="55"/>
  <c r="CT285" i="53"/>
  <c r="AC299" i="52"/>
  <c r="CB249" i="52"/>
  <c r="CR261" i="53"/>
  <c r="CR285" i="54"/>
  <c r="CI285" i="53"/>
  <c r="BH273" i="53"/>
  <c r="CI249" i="53"/>
  <c r="CI273" i="54"/>
  <c r="BI261" i="54"/>
  <c r="BJ261" i="55"/>
  <c r="CX285" i="55"/>
  <c r="V299" i="52"/>
  <c r="BU249" i="52"/>
  <c r="CU261" i="55"/>
  <c r="CI249" i="52"/>
  <c r="AJ299" i="52"/>
  <c r="CW261" i="52"/>
  <c r="CE285" i="54"/>
  <c r="BJ249" i="53"/>
  <c r="CJ273" i="55"/>
  <c r="BO261" i="53"/>
  <c r="BQ285" i="53"/>
  <c r="BE273" i="54"/>
  <c r="CO249" i="54"/>
  <c r="CF273" i="52"/>
  <c r="CF249" i="55"/>
  <c r="BN261" i="53"/>
  <c r="CQ249" i="52"/>
  <c r="AR299" i="52"/>
  <c r="BG249" i="55"/>
  <c r="CS261" i="55"/>
  <c r="Z299" i="52"/>
  <c r="BY249" i="52"/>
  <c r="BQ285" i="54"/>
  <c r="BO249" i="55"/>
  <c r="CK285" i="52"/>
  <c r="CG261" i="55"/>
  <c r="CP261" i="52"/>
  <c r="CT249" i="55"/>
  <c r="CR249" i="53"/>
  <c r="CV261" i="54"/>
  <c r="BG273" i="54"/>
  <c r="CC285" i="54"/>
  <c r="CZ261" i="52"/>
  <c r="BY249" i="55"/>
  <c r="BO261" i="55"/>
  <c r="BH273" i="54"/>
  <c r="BZ285" i="52"/>
  <c r="CD273" i="54"/>
  <c r="BI285" i="55"/>
  <c r="BW261" i="52"/>
  <c r="CD261" i="53"/>
  <c r="CH285" i="55"/>
  <c r="BN273" i="55"/>
  <c r="CL273" i="55"/>
  <c r="BV261" i="53"/>
  <c r="CQ249" i="54"/>
  <c r="BN285" i="55"/>
  <c r="CU273" i="53"/>
  <c r="CG285" i="52"/>
  <c r="P299" i="52"/>
  <c r="BO249" i="52"/>
  <c r="CQ285" i="55"/>
  <c r="CH261" i="53"/>
  <c r="CC249" i="53"/>
  <c r="BH285" i="55"/>
  <c r="CL285" i="55"/>
  <c r="BI285" i="52"/>
  <c r="CX261" i="52"/>
  <c r="CK273" i="55"/>
  <c r="CJ285" i="55"/>
  <c r="BK261" i="54"/>
  <c r="CQ273" i="52"/>
  <c r="BL249" i="53"/>
  <c r="CW249" i="55"/>
  <c r="BI249" i="54"/>
  <c r="CC261" i="53"/>
  <c r="CE285" i="55"/>
  <c r="BF261" i="55"/>
  <c r="CX249" i="54"/>
  <c r="CB261" i="54"/>
  <c r="BL261" i="52"/>
  <c r="CF249" i="53"/>
  <c r="CG285" i="54"/>
  <c r="CL285" i="52"/>
  <c r="CY249" i="54"/>
  <c r="BR261" i="54"/>
  <c r="BY285" i="52"/>
  <c r="CF261" i="52"/>
  <c r="CA285" i="52"/>
  <c r="CD249" i="55"/>
  <c r="CH273" i="52"/>
  <c r="CA261" i="53"/>
  <c r="BJ249" i="54"/>
  <c r="CU273" i="55"/>
  <c r="CB285" i="53"/>
  <c r="BS273" i="52"/>
  <c r="BJ261" i="53"/>
  <c r="CN285" i="55"/>
  <c r="CI249" i="54"/>
  <c r="R299" i="52"/>
  <c r="BQ249" i="52"/>
  <c r="BW285" i="55"/>
  <c r="BE249" i="52"/>
  <c r="F299" i="52"/>
  <c r="BY273" i="55"/>
  <c r="BR261" i="52"/>
  <c r="CE285" i="53"/>
  <c r="CK285" i="54"/>
  <c r="CY285" i="53"/>
  <c r="E299" i="52"/>
  <c r="BD249" i="52"/>
  <c r="BM249" i="53"/>
  <c r="CX285" i="53"/>
  <c r="CN285" i="53"/>
  <c r="CZ285" i="55"/>
  <c r="BV273" i="52"/>
  <c r="DA261" i="54"/>
  <c r="BU273" i="53"/>
  <c r="CP273" i="54"/>
  <c r="BY273" i="54"/>
  <c r="CI285" i="54"/>
  <c r="AT299" i="52"/>
  <c r="CS249" i="52"/>
  <c r="BT249" i="54"/>
  <c r="BL273" i="54"/>
  <c r="CU285" i="54"/>
  <c r="BT261" i="52"/>
  <c r="BQ273" i="52"/>
  <c r="BR249" i="53"/>
  <c r="CB273" i="55"/>
  <c r="BM261" i="55"/>
  <c r="CM273" i="54"/>
  <c r="CA285" i="55"/>
  <c r="CI273" i="55"/>
  <c r="DA273" i="54"/>
  <c r="CP285" i="55"/>
  <c r="DA285" i="54"/>
  <c r="BZ249" i="54"/>
  <c r="CF261" i="55"/>
  <c r="CR261" i="52"/>
  <c r="CF249" i="54"/>
  <c r="BD273" i="53"/>
  <c r="BG285" i="54"/>
  <c r="BQ273" i="53"/>
  <c r="CM249" i="54"/>
  <c r="BR285" i="52"/>
  <c r="I299" i="52"/>
  <c r="BH249" i="52"/>
  <c r="CK249" i="54"/>
  <c r="BH261" i="55"/>
  <c r="BD273" i="55"/>
  <c r="BG261" i="52"/>
  <c r="BL261" i="55"/>
  <c r="BY285" i="53"/>
  <c r="BU249" i="54"/>
  <c r="CY261" i="53"/>
  <c r="CS273" i="55"/>
  <c r="CD285" i="55"/>
  <c r="CK249" i="55"/>
  <c r="CP249" i="52"/>
  <c r="AQ299" i="52"/>
  <c r="CM285" i="54"/>
  <c r="CH273" i="53"/>
  <c r="CK261" i="53"/>
  <c r="BR273" i="52"/>
  <c r="BU285" i="52"/>
  <c r="CU249" i="53"/>
  <c r="CC261" i="52"/>
  <c r="BE261" i="54"/>
  <c r="BE249" i="53"/>
  <c r="CF285" i="52"/>
  <c r="BK285" i="54"/>
  <c r="CD261" i="52"/>
  <c r="CO273" i="54"/>
  <c r="CS273" i="53"/>
  <c r="BO261" i="52"/>
  <c r="CV273" i="53"/>
  <c r="BI273" i="53"/>
  <c r="CU285" i="53"/>
  <c r="BS261" i="52"/>
  <c r="BM249" i="52"/>
  <c r="N299" i="52"/>
  <c r="BW261" i="54"/>
  <c r="BX249" i="55"/>
  <c r="CG273" i="54"/>
  <c r="CX249" i="53"/>
  <c r="CT285" i="52"/>
  <c r="BZ285" i="53"/>
  <c r="BK273" i="54"/>
  <c r="BZ273" i="55"/>
  <c r="CY273" i="52"/>
  <c r="BK261" i="53"/>
  <c r="CH261" i="52"/>
  <c r="CN273" i="53"/>
  <c r="BO249" i="53"/>
  <c r="BP285" i="54"/>
  <c r="BM261" i="52"/>
  <c r="BE249" i="55"/>
  <c r="CQ261" i="55"/>
  <c r="CE261" i="55"/>
  <c r="CP261" i="54"/>
  <c r="CR273" i="55"/>
  <c r="CJ261" i="52"/>
  <c r="CO285" i="52"/>
  <c r="CP273" i="55"/>
  <c r="CR261" i="54"/>
  <c r="CT261" i="53"/>
  <c r="V160" i="59"/>
  <c r="V162" i="59" s="1"/>
  <c r="V166" i="59" s="1"/>
  <c r="R160" i="59"/>
  <c r="R162" i="59" s="1"/>
  <c r="R166" i="59" s="1"/>
  <c r="O111" i="59"/>
  <c r="Q160" i="59"/>
  <c r="Q161" i="59" s="1"/>
  <c r="N158" i="59"/>
  <c r="O158" i="59"/>
  <c r="O159" i="59"/>
  <c r="W160" i="59"/>
  <c r="W161" i="59" s="1"/>
  <c r="S113" i="59"/>
  <c r="X340" i="59"/>
  <c r="Y251" i="59"/>
  <c r="Y254" i="59" s="1"/>
  <c r="Y255" i="59" s="1"/>
  <c r="L159" i="59"/>
  <c r="M158" i="59"/>
  <c r="S160" i="59"/>
  <c r="S162" i="59" s="1"/>
  <c r="S166" i="59" s="1"/>
  <c r="P340" i="59"/>
  <c r="Z428" i="59"/>
  <c r="Z430" i="59" s="1"/>
  <c r="Z431" i="59" s="1"/>
  <c r="Z98" i="59" s="1"/>
  <c r="P428" i="59"/>
  <c r="P430" i="59" s="1"/>
  <c r="P431" i="59" s="1"/>
  <c r="P98" i="59" s="1"/>
  <c r="Z340" i="59"/>
  <c r="R251" i="59"/>
  <c r="R254" i="59" s="1"/>
  <c r="R255" i="59" s="1"/>
  <c r="N159" i="59"/>
  <c r="T160" i="59"/>
  <c r="T161" i="59" s="1"/>
  <c r="U160" i="59"/>
  <c r="U162" i="59" s="1"/>
  <c r="U166" i="59" s="1"/>
  <c r="Q428" i="59"/>
  <c r="Q430" i="59" s="1"/>
  <c r="Q431" i="59" s="1"/>
  <c r="Q98" i="59" s="1"/>
  <c r="M159" i="59"/>
  <c r="R340" i="59"/>
  <c r="R341" i="59"/>
  <c r="Z341" i="59"/>
  <c r="AA340" i="59"/>
  <c r="Z251" i="59"/>
  <c r="Z254" i="59" s="1"/>
  <c r="Z255" i="59" s="1"/>
  <c r="S115" i="59"/>
  <c r="R115" i="59"/>
  <c r="R428" i="59"/>
  <c r="R430" i="59" s="1"/>
  <c r="R431" i="59" s="1"/>
  <c r="R98" i="59" s="1"/>
  <c r="AA341" i="59"/>
  <c r="S251" i="59"/>
  <c r="S254" i="59" s="1"/>
  <c r="S255" i="59" s="1"/>
  <c r="S428" i="59"/>
  <c r="S430" i="59" s="1"/>
  <c r="S431" i="59" s="1"/>
  <c r="S98" i="59" s="1"/>
  <c r="X428" i="59"/>
  <c r="X430" i="59" s="1"/>
  <c r="X431" i="59" s="1"/>
  <c r="X98" i="59" s="1"/>
  <c r="L158" i="59"/>
  <c r="AA94" i="59"/>
  <c r="AA96" i="59" s="1"/>
  <c r="M111" i="59"/>
  <c r="Q340" i="59"/>
  <c r="P160" i="59"/>
  <c r="P162" i="59" s="1"/>
  <c r="P166" i="59" s="1"/>
  <c r="Q167" i="59" s="1"/>
  <c r="X341" i="59"/>
  <c r="Y341" i="59"/>
  <c r="Y428" i="59"/>
  <c r="Y430" i="59" s="1"/>
  <c r="Y431" i="59" s="1"/>
  <c r="Y98" i="59" s="1"/>
  <c r="E425" i="59"/>
  <c r="E336" i="59"/>
  <c r="E249" i="59"/>
  <c r="P329" i="55"/>
  <c r="E67" i="59"/>
  <c r="P322" i="55"/>
  <c r="E44" i="59"/>
  <c r="P341" i="59"/>
  <c r="Q341" i="59"/>
  <c r="S340" i="59"/>
  <c r="N111" i="59"/>
  <c r="L111" i="59"/>
  <c r="E375" i="59"/>
  <c r="E286" i="59"/>
  <c r="E199" i="59"/>
  <c r="P332" i="55"/>
  <c r="E150" i="59"/>
  <c r="E393" i="59"/>
  <c r="E304" i="59"/>
  <c r="E217" i="59"/>
  <c r="G375" i="59"/>
  <c r="G286" i="59"/>
  <c r="G199" i="59"/>
  <c r="AA428" i="59"/>
  <c r="AA430" i="59" s="1"/>
  <c r="AA431" i="59" s="1"/>
  <c r="AA98" i="59" s="1"/>
  <c r="S341" i="59"/>
  <c r="Z94" i="59"/>
  <c r="P337" i="55"/>
  <c r="E90" i="59"/>
  <c r="P327" i="55"/>
  <c r="E61" i="59"/>
  <c r="Y340" i="59"/>
  <c r="Q251" i="59"/>
  <c r="Q254" i="59" s="1"/>
  <c r="Q255" i="59" s="1"/>
  <c r="P113" i="59"/>
  <c r="R94" i="59"/>
  <c r="P326" i="55"/>
  <c r="G56" i="59"/>
  <c r="Y94" i="59"/>
  <c r="X94" i="59"/>
  <c r="V161" i="59"/>
  <c r="Q115" i="59"/>
  <c r="Q94" i="59"/>
  <c r="P94" i="59"/>
  <c r="R113" i="59"/>
  <c r="S94" i="59"/>
  <c r="X251" i="59"/>
  <c r="X254" i="59" s="1"/>
  <c r="X255" i="59" s="1"/>
  <c r="P251" i="59"/>
  <c r="P254" i="59" s="1"/>
  <c r="P255" i="59" s="1"/>
  <c r="T102" i="59"/>
  <c r="U102" i="59" s="1"/>
  <c r="L103" i="59"/>
  <c r="M103" i="59" s="1"/>
  <c r="N103" i="59" s="1"/>
  <c r="O103" i="59" s="1"/>
  <c r="T103" i="59"/>
  <c r="U103" i="59" s="1"/>
  <c r="V103" i="59" s="1"/>
  <c r="W103" i="59" s="1"/>
  <c r="L102" i="59"/>
  <c r="M102" i="59" s="1"/>
  <c r="P328" i="55"/>
  <c r="E66" i="59"/>
  <c r="P325" i="55"/>
  <c r="E56" i="59"/>
  <c r="P331" i="55"/>
  <c r="E73" i="59"/>
  <c r="G393" i="59"/>
  <c r="G304" i="59"/>
  <c r="G217" i="59"/>
  <c r="E424" i="59"/>
  <c r="E335" i="59"/>
  <c r="E248" i="59"/>
  <c r="E421" i="59"/>
  <c r="E332" i="59"/>
  <c r="E245" i="59"/>
  <c r="E419" i="59"/>
  <c r="E330" i="59"/>
  <c r="E243" i="59"/>
  <c r="AA251" i="59"/>
  <c r="AA254" i="59" s="1"/>
  <c r="AA255" i="59" s="1"/>
  <c r="Q113" i="59"/>
  <c r="P115" i="59"/>
  <c r="P334" i="55"/>
  <c r="E87" i="59"/>
  <c r="E409" i="59"/>
  <c r="E320" i="59"/>
  <c r="E233" i="59"/>
  <c r="P335" i="55"/>
  <c r="P336" i="55"/>
  <c r="P320" i="55"/>
  <c r="P333" i="55"/>
  <c r="P330" i="55"/>
  <c r="P324" i="55"/>
  <c r="P321" i="55"/>
  <c r="P323" i="55"/>
  <c r="R161" i="59" l="1"/>
  <c r="E286" i="52" a="1"/>
  <c r="E286" i="52" s="1"/>
  <c r="F286" i="52" s="1" a="1"/>
  <c r="F286" i="52" s="1"/>
  <c r="F287" i="52" s="1"/>
  <c r="E250" i="52" a="1"/>
  <c r="E250" i="52" s="1"/>
  <c r="E251" i="52" s="1"/>
  <c r="HN10" i="52" s="1"/>
  <c r="E252" i="52" s="1"/>
  <c r="E262" i="52" a="1"/>
  <c r="E262" i="52" s="1"/>
  <c r="F262" i="52" s="1" a="1"/>
  <c r="F262" i="52" s="1"/>
  <c r="F263" i="52" s="1"/>
  <c r="E274" i="52" a="1"/>
  <c r="E274" i="52" s="1"/>
  <c r="F274" i="52" s="1" a="1"/>
  <c r="F274" i="52" s="1"/>
  <c r="F275" i="52" s="1"/>
  <c r="Q162" i="59"/>
  <c r="Q166" i="59" s="1"/>
  <c r="Q168" i="59" s="1"/>
  <c r="W162" i="59"/>
  <c r="W166" i="59" s="1"/>
  <c r="O160" i="59"/>
  <c r="O162" i="59" s="1"/>
  <c r="O166" i="59" s="1"/>
  <c r="U161" i="59"/>
  <c r="S161" i="59"/>
  <c r="AA95" i="59"/>
  <c r="X343" i="59"/>
  <c r="X344" i="59" s="1"/>
  <c r="X97" i="59" s="1"/>
  <c r="Z343" i="59"/>
  <c r="Z344" i="59" s="1"/>
  <c r="Z97" i="59" s="1"/>
  <c r="N160" i="59"/>
  <c r="N161" i="59" s="1"/>
  <c r="Q343" i="59"/>
  <c r="Q344" i="59" s="1"/>
  <c r="Q97" i="59" s="1"/>
  <c r="T162" i="59"/>
  <c r="T166" i="59" s="1"/>
  <c r="U167" i="59" s="1"/>
  <c r="U168" i="59" s="1"/>
  <c r="AA343" i="59"/>
  <c r="AA344" i="59" s="1"/>
  <c r="AA97" i="59" s="1"/>
  <c r="AA99" i="59" s="1"/>
  <c r="Y343" i="59"/>
  <c r="Y344" i="59" s="1"/>
  <c r="Y97" i="59" s="1"/>
  <c r="R343" i="59"/>
  <c r="R344" i="59" s="1"/>
  <c r="R97" i="59" s="1"/>
  <c r="M160" i="59"/>
  <c r="M162" i="59" s="1"/>
  <c r="M166" i="59" s="1"/>
  <c r="L160" i="59"/>
  <c r="P161" i="59"/>
  <c r="P343" i="59"/>
  <c r="P344" i="59" s="1"/>
  <c r="P97" i="59" s="1"/>
  <c r="E423" i="59"/>
  <c r="E334" i="59"/>
  <c r="E247" i="59"/>
  <c r="W167" i="59"/>
  <c r="G394" i="59"/>
  <c r="G305" i="59"/>
  <c r="G218" i="59"/>
  <c r="E404" i="59"/>
  <c r="E315" i="59"/>
  <c r="E228" i="59"/>
  <c r="Y96" i="59"/>
  <c r="Y95" i="59"/>
  <c r="Z96" i="59"/>
  <c r="Z95" i="59"/>
  <c r="S343" i="59"/>
  <c r="S344" i="59" s="1"/>
  <c r="S97" i="59" s="1"/>
  <c r="P96" i="59"/>
  <c r="P95" i="59"/>
  <c r="Q96" i="59"/>
  <c r="Q95" i="59"/>
  <c r="E410" i="59"/>
  <c r="E321" i="59"/>
  <c r="E234" i="59"/>
  <c r="S96" i="59"/>
  <c r="S99" i="59" s="1"/>
  <c r="S95" i="59"/>
  <c r="V167" i="59"/>
  <c r="V168" i="59" s="1"/>
  <c r="R96" i="59"/>
  <c r="R95" i="59"/>
  <c r="E399" i="59"/>
  <c r="E310" i="59"/>
  <c r="E223" i="59"/>
  <c r="E382" i="59"/>
  <c r="E293" i="59"/>
  <c r="E206" i="59"/>
  <c r="E394" i="59"/>
  <c r="E305" i="59"/>
  <c r="E218" i="59"/>
  <c r="E426" i="59"/>
  <c r="E337" i="59"/>
  <c r="E250" i="59"/>
  <c r="S167" i="59"/>
  <c r="S168" i="59" s="1"/>
  <c r="N102" i="59"/>
  <c r="V102" i="59"/>
  <c r="X95" i="59"/>
  <c r="X96" i="59"/>
  <c r="E405" i="59"/>
  <c r="E316" i="59"/>
  <c r="E229" i="59"/>
  <c r="R99" i="59" l="1"/>
  <c r="R167" i="59"/>
  <c r="R168" i="59" s="1"/>
  <c r="G262" i="52" a="1"/>
  <c r="G262" i="52" s="1"/>
  <c r="H262" i="52" s="1" a="1"/>
  <c r="H262" i="52" s="1"/>
  <c r="H263" i="52" s="1"/>
  <c r="G286" i="52" a="1"/>
  <c r="G286" i="52" s="1"/>
  <c r="G287" i="52" s="1"/>
  <c r="E287" i="52"/>
  <c r="HZ10" i="52" s="1"/>
  <c r="HZ11" i="52" s="1"/>
  <c r="IB11" i="52" s="1"/>
  <c r="F250" i="52" a="1"/>
  <c r="F250" i="52" s="1"/>
  <c r="G250" i="52" s="1" a="1"/>
  <c r="G250" i="52" s="1"/>
  <c r="H250" i="52" s="1" a="1"/>
  <c r="H250" i="52" s="1"/>
  <c r="H251" i="52" s="1"/>
  <c r="HO10" i="52"/>
  <c r="E263" i="52"/>
  <c r="HR10" i="52" s="1"/>
  <c r="HT10" i="52" s="1"/>
  <c r="IE10" i="52"/>
  <c r="E275" i="52"/>
  <c r="HV10" i="52" s="1"/>
  <c r="HX10" i="52" s="1"/>
  <c r="HP10" i="52"/>
  <c r="G274" i="52" a="1"/>
  <c r="G274" i="52" s="1"/>
  <c r="G275" i="52" s="1"/>
  <c r="W168" i="59"/>
  <c r="X99" i="59"/>
  <c r="N162" i="59"/>
  <c r="N166" i="59" s="1"/>
  <c r="O167" i="59" s="1"/>
  <c r="O168" i="59" s="1"/>
  <c r="O161" i="59"/>
  <c r="M161" i="59"/>
  <c r="Z99" i="59"/>
  <c r="Q99" i="59"/>
  <c r="Y99" i="59"/>
  <c r="P99" i="59"/>
  <c r="L161" i="59"/>
  <c r="L162" i="59"/>
  <c r="L166" i="59" s="1"/>
  <c r="M167" i="59" s="1"/>
  <c r="M168" i="59" s="1"/>
  <c r="O102" i="59"/>
  <c r="W102" i="59"/>
  <c r="N167" i="59"/>
  <c r="E253" i="52"/>
  <c r="E249" i="53"/>
  <c r="HM10" i="53"/>
  <c r="E276" i="52" l="1"/>
  <c r="E277" i="52" s="1"/>
  <c r="E280" i="52" s="1"/>
  <c r="HV11" i="52"/>
  <c r="HX11" i="52" s="1"/>
  <c r="IG10" i="52"/>
  <c r="HR11" i="52"/>
  <c r="F264" i="52" s="1"/>
  <c r="F265" i="52" s="1"/>
  <c r="F313" i="52" s="1"/>
  <c r="HZ12" i="52"/>
  <c r="IA12" i="52" s="1"/>
  <c r="HS10" i="52"/>
  <c r="IA10" i="52"/>
  <c r="IH11" i="52"/>
  <c r="IB10" i="52"/>
  <c r="F288" i="52"/>
  <c r="F289" i="52" s="1"/>
  <c r="IA11" i="52"/>
  <c r="E288" i="52"/>
  <c r="E285" i="53" s="1"/>
  <c r="HW10" i="52"/>
  <c r="IH10" i="52"/>
  <c r="H286" i="52" a="1"/>
  <c r="H286" i="52" s="1"/>
  <c r="H287" i="52" s="1"/>
  <c r="I262" i="52" a="1"/>
  <c r="I262" i="52" s="1"/>
  <c r="J262" i="52" s="1" a="1"/>
  <c r="J262" i="52" s="1"/>
  <c r="J263" i="52" s="1"/>
  <c r="G263" i="52"/>
  <c r="F251" i="52"/>
  <c r="HN11" i="52" s="1"/>
  <c r="F252" i="52" s="1"/>
  <c r="F253" i="52" s="1"/>
  <c r="F257" i="52" s="1"/>
  <c r="G251" i="52"/>
  <c r="IF10" i="52"/>
  <c r="E264" i="52"/>
  <c r="E265" i="52" s="1"/>
  <c r="H274" i="52" a="1"/>
  <c r="H274" i="52" s="1"/>
  <c r="I274" i="52" s="1" a="1"/>
  <c r="I274" i="52" s="1"/>
  <c r="N168" i="59"/>
  <c r="E256" i="52"/>
  <c r="AB1" i="59"/>
  <c r="E257" i="52"/>
  <c r="E312" i="52"/>
  <c r="E254" i="52"/>
  <c r="E255" i="52"/>
  <c r="E300" i="52" s="1"/>
  <c r="E308" i="52" s="1"/>
  <c r="I250" i="52" a="1"/>
  <c r="I250" i="52" s="1"/>
  <c r="E273" i="53" l="1"/>
  <c r="E314" i="52"/>
  <c r="E281" i="52"/>
  <c r="E278" i="52"/>
  <c r="E279" i="52"/>
  <c r="E302" i="52" s="1"/>
  <c r="E310" i="52" s="1"/>
  <c r="HT11" i="52"/>
  <c r="HQ11" i="53"/>
  <c r="HU10" i="53"/>
  <c r="HZ13" i="52"/>
  <c r="IA13" i="52" s="1"/>
  <c r="HY10" i="53"/>
  <c r="HR12" i="52"/>
  <c r="G264" i="52" s="1"/>
  <c r="G265" i="52" s="1"/>
  <c r="G266" i="52" s="1"/>
  <c r="F261" i="53"/>
  <c r="G288" i="52"/>
  <c r="G289" i="52" s="1"/>
  <c r="G290" i="52" s="1"/>
  <c r="IG11" i="52"/>
  <c r="HW11" i="52"/>
  <c r="HV12" i="52"/>
  <c r="HX12" i="52" s="1"/>
  <c r="F276" i="52"/>
  <c r="HY11" i="53"/>
  <c r="IF11" i="52"/>
  <c r="F285" i="53"/>
  <c r="HS11" i="52"/>
  <c r="IB12" i="52"/>
  <c r="HM11" i="53"/>
  <c r="IH12" i="52"/>
  <c r="HP11" i="52"/>
  <c r="F249" i="53"/>
  <c r="IE11" i="52"/>
  <c r="HO11" i="52"/>
  <c r="E289" i="52"/>
  <c r="E315" i="52" s="1"/>
  <c r="HN12" i="52"/>
  <c r="HN13" i="52" s="1"/>
  <c r="H252" i="52" s="1"/>
  <c r="E261" i="53"/>
  <c r="I263" i="52"/>
  <c r="HQ10" i="53"/>
  <c r="I286" i="52" a="1"/>
  <c r="I286" i="52" s="1"/>
  <c r="I287" i="52" s="1"/>
  <c r="H275" i="52"/>
  <c r="F254" i="52"/>
  <c r="E258" i="52"/>
  <c r="F255" i="52"/>
  <c r="F300" i="52" s="1"/>
  <c r="F308" i="52" s="1"/>
  <c r="AF1" i="59"/>
  <c r="AB403" i="59"/>
  <c r="AB401" i="59"/>
  <c r="AB399" i="59"/>
  <c r="AB404" i="59"/>
  <c r="AB402" i="59"/>
  <c r="AB400" i="59"/>
  <c r="AB398" i="59"/>
  <c r="AB396" i="59"/>
  <c r="AB405" i="59"/>
  <c r="AB395" i="59"/>
  <c r="AB335" i="59"/>
  <c r="AB326" i="59"/>
  <c r="AB337" i="59"/>
  <c r="AB332" i="59"/>
  <c r="AB336" i="59"/>
  <c r="AB397" i="59"/>
  <c r="AB330" i="59"/>
  <c r="AB334" i="59"/>
  <c r="AB328" i="59"/>
  <c r="AB315" i="59"/>
  <c r="AB324" i="59"/>
  <c r="AB316" i="59"/>
  <c r="AB311" i="59"/>
  <c r="AB304" i="59"/>
  <c r="AB314" i="59"/>
  <c r="AB312" i="59"/>
  <c r="AB309" i="59"/>
  <c r="AB307" i="59"/>
  <c r="AB305" i="59"/>
  <c r="AB313" i="59"/>
  <c r="AB310" i="59"/>
  <c r="AB322" i="59"/>
  <c r="AB308" i="59"/>
  <c r="AB306" i="59"/>
  <c r="AB302" i="59"/>
  <c r="AB299" i="59"/>
  <c r="AB303" i="59"/>
  <c r="AB301" i="59"/>
  <c r="AB292" i="59"/>
  <c r="AB290" i="59"/>
  <c r="AB288" i="59"/>
  <c r="AB286" i="59"/>
  <c r="AB294" i="59"/>
  <c r="AB284" i="59"/>
  <c r="AB282" i="59"/>
  <c r="AB280" i="59"/>
  <c r="AB278" i="59"/>
  <c r="AB276" i="59"/>
  <c r="AB274" i="59"/>
  <c r="AB295" i="59"/>
  <c r="AB293" i="59"/>
  <c r="AB296" i="59"/>
  <c r="AB291" i="59"/>
  <c r="AB289" i="59"/>
  <c r="AB287" i="59"/>
  <c r="AB297" i="59"/>
  <c r="AB298" i="59"/>
  <c r="AB300" i="59"/>
  <c r="AB283" i="59"/>
  <c r="AB273" i="59"/>
  <c r="AB271" i="59"/>
  <c r="AB269" i="59"/>
  <c r="AB285" i="59"/>
  <c r="AB281" i="59"/>
  <c r="AB277" i="59"/>
  <c r="AB275" i="59"/>
  <c r="AB279" i="59"/>
  <c r="AB216" i="59"/>
  <c r="AB265" i="59"/>
  <c r="AB263" i="59"/>
  <c r="AB261" i="59"/>
  <c r="AB259" i="59"/>
  <c r="AB267" i="59"/>
  <c r="AB217" i="59"/>
  <c r="AB272" i="59"/>
  <c r="AB270" i="59"/>
  <c r="AB268" i="59"/>
  <c r="AB218" i="59"/>
  <c r="AB215" i="59"/>
  <c r="AB213" i="59"/>
  <c r="AB264" i="59"/>
  <c r="AB214" i="59"/>
  <c r="AB262" i="59"/>
  <c r="AB266" i="59"/>
  <c r="AB212" i="59"/>
  <c r="AB260" i="59"/>
  <c r="AB258" i="59"/>
  <c r="AB205" i="59"/>
  <c r="AB203" i="59"/>
  <c r="AB201" i="59"/>
  <c r="AB199" i="59"/>
  <c r="AB197" i="59"/>
  <c r="AB195" i="59"/>
  <c r="AB193" i="59"/>
  <c r="AB191" i="59"/>
  <c r="AB189" i="59"/>
  <c r="AB187" i="59"/>
  <c r="AB185" i="59"/>
  <c r="AB183" i="59"/>
  <c r="AB210" i="59"/>
  <c r="AB206" i="59"/>
  <c r="AB209" i="59"/>
  <c r="AB208" i="59"/>
  <c r="AB198" i="59"/>
  <c r="AB196" i="59"/>
  <c r="AB194" i="59"/>
  <c r="AB192" i="59"/>
  <c r="AB190" i="59"/>
  <c r="AB188" i="59"/>
  <c r="AB186" i="59"/>
  <c r="AB204" i="59"/>
  <c r="AB207" i="59"/>
  <c r="AB211" i="59"/>
  <c r="AB200" i="59"/>
  <c r="AB202" i="59"/>
  <c r="AB184" i="59"/>
  <c r="AB178" i="59"/>
  <c r="AB175" i="59"/>
  <c r="AB172" i="59"/>
  <c r="AB182" i="59"/>
  <c r="AB179" i="59"/>
  <c r="AB176" i="59"/>
  <c r="AB171" i="59"/>
  <c r="AB181" i="59"/>
  <c r="AB180" i="59"/>
  <c r="AB177" i="59"/>
  <c r="AB174" i="59"/>
  <c r="AB173" i="59"/>
  <c r="AB103" i="59"/>
  <c r="AB87" i="59"/>
  <c r="AB102" i="59"/>
  <c r="AB90" i="59"/>
  <c r="AB88" i="59"/>
  <c r="AB104" i="59"/>
  <c r="AB86" i="59"/>
  <c r="AB85" i="59"/>
  <c r="AB89" i="59"/>
  <c r="AB82" i="59"/>
  <c r="AB81" i="59"/>
  <c r="AB78" i="59"/>
  <c r="AB77" i="59"/>
  <c r="AB74" i="59"/>
  <c r="AB65" i="59"/>
  <c r="AB63" i="59"/>
  <c r="AB61" i="59"/>
  <c r="AB72" i="59"/>
  <c r="AB59" i="59"/>
  <c r="AB70" i="59"/>
  <c r="AB68" i="59"/>
  <c r="AB84" i="59"/>
  <c r="AB83" i="59"/>
  <c r="AB66" i="59"/>
  <c r="AB55" i="59"/>
  <c r="AB80" i="59"/>
  <c r="AB79" i="59"/>
  <c r="AB76" i="59"/>
  <c r="AB75" i="59"/>
  <c r="AB73" i="59"/>
  <c r="AB64" i="59"/>
  <c r="AB62" i="59"/>
  <c r="AB71" i="59"/>
  <c r="AB69" i="59"/>
  <c r="AB54" i="59"/>
  <c r="AB52" i="59"/>
  <c r="AB50" i="59"/>
  <c r="AB48" i="59"/>
  <c r="AB46" i="59"/>
  <c r="AB44" i="59"/>
  <c r="AB42" i="59"/>
  <c r="AB40" i="59"/>
  <c r="AB60" i="59"/>
  <c r="AB56" i="59"/>
  <c r="AB36" i="59"/>
  <c r="AB35" i="59"/>
  <c r="AB57" i="59"/>
  <c r="AB53" i="59"/>
  <c r="AB51" i="59"/>
  <c r="AB49" i="59"/>
  <c r="AB43" i="59"/>
  <c r="AB41" i="59"/>
  <c r="AB39" i="59"/>
  <c r="AB37" i="59"/>
  <c r="AB67" i="59"/>
  <c r="AB58" i="59"/>
  <c r="AB13" i="59"/>
  <c r="AB47" i="59"/>
  <c r="AB45" i="59"/>
  <c r="AB33" i="59"/>
  <c r="AB9" i="59"/>
  <c r="AB34" i="59"/>
  <c r="AB31" i="59"/>
  <c r="AB29" i="59"/>
  <c r="AB27" i="59"/>
  <c r="AB25" i="59"/>
  <c r="AB23" i="59"/>
  <c r="AB21" i="59"/>
  <c r="AB19" i="59"/>
  <c r="AB17" i="59"/>
  <c r="AB11" i="59"/>
  <c r="AB15" i="59"/>
  <c r="AB38" i="59"/>
  <c r="AB32" i="59"/>
  <c r="AB30" i="59"/>
  <c r="AB28" i="59"/>
  <c r="AB26" i="59"/>
  <c r="AB24" i="59"/>
  <c r="AB22" i="59"/>
  <c r="AB20" i="59"/>
  <c r="AB18" i="59"/>
  <c r="AB16" i="59"/>
  <c r="AB14" i="59"/>
  <c r="AB12" i="59"/>
  <c r="AB10" i="59"/>
  <c r="F312" i="52"/>
  <c r="E304" i="53"/>
  <c r="E282" i="52"/>
  <c r="F256" i="52"/>
  <c r="F258" i="52" s="1"/>
  <c r="F267" i="52"/>
  <c r="F301" i="52" s="1"/>
  <c r="F309" i="52" s="1"/>
  <c r="F268" i="52"/>
  <c r="F269" i="52"/>
  <c r="F266" i="52"/>
  <c r="HO12" i="52"/>
  <c r="E306" i="53"/>
  <c r="G252" i="52"/>
  <c r="G253" i="52" s="1"/>
  <c r="AJ1" i="59" s="1"/>
  <c r="IE12" i="52"/>
  <c r="HR13" i="52"/>
  <c r="HS13" i="52" s="1"/>
  <c r="HP12" i="52"/>
  <c r="IE13" i="52"/>
  <c r="HO13" i="52"/>
  <c r="F293" i="52"/>
  <c r="F292" i="52"/>
  <c r="F315" i="52"/>
  <c r="F290" i="52"/>
  <c r="F291" i="52"/>
  <c r="H253" i="52"/>
  <c r="H249" i="53"/>
  <c r="HM13" i="53"/>
  <c r="E313" i="52"/>
  <c r="E266" i="52"/>
  <c r="E268" i="52"/>
  <c r="E267" i="52"/>
  <c r="E269" i="52"/>
  <c r="HP13" i="52"/>
  <c r="I275" i="52"/>
  <c r="I251" i="52"/>
  <c r="HN14" i="52" s="1"/>
  <c r="J250" i="52" a="1"/>
  <c r="J250" i="52" s="1"/>
  <c r="J251" i="52" s="1"/>
  <c r="HN15" i="52" s="1"/>
  <c r="IE15" i="52" s="1"/>
  <c r="J274" i="52" a="1"/>
  <c r="J274" i="52" s="1"/>
  <c r="K262" i="52" a="1"/>
  <c r="K262" i="52" s="1"/>
  <c r="K263" i="52" s="1"/>
  <c r="HT12" i="52" l="1"/>
  <c r="IF12" i="52"/>
  <c r="HQ12" i="53"/>
  <c r="G261" i="53"/>
  <c r="HS12" i="52"/>
  <c r="G293" i="52"/>
  <c r="HZ14" i="52"/>
  <c r="IH14" i="52" s="1"/>
  <c r="G292" i="52"/>
  <c r="G294" i="52" s="1"/>
  <c r="G291" i="52"/>
  <c r="G285" i="53"/>
  <c r="G315" i="52"/>
  <c r="HY12" i="53"/>
  <c r="H288" i="52"/>
  <c r="H289" i="52" s="1"/>
  <c r="H315" i="52" s="1"/>
  <c r="J286" i="52" a="1"/>
  <c r="J286" i="52" s="1"/>
  <c r="J287" i="52" s="1"/>
  <c r="IB13" i="52"/>
  <c r="IH13" i="52"/>
  <c r="HV13" i="52"/>
  <c r="HV14" i="52" s="1"/>
  <c r="G276" i="52"/>
  <c r="IG12" i="52"/>
  <c r="HW12" i="52"/>
  <c r="F273" i="53"/>
  <c r="HU11" i="53"/>
  <c r="F277" i="52"/>
  <c r="E293" i="52"/>
  <c r="E291" i="52"/>
  <c r="E307" i="53" s="1"/>
  <c r="E290" i="52"/>
  <c r="E292" i="52"/>
  <c r="F304" i="53"/>
  <c r="AB341" i="59"/>
  <c r="AB428" i="59"/>
  <c r="AB430" i="59" s="1"/>
  <c r="AB431" i="59" s="1"/>
  <c r="AB98" i="59" s="1"/>
  <c r="AB91" i="59"/>
  <c r="AB93" i="59"/>
  <c r="AB342" i="59"/>
  <c r="AF404" i="59"/>
  <c r="AF402" i="59"/>
  <c r="AF400" i="59"/>
  <c r="AF398" i="59"/>
  <c r="AF405" i="59"/>
  <c r="AF403" i="59"/>
  <c r="AF401" i="59"/>
  <c r="AF399" i="59"/>
  <c r="AF397" i="59"/>
  <c r="AF395" i="59"/>
  <c r="AF396" i="59"/>
  <c r="AF328" i="59"/>
  <c r="AF334" i="59"/>
  <c r="AF330" i="59"/>
  <c r="AF337" i="59"/>
  <c r="AF336" i="59"/>
  <c r="AF315" i="59"/>
  <c r="AF324" i="59"/>
  <c r="AF335" i="59"/>
  <c r="AF326" i="59"/>
  <c r="AF322" i="59"/>
  <c r="AF332" i="59"/>
  <c r="AF314" i="59"/>
  <c r="AF313" i="59"/>
  <c r="AF308" i="59"/>
  <c r="AF306" i="59"/>
  <c r="AF303" i="59"/>
  <c r="AF316" i="59"/>
  <c r="AF304" i="59"/>
  <c r="AF311" i="59"/>
  <c r="AF312" i="59"/>
  <c r="AF309" i="59"/>
  <c r="AF307" i="59"/>
  <c r="AF305" i="59"/>
  <c r="AF300" i="59"/>
  <c r="AF298" i="59"/>
  <c r="AF310" i="59"/>
  <c r="AF302" i="59"/>
  <c r="AF294" i="59"/>
  <c r="AF293" i="59"/>
  <c r="AF295" i="59"/>
  <c r="AF291" i="59"/>
  <c r="AF289" i="59"/>
  <c r="AF287" i="59"/>
  <c r="AF299" i="59"/>
  <c r="AF296" i="59"/>
  <c r="AF297" i="59"/>
  <c r="AF285" i="59"/>
  <c r="AF283" i="59"/>
  <c r="AF281" i="59"/>
  <c r="AF279" i="59"/>
  <c r="AF277" i="59"/>
  <c r="AF275" i="59"/>
  <c r="AF273" i="59"/>
  <c r="AF292" i="59"/>
  <c r="AF290" i="59"/>
  <c r="AF288" i="59"/>
  <c r="AF286" i="59"/>
  <c r="AF271" i="59"/>
  <c r="AF301" i="59"/>
  <c r="AF280" i="59"/>
  <c r="AF274" i="59"/>
  <c r="AF270" i="59"/>
  <c r="AF268" i="59"/>
  <c r="AF278" i="59"/>
  <c r="AF272" i="59"/>
  <c r="AF269" i="59"/>
  <c r="AF217" i="59"/>
  <c r="AF267" i="59"/>
  <c r="AF284" i="59"/>
  <c r="AF282" i="59"/>
  <c r="AF218" i="59"/>
  <c r="AF215" i="59"/>
  <c r="AF266" i="59"/>
  <c r="AF264" i="59"/>
  <c r="AF262" i="59"/>
  <c r="AF260" i="59"/>
  <c r="AF258" i="59"/>
  <c r="AF276" i="59"/>
  <c r="AF216" i="59"/>
  <c r="AF214" i="59"/>
  <c r="AF212" i="59"/>
  <c r="AF259" i="59"/>
  <c r="AF265" i="59"/>
  <c r="AF213" i="59"/>
  <c r="AF263" i="59"/>
  <c r="AF261" i="59"/>
  <c r="AF204" i="59"/>
  <c r="AF202" i="59"/>
  <c r="AF200" i="59"/>
  <c r="AF206" i="59"/>
  <c r="AF210" i="59"/>
  <c r="AF198" i="59"/>
  <c r="AF196" i="59"/>
  <c r="AF194" i="59"/>
  <c r="AF192" i="59"/>
  <c r="AF190" i="59"/>
  <c r="AF188" i="59"/>
  <c r="AF186" i="59"/>
  <c r="AF184" i="59"/>
  <c r="AF182" i="59"/>
  <c r="AF211" i="59"/>
  <c r="AF208" i="59"/>
  <c r="AF207" i="59"/>
  <c r="AF197" i="59"/>
  <c r="AF195" i="59"/>
  <c r="AF193" i="59"/>
  <c r="AF191" i="59"/>
  <c r="AF189" i="59"/>
  <c r="AF187" i="59"/>
  <c r="AF185" i="59"/>
  <c r="AF199" i="59"/>
  <c r="AF201" i="59"/>
  <c r="AF205" i="59"/>
  <c r="AF203" i="59"/>
  <c r="AF209" i="59"/>
  <c r="AF179" i="59"/>
  <c r="AF183" i="59"/>
  <c r="AF180" i="59"/>
  <c r="AF173" i="59"/>
  <c r="AF181" i="59"/>
  <c r="AF174" i="59"/>
  <c r="AF177" i="59"/>
  <c r="AF178" i="59"/>
  <c r="AF172" i="59"/>
  <c r="AF104" i="59"/>
  <c r="AF103" i="59"/>
  <c r="AF102" i="59"/>
  <c r="AF175" i="59"/>
  <c r="AF176" i="59"/>
  <c r="AF86" i="59"/>
  <c r="AF87" i="59"/>
  <c r="AF90" i="59"/>
  <c r="AF171" i="59"/>
  <c r="AF84" i="59"/>
  <c r="AF83" i="59"/>
  <c r="AF66" i="59"/>
  <c r="AF80" i="59"/>
  <c r="AF79" i="59"/>
  <c r="AF76" i="59"/>
  <c r="AF75" i="59"/>
  <c r="AF73" i="59"/>
  <c r="AF64" i="59"/>
  <c r="AF62" i="59"/>
  <c r="AF71" i="59"/>
  <c r="AF60" i="59"/>
  <c r="AF58" i="59"/>
  <c r="AF88" i="59"/>
  <c r="AF85" i="59"/>
  <c r="AF69" i="59"/>
  <c r="AF67" i="59"/>
  <c r="AF82" i="59"/>
  <c r="AF81" i="59"/>
  <c r="AF78" i="59"/>
  <c r="AF77" i="59"/>
  <c r="AF74" i="59"/>
  <c r="AF65" i="59"/>
  <c r="AF63" i="59"/>
  <c r="AF61" i="59"/>
  <c r="AF89" i="59"/>
  <c r="AF72" i="59"/>
  <c r="AF70" i="59"/>
  <c r="AF68" i="59"/>
  <c r="AF59" i="59"/>
  <c r="AF57" i="59"/>
  <c r="AF56" i="59"/>
  <c r="AF53" i="59"/>
  <c r="AF51" i="59"/>
  <c r="AF49" i="59"/>
  <c r="AF47" i="59"/>
  <c r="AF45" i="59"/>
  <c r="AF43" i="59"/>
  <c r="AF41" i="59"/>
  <c r="AF39" i="59"/>
  <c r="AF34" i="59"/>
  <c r="AF54" i="59"/>
  <c r="AF52" i="59"/>
  <c r="AF50" i="59"/>
  <c r="AF48" i="59"/>
  <c r="AF42" i="59"/>
  <c r="AF40" i="59"/>
  <c r="AF38" i="59"/>
  <c r="AF55" i="59"/>
  <c r="AF46" i="59"/>
  <c r="AF44" i="59"/>
  <c r="AF36" i="59"/>
  <c r="AF35" i="59"/>
  <c r="AF32" i="59"/>
  <c r="AF30" i="59"/>
  <c r="AF28" i="59"/>
  <c r="AF26" i="59"/>
  <c r="AF24" i="59"/>
  <c r="AF22" i="59"/>
  <c r="AF20" i="59"/>
  <c r="AF18" i="59"/>
  <c r="AF16" i="59"/>
  <c r="AF14" i="59"/>
  <c r="AF37" i="59"/>
  <c r="AF12" i="59"/>
  <c r="AF10" i="59"/>
  <c r="AF33" i="59"/>
  <c r="AF31" i="59"/>
  <c r="AF29" i="59"/>
  <c r="AF27" i="59"/>
  <c r="AF25" i="59"/>
  <c r="AF23" i="59"/>
  <c r="AF21" i="59"/>
  <c r="AF19" i="59"/>
  <c r="AF17" i="59"/>
  <c r="AF15" i="59"/>
  <c r="AF13" i="59"/>
  <c r="AF11" i="59"/>
  <c r="AF9" i="59"/>
  <c r="AB251" i="59"/>
  <c r="AB254" i="59" s="1"/>
  <c r="AB255" i="59" s="1"/>
  <c r="H312" i="52"/>
  <c r="AN1" i="59"/>
  <c r="AJ403" i="59"/>
  <c r="AJ401" i="59"/>
  <c r="AJ399" i="59"/>
  <c r="AJ404" i="59"/>
  <c r="AJ402" i="59"/>
  <c r="AJ400" i="59"/>
  <c r="AJ398" i="59"/>
  <c r="AJ396" i="59"/>
  <c r="AJ405" i="59"/>
  <c r="AJ397" i="59"/>
  <c r="AJ395" i="59"/>
  <c r="AJ335" i="59"/>
  <c r="AJ326" i="59"/>
  <c r="AJ337" i="59"/>
  <c r="AJ332" i="59"/>
  <c r="AJ336" i="59"/>
  <c r="AJ330" i="59"/>
  <c r="AJ334" i="59"/>
  <c r="AJ328" i="59"/>
  <c r="AJ315" i="59"/>
  <c r="AJ324" i="59"/>
  <c r="AJ316" i="59"/>
  <c r="AJ313" i="59"/>
  <c r="AJ304" i="59"/>
  <c r="AJ309" i="59"/>
  <c r="AJ307" i="59"/>
  <c r="AJ305" i="59"/>
  <c r="AJ322" i="59"/>
  <c r="AJ312" i="59"/>
  <c r="AJ314" i="59"/>
  <c r="AJ310" i="59"/>
  <c r="AJ308" i="59"/>
  <c r="AJ306" i="59"/>
  <c r="AJ299" i="59"/>
  <c r="AJ301" i="59"/>
  <c r="AJ302" i="59"/>
  <c r="AJ300" i="59"/>
  <c r="AJ311" i="59"/>
  <c r="AJ303" i="59"/>
  <c r="AJ297" i="59"/>
  <c r="AJ292" i="59"/>
  <c r="AJ290" i="59"/>
  <c r="AJ288" i="59"/>
  <c r="AJ286" i="59"/>
  <c r="AJ298" i="59"/>
  <c r="AJ284" i="59"/>
  <c r="AJ282" i="59"/>
  <c r="AJ280" i="59"/>
  <c r="AJ278" i="59"/>
  <c r="AJ276" i="59"/>
  <c r="AJ274" i="59"/>
  <c r="AJ293" i="59"/>
  <c r="AJ294" i="59"/>
  <c r="AJ291" i="59"/>
  <c r="AJ289" i="59"/>
  <c r="AJ287" i="59"/>
  <c r="AJ296" i="59"/>
  <c r="AJ272" i="59"/>
  <c r="AJ285" i="59"/>
  <c r="AJ281" i="59"/>
  <c r="AJ271" i="59"/>
  <c r="AJ269" i="59"/>
  <c r="AJ279" i="59"/>
  <c r="AJ275" i="59"/>
  <c r="AJ273" i="59"/>
  <c r="AJ268" i="59"/>
  <c r="AJ270" i="59"/>
  <c r="AJ216" i="59"/>
  <c r="AJ295" i="59"/>
  <c r="AJ265" i="59"/>
  <c r="AJ263" i="59"/>
  <c r="AJ261" i="59"/>
  <c r="AJ259" i="59"/>
  <c r="AJ217" i="59"/>
  <c r="AJ283" i="59"/>
  <c r="AJ267" i="59"/>
  <c r="AJ218" i="59"/>
  <c r="AJ215" i="59"/>
  <c r="AJ213" i="59"/>
  <c r="AJ262" i="59"/>
  <c r="AJ277" i="59"/>
  <c r="AJ266" i="59"/>
  <c r="AJ260" i="59"/>
  <c r="AJ258" i="59"/>
  <c r="AJ264" i="59"/>
  <c r="AJ205" i="59"/>
  <c r="AJ203" i="59"/>
  <c r="AJ201" i="59"/>
  <c r="AJ199" i="59"/>
  <c r="AJ214" i="59"/>
  <c r="AJ210" i="59"/>
  <c r="AJ209" i="59"/>
  <c r="AJ208" i="59"/>
  <c r="AJ211" i="59"/>
  <c r="AJ207" i="59"/>
  <c r="AJ197" i="59"/>
  <c r="AJ195" i="59"/>
  <c r="AJ193" i="59"/>
  <c r="AJ191" i="59"/>
  <c r="AJ189" i="59"/>
  <c r="AJ187" i="59"/>
  <c r="AJ185" i="59"/>
  <c r="AJ183" i="59"/>
  <c r="AJ198" i="59"/>
  <c r="AJ196" i="59"/>
  <c r="AJ194" i="59"/>
  <c r="AJ192" i="59"/>
  <c r="AJ190" i="59"/>
  <c r="AJ188" i="59"/>
  <c r="AJ186" i="59"/>
  <c r="AJ184" i="59"/>
  <c r="AJ212" i="59"/>
  <c r="AJ200" i="59"/>
  <c r="AJ182" i="59"/>
  <c r="AJ202" i="59"/>
  <c r="AJ206" i="59"/>
  <c r="AJ204" i="59"/>
  <c r="AJ181" i="59"/>
  <c r="AJ178" i="59"/>
  <c r="AJ175" i="59"/>
  <c r="AJ172" i="59"/>
  <c r="AJ171" i="59"/>
  <c r="AJ176" i="59"/>
  <c r="AJ179" i="59"/>
  <c r="AJ173" i="59"/>
  <c r="AJ180" i="59"/>
  <c r="AJ177" i="59"/>
  <c r="AJ104" i="59"/>
  <c r="AJ87" i="59"/>
  <c r="AJ103" i="59"/>
  <c r="AJ90" i="59"/>
  <c r="AJ174" i="59"/>
  <c r="AJ102" i="59"/>
  <c r="AJ88" i="59"/>
  <c r="AJ86" i="59"/>
  <c r="AJ85" i="59"/>
  <c r="AJ89" i="59"/>
  <c r="AJ82" i="59"/>
  <c r="AJ81" i="59"/>
  <c r="AJ78" i="59"/>
  <c r="AJ77" i="59"/>
  <c r="AJ74" i="59"/>
  <c r="AJ65" i="59"/>
  <c r="AJ63" i="59"/>
  <c r="AJ61" i="59"/>
  <c r="AJ72" i="59"/>
  <c r="AJ59" i="59"/>
  <c r="AJ70" i="59"/>
  <c r="AJ68" i="59"/>
  <c r="AJ83" i="59"/>
  <c r="AJ66" i="59"/>
  <c r="AJ55" i="59"/>
  <c r="AJ80" i="59"/>
  <c r="AJ79" i="59"/>
  <c r="AJ76" i="59"/>
  <c r="AJ75" i="59"/>
  <c r="AJ73" i="59"/>
  <c r="AJ64" i="59"/>
  <c r="AJ62" i="59"/>
  <c r="AJ84" i="59"/>
  <c r="AJ71" i="59"/>
  <c r="AJ69" i="59"/>
  <c r="AJ52" i="59"/>
  <c r="AJ50" i="59"/>
  <c r="AJ48" i="59"/>
  <c r="AJ46" i="59"/>
  <c r="AJ44" i="59"/>
  <c r="AJ58" i="59"/>
  <c r="AJ54" i="59"/>
  <c r="AJ42" i="59"/>
  <c r="AJ40" i="59"/>
  <c r="AJ36" i="59"/>
  <c r="AJ35" i="59"/>
  <c r="AJ56" i="59"/>
  <c r="AJ53" i="59"/>
  <c r="AJ51" i="59"/>
  <c r="AJ49" i="59"/>
  <c r="AJ67" i="59"/>
  <c r="AJ43" i="59"/>
  <c r="AJ41" i="59"/>
  <c r="AJ39" i="59"/>
  <c r="AJ37" i="59"/>
  <c r="AJ57" i="59"/>
  <c r="AJ60" i="59"/>
  <c r="AJ47" i="59"/>
  <c r="AJ45" i="59"/>
  <c r="AJ32" i="59"/>
  <c r="AJ15" i="59"/>
  <c r="AJ11" i="59"/>
  <c r="AJ9" i="59"/>
  <c r="AJ33" i="59"/>
  <c r="AJ31" i="59"/>
  <c r="AJ29" i="59"/>
  <c r="AJ27" i="59"/>
  <c r="AJ25" i="59"/>
  <c r="AJ23" i="59"/>
  <c r="AJ21" i="59"/>
  <c r="AJ19" i="59"/>
  <c r="AJ17" i="59"/>
  <c r="AJ38" i="59"/>
  <c r="AJ34" i="59"/>
  <c r="AJ13" i="59"/>
  <c r="AJ30" i="59"/>
  <c r="AJ28" i="59"/>
  <c r="AJ26" i="59"/>
  <c r="AJ24" i="59"/>
  <c r="AJ22" i="59"/>
  <c r="AJ20" i="59"/>
  <c r="AJ18" i="59"/>
  <c r="AJ16" i="59"/>
  <c r="AJ14" i="59"/>
  <c r="AJ12" i="59"/>
  <c r="AJ10" i="59"/>
  <c r="AB92" i="59"/>
  <c r="AB340" i="59"/>
  <c r="HT13" i="52"/>
  <c r="F270" i="52"/>
  <c r="H256" i="52"/>
  <c r="H257" i="52"/>
  <c r="G254" i="52"/>
  <c r="G312" i="52"/>
  <c r="G256" i="52"/>
  <c r="G257" i="52"/>
  <c r="G255" i="52"/>
  <c r="G304" i="53" s="1"/>
  <c r="HM12" i="53"/>
  <c r="G249" i="53"/>
  <c r="F305" i="53"/>
  <c r="E270" i="52"/>
  <c r="IF13" i="52"/>
  <c r="HR14" i="52"/>
  <c r="IF14" i="52" s="1"/>
  <c r="H264" i="52"/>
  <c r="H261" i="53" s="1"/>
  <c r="G268" i="52"/>
  <c r="G269" i="52"/>
  <c r="H254" i="52"/>
  <c r="H255" i="52"/>
  <c r="H300" i="52" s="1"/>
  <c r="H308" i="52" s="1"/>
  <c r="G267" i="52"/>
  <c r="F303" i="52"/>
  <c r="F311" i="52" s="1"/>
  <c r="F307" i="53"/>
  <c r="H290" i="52"/>
  <c r="G313" i="52"/>
  <c r="F294" i="52"/>
  <c r="E301" i="52"/>
  <c r="E309" i="52" s="1"/>
  <c r="E305" i="53"/>
  <c r="G303" i="52"/>
  <c r="G311" i="52" s="1"/>
  <c r="G307" i="53"/>
  <c r="HO15" i="52"/>
  <c r="J252" i="52"/>
  <c r="HP15" i="52"/>
  <c r="I252" i="52"/>
  <c r="IE14" i="52"/>
  <c r="HP14" i="52"/>
  <c r="HO14" i="52"/>
  <c r="L262" i="52" a="1"/>
  <c r="L262" i="52" s="1"/>
  <c r="L263" i="52" s="1"/>
  <c r="J275" i="52"/>
  <c r="K274" i="52" a="1"/>
  <c r="K274" i="52" s="1"/>
  <c r="K250" i="52" a="1"/>
  <c r="K250" i="52" s="1"/>
  <c r="L250" i="52" s="1" a="1"/>
  <c r="L250" i="52" s="1"/>
  <c r="L251" i="52" s="1"/>
  <c r="HZ15" i="52" l="1"/>
  <c r="IB15" i="52" s="1"/>
  <c r="H293" i="52"/>
  <c r="H285" i="53"/>
  <c r="H292" i="52"/>
  <c r="I288" i="52"/>
  <c r="I285" i="53" s="1"/>
  <c r="IB14" i="52"/>
  <c r="H291" i="52"/>
  <c r="HY13" i="53"/>
  <c r="IA14" i="52"/>
  <c r="K286" i="52" a="1"/>
  <c r="K286" i="52" s="1"/>
  <c r="K287" i="52" s="1"/>
  <c r="HZ16" i="52" s="1"/>
  <c r="K288" i="52" s="1"/>
  <c r="K285" i="53" s="1"/>
  <c r="E294" i="52"/>
  <c r="IG14" i="52"/>
  <c r="HX14" i="52"/>
  <c r="HW14" i="52"/>
  <c r="I276" i="52"/>
  <c r="HV15" i="52"/>
  <c r="HX15" i="52" s="1"/>
  <c r="HW13" i="52"/>
  <c r="HX13" i="52"/>
  <c r="H276" i="52"/>
  <c r="IG13" i="52"/>
  <c r="E303" i="52"/>
  <c r="E311" i="52" s="1"/>
  <c r="G273" i="53"/>
  <c r="HU12" i="53"/>
  <c r="G277" i="52"/>
  <c r="F278" i="52"/>
  <c r="F281" i="52"/>
  <c r="F280" i="52"/>
  <c r="F314" i="52"/>
  <c r="F279" i="52"/>
  <c r="AB343" i="59"/>
  <c r="AB344" i="59" s="1"/>
  <c r="AB97" i="59" s="1"/>
  <c r="AJ92" i="59"/>
  <c r="AF91" i="59"/>
  <c r="AF92" i="59"/>
  <c r="AF342" i="59"/>
  <c r="AJ91" i="59"/>
  <c r="AJ93" i="59"/>
  <c r="AF93" i="59"/>
  <c r="AJ428" i="59"/>
  <c r="AJ430" i="59" s="1"/>
  <c r="AJ431" i="59" s="1"/>
  <c r="AJ98" i="59" s="1"/>
  <c r="AJ340" i="59"/>
  <c r="AF428" i="59"/>
  <c r="AF430" i="59" s="1"/>
  <c r="AF431" i="59" s="1"/>
  <c r="AF98" i="59" s="1"/>
  <c r="AJ251" i="59"/>
  <c r="AJ254" i="59" s="1"/>
  <c r="AJ255" i="59" s="1"/>
  <c r="AF341" i="59"/>
  <c r="AJ341" i="59"/>
  <c r="AB94" i="59"/>
  <c r="AJ342" i="59"/>
  <c r="AN404" i="59"/>
  <c r="AN402" i="59"/>
  <c r="AN400" i="59"/>
  <c r="AN398" i="59"/>
  <c r="AN405" i="59"/>
  <c r="AN403" i="59"/>
  <c r="AN401" i="59"/>
  <c r="AN399" i="59"/>
  <c r="AN397" i="59"/>
  <c r="AN395" i="59"/>
  <c r="AN396" i="59"/>
  <c r="AN328" i="59"/>
  <c r="AN334" i="59"/>
  <c r="AN330" i="59"/>
  <c r="AN337" i="59"/>
  <c r="AN336" i="59"/>
  <c r="AN326" i="59"/>
  <c r="AN315" i="59"/>
  <c r="AN335" i="59"/>
  <c r="AN324" i="59"/>
  <c r="AN332" i="59"/>
  <c r="AN322" i="59"/>
  <c r="AN312" i="59"/>
  <c r="AN310" i="59"/>
  <c r="AN308" i="59"/>
  <c r="AN306" i="59"/>
  <c r="AN303" i="59"/>
  <c r="AN314" i="59"/>
  <c r="AN304" i="59"/>
  <c r="AN313" i="59"/>
  <c r="AN311" i="59"/>
  <c r="AN309" i="59"/>
  <c r="AN307" i="59"/>
  <c r="AN305" i="59"/>
  <c r="AN316" i="59"/>
  <c r="AN302" i="59"/>
  <c r="AN298" i="59"/>
  <c r="AN300" i="59"/>
  <c r="AN301" i="59"/>
  <c r="AN299" i="59"/>
  <c r="AN293" i="59"/>
  <c r="AN291" i="59"/>
  <c r="AN289" i="59"/>
  <c r="AN287" i="59"/>
  <c r="AN294" i="59"/>
  <c r="AN295" i="59"/>
  <c r="AN285" i="59"/>
  <c r="AN283" i="59"/>
  <c r="AN281" i="59"/>
  <c r="AN279" i="59"/>
  <c r="AN277" i="59"/>
  <c r="AN275" i="59"/>
  <c r="AN273" i="59"/>
  <c r="AN296" i="59"/>
  <c r="AN292" i="59"/>
  <c r="AN290" i="59"/>
  <c r="AN288" i="59"/>
  <c r="AN286" i="59"/>
  <c r="AN271" i="59"/>
  <c r="AN278" i="59"/>
  <c r="AN270" i="59"/>
  <c r="AN268" i="59"/>
  <c r="AN284" i="59"/>
  <c r="AN276" i="59"/>
  <c r="AN297" i="59"/>
  <c r="AN217" i="59"/>
  <c r="AN282" i="59"/>
  <c r="AN272" i="59"/>
  <c r="AN267" i="59"/>
  <c r="AN218" i="59"/>
  <c r="AN215" i="59"/>
  <c r="AN266" i="59"/>
  <c r="AN264" i="59"/>
  <c r="AN262" i="59"/>
  <c r="AN260" i="59"/>
  <c r="AN258" i="59"/>
  <c r="AN269" i="59"/>
  <c r="AN216" i="59"/>
  <c r="AN214" i="59"/>
  <c r="AN212" i="59"/>
  <c r="AN280" i="59"/>
  <c r="AN265" i="59"/>
  <c r="AN263" i="59"/>
  <c r="AN274" i="59"/>
  <c r="AN261" i="59"/>
  <c r="AN259" i="59"/>
  <c r="AN213" i="59"/>
  <c r="AN211" i="59"/>
  <c r="AN207" i="59"/>
  <c r="AN204" i="59"/>
  <c r="AN202" i="59"/>
  <c r="AN200" i="59"/>
  <c r="AN198" i="59"/>
  <c r="AN196" i="59"/>
  <c r="AN194" i="59"/>
  <c r="AN192" i="59"/>
  <c r="AN190" i="59"/>
  <c r="AN188" i="59"/>
  <c r="AN186" i="59"/>
  <c r="AN184" i="59"/>
  <c r="AN182" i="59"/>
  <c r="AN206" i="59"/>
  <c r="AN210" i="59"/>
  <c r="AN208" i="59"/>
  <c r="AN197" i="59"/>
  <c r="AN195" i="59"/>
  <c r="AN193" i="59"/>
  <c r="AN191" i="59"/>
  <c r="AN189" i="59"/>
  <c r="AN187" i="59"/>
  <c r="AN185" i="59"/>
  <c r="AN203" i="59"/>
  <c r="AN205" i="59"/>
  <c r="AN209" i="59"/>
  <c r="AN183" i="59"/>
  <c r="AN199" i="59"/>
  <c r="AN201" i="59"/>
  <c r="AN176" i="59"/>
  <c r="AN179" i="59"/>
  <c r="AN173" i="59"/>
  <c r="AN174" i="59"/>
  <c r="AN180" i="59"/>
  <c r="AN177" i="59"/>
  <c r="AN178" i="59"/>
  <c r="AN104" i="59"/>
  <c r="AN103" i="59"/>
  <c r="AN102" i="59"/>
  <c r="AN181" i="59"/>
  <c r="AN86" i="59"/>
  <c r="AN172" i="59"/>
  <c r="AN171" i="59"/>
  <c r="AN87" i="59"/>
  <c r="AN90" i="59"/>
  <c r="AN175" i="59"/>
  <c r="AN83" i="59"/>
  <c r="AN66" i="59"/>
  <c r="AN88" i="59"/>
  <c r="AN80" i="59"/>
  <c r="AN79" i="59"/>
  <c r="AN76" i="59"/>
  <c r="AN75" i="59"/>
  <c r="AN73" i="59"/>
  <c r="AN64" i="59"/>
  <c r="AN62" i="59"/>
  <c r="AN84" i="59"/>
  <c r="AN71" i="59"/>
  <c r="AN60" i="59"/>
  <c r="AN58" i="59"/>
  <c r="AN69" i="59"/>
  <c r="AN67" i="59"/>
  <c r="AN89" i="59"/>
  <c r="AN82" i="59"/>
  <c r="AN81" i="59"/>
  <c r="AN78" i="59"/>
  <c r="AN77" i="59"/>
  <c r="AN74" i="59"/>
  <c r="AN65" i="59"/>
  <c r="AN63" i="59"/>
  <c r="AN61" i="59"/>
  <c r="AN85" i="59"/>
  <c r="AN72" i="59"/>
  <c r="AN70" i="59"/>
  <c r="AN68" i="59"/>
  <c r="AN53" i="59"/>
  <c r="AN51" i="59"/>
  <c r="AN49" i="59"/>
  <c r="AN47" i="59"/>
  <c r="AN45" i="59"/>
  <c r="AN56" i="59"/>
  <c r="AN43" i="59"/>
  <c r="AN41" i="59"/>
  <c r="AN39" i="59"/>
  <c r="AN57" i="59"/>
  <c r="AN34" i="59"/>
  <c r="AN59" i="59"/>
  <c r="AN52" i="59"/>
  <c r="AN50" i="59"/>
  <c r="AN48" i="59"/>
  <c r="AN54" i="59"/>
  <c r="AN42" i="59"/>
  <c r="AN40" i="59"/>
  <c r="AN38" i="59"/>
  <c r="AN55" i="59"/>
  <c r="AN33" i="59"/>
  <c r="AN12" i="59"/>
  <c r="AN37" i="59"/>
  <c r="AN30" i="59"/>
  <c r="AN28" i="59"/>
  <c r="AN26" i="59"/>
  <c r="AN24" i="59"/>
  <c r="AN22" i="59"/>
  <c r="AN20" i="59"/>
  <c r="AN18" i="59"/>
  <c r="AN16" i="59"/>
  <c r="AN32" i="59"/>
  <c r="AN10" i="59"/>
  <c r="AN35" i="59"/>
  <c r="AN46" i="59"/>
  <c r="AN44" i="59"/>
  <c r="AN36" i="59"/>
  <c r="AN31" i="59"/>
  <c r="AN29" i="59"/>
  <c r="AN27" i="59"/>
  <c r="AN25" i="59"/>
  <c r="AN23" i="59"/>
  <c r="AN21" i="59"/>
  <c r="AN19" i="59"/>
  <c r="AN17" i="59"/>
  <c r="AN15" i="59"/>
  <c r="AN13" i="59"/>
  <c r="AN11" i="59"/>
  <c r="AN9" i="59"/>
  <c r="AN14" i="59"/>
  <c r="AF251" i="59"/>
  <c r="AF254" i="59" s="1"/>
  <c r="AF255" i="59" s="1"/>
  <c r="AF340" i="59"/>
  <c r="H258" i="52"/>
  <c r="G300" i="52"/>
  <c r="G308" i="52" s="1"/>
  <c r="G258" i="52"/>
  <c r="H265" i="52"/>
  <c r="H269" i="52" s="1"/>
  <c r="H304" i="53"/>
  <c r="G270" i="52"/>
  <c r="HQ13" i="53"/>
  <c r="I264" i="52"/>
  <c r="HS14" i="52"/>
  <c r="HT14" i="52"/>
  <c r="H294" i="52"/>
  <c r="HR15" i="52"/>
  <c r="I253" i="52"/>
  <c r="I256" i="52" s="1"/>
  <c r="I249" i="53"/>
  <c r="HM14" i="53"/>
  <c r="H303" i="52"/>
  <c r="H311" i="52" s="1"/>
  <c r="H307" i="53"/>
  <c r="I277" i="52"/>
  <c r="I280" i="52" s="1"/>
  <c r="I273" i="53"/>
  <c r="HU14" i="53"/>
  <c r="G301" i="52"/>
  <c r="G309" i="52" s="1"/>
  <c r="G305" i="53"/>
  <c r="J253" i="52"/>
  <c r="AV1" i="59" s="1"/>
  <c r="J249" i="53"/>
  <c r="HM15" i="53"/>
  <c r="K275" i="52"/>
  <c r="L274" i="52" a="1"/>
  <c r="L274" i="52" s="1"/>
  <c r="M274" i="52" s="1" a="1"/>
  <c r="M274" i="52" s="1"/>
  <c r="M275" i="52" s="1"/>
  <c r="HW15" i="52"/>
  <c r="J276" i="52"/>
  <c r="K251" i="52"/>
  <c r="HN16" i="52" s="1"/>
  <c r="M250" i="52" a="1"/>
  <c r="M250" i="52" s="1"/>
  <c r="M251" i="52" s="1"/>
  <c r="M262" i="52" a="1"/>
  <c r="M262" i="52" s="1"/>
  <c r="HV16" i="52" l="1"/>
  <c r="IG15" i="52"/>
  <c r="IA15" i="52"/>
  <c r="IH15" i="52"/>
  <c r="J288" i="52"/>
  <c r="I289" i="52"/>
  <c r="HY14" i="53"/>
  <c r="K289" i="52"/>
  <c r="K291" i="52" s="1"/>
  <c r="L286" i="52" a="1"/>
  <c r="L286" i="52" s="1"/>
  <c r="L287" i="52" s="1"/>
  <c r="HZ17" i="52" s="1"/>
  <c r="IB17" i="52" s="1"/>
  <c r="IH16" i="52"/>
  <c r="IB16" i="52"/>
  <c r="HY16" i="53"/>
  <c r="IA16" i="52"/>
  <c r="H277" i="52"/>
  <c r="H273" i="53"/>
  <c r="HU13" i="53"/>
  <c r="F282" i="52"/>
  <c r="G278" i="52"/>
  <c r="G281" i="52"/>
  <c r="G314" i="52"/>
  <c r="G280" i="52"/>
  <c r="G279" i="52"/>
  <c r="F302" i="52"/>
  <c r="F310" i="52" s="1"/>
  <c r="F306" i="53"/>
  <c r="AF94" i="59"/>
  <c r="AF96" i="59" s="1"/>
  <c r="AN92" i="59"/>
  <c r="AJ343" i="59"/>
  <c r="AJ344" i="59" s="1"/>
  <c r="AJ97" i="59" s="1"/>
  <c r="AN251" i="59"/>
  <c r="AN254" i="59" s="1"/>
  <c r="AN255" i="59" s="1"/>
  <c r="AN341" i="59"/>
  <c r="AN428" i="59"/>
  <c r="AN430" i="59" s="1"/>
  <c r="AN431" i="59" s="1"/>
  <c r="AN98" i="59" s="1"/>
  <c r="AV404" i="59"/>
  <c r="AV402" i="59"/>
  <c r="AV400" i="59"/>
  <c r="AV398" i="59"/>
  <c r="AV405" i="59"/>
  <c r="AV403" i="59"/>
  <c r="AV401" i="59"/>
  <c r="AV399" i="59"/>
  <c r="AV397" i="59"/>
  <c r="AV395" i="59"/>
  <c r="AV396" i="59"/>
  <c r="AV337" i="59"/>
  <c r="AV328" i="59"/>
  <c r="AV334" i="59"/>
  <c r="AV330" i="59"/>
  <c r="AV336" i="59"/>
  <c r="AV332" i="59"/>
  <c r="AV315" i="59"/>
  <c r="AV324" i="59"/>
  <c r="AV326" i="59"/>
  <c r="AV322" i="59"/>
  <c r="AV335" i="59"/>
  <c r="AV314" i="59"/>
  <c r="AV313" i="59"/>
  <c r="AV312" i="59"/>
  <c r="AV308" i="59"/>
  <c r="AV306" i="59"/>
  <c r="AV303" i="59"/>
  <c r="AV310" i="59"/>
  <c r="AV304" i="59"/>
  <c r="AV309" i="59"/>
  <c r="AV307" i="59"/>
  <c r="AV305" i="59"/>
  <c r="AV301" i="59"/>
  <c r="AV298" i="59"/>
  <c r="AV300" i="59"/>
  <c r="AV302" i="59"/>
  <c r="AV311" i="59"/>
  <c r="AV316" i="59"/>
  <c r="AV293" i="59"/>
  <c r="AV297" i="59"/>
  <c r="AV291" i="59"/>
  <c r="AV289" i="59"/>
  <c r="AV287" i="59"/>
  <c r="AV285" i="59"/>
  <c r="AV283" i="59"/>
  <c r="AV281" i="59"/>
  <c r="AV279" i="59"/>
  <c r="AV277" i="59"/>
  <c r="AV275" i="59"/>
  <c r="AV273" i="59"/>
  <c r="AV294" i="59"/>
  <c r="AV295" i="59"/>
  <c r="AV292" i="59"/>
  <c r="AV290" i="59"/>
  <c r="AV288" i="59"/>
  <c r="AV286" i="59"/>
  <c r="AV272" i="59"/>
  <c r="AV271" i="59"/>
  <c r="AV299" i="59"/>
  <c r="AV284" i="59"/>
  <c r="AV276" i="59"/>
  <c r="AV274" i="59"/>
  <c r="AV270" i="59"/>
  <c r="AV268" i="59"/>
  <c r="AV296" i="59"/>
  <c r="AV282" i="59"/>
  <c r="AV217" i="59"/>
  <c r="AV269" i="59"/>
  <c r="AV218" i="59"/>
  <c r="AV215" i="59"/>
  <c r="AV267" i="59"/>
  <c r="AV266" i="59"/>
  <c r="AV264" i="59"/>
  <c r="AV262" i="59"/>
  <c r="AV260" i="59"/>
  <c r="AV258" i="59"/>
  <c r="AV278" i="59"/>
  <c r="AV280" i="59"/>
  <c r="AV216" i="59"/>
  <c r="AV214" i="59"/>
  <c r="AV212" i="59"/>
  <c r="AV265" i="59"/>
  <c r="AV263" i="59"/>
  <c r="AV211" i="59"/>
  <c r="AV261" i="59"/>
  <c r="AV213" i="59"/>
  <c r="AV259" i="59"/>
  <c r="AV204" i="59"/>
  <c r="AV202" i="59"/>
  <c r="AV200" i="59"/>
  <c r="AV208" i="59"/>
  <c r="AV210" i="59"/>
  <c r="AV209" i="59"/>
  <c r="AV198" i="59"/>
  <c r="AV196" i="59"/>
  <c r="AV194" i="59"/>
  <c r="AV192" i="59"/>
  <c r="AV190" i="59"/>
  <c r="AV188" i="59"/>
  <c r="AV186" i="59"/>
  <c r="AV184" i="59"/>
  <c r="AV182" i="59"/>
  <c r="AV207" i="59"/>
  <c r="AV206" i="59"/>
  <c r="AV197" i="59"/>
  <c r="AV195" i="59"/>
  <c r="AV193" i="59"/>
  <c r="AV191" i="59"/>
  <c r="AV189" i="59"/>
  <c r="AV187" i="59"/>
  <c r="AV185" i="59"/>
  <c r="AV199" i="59"/>
  <c r="AV201" i="59"/>
  <c r="AV183" i="59"/>
  <c r="AV203" i="59"/>
  <c r="AV205" i="59"/>
  <c r="AV175" i="59"/>
  <c r="AV176" i="59"/>
  <c r="AV181" i="59"/>
  <c r="AV173" i="59"/>
  <c r="AV179" i="59"/>
  <c r="AV177" i="59"/>
  <c r="AV104" i="59"/>
  <c r="AV103" i="59"/>
  <c r="AV102" i="59"/>
  <c r="AV178" i="59"/>
  <c r="AV180" i="59"/>
  <c r="AV174" i="59"/>
  <c r="AV172" i="59"/>
  <c r="AV86" i="59"/>
  <c r="AV87" i="59"/>
  <c r="AV90" i="59"/>
  <c r="AV171" i="59"/>
  <c r="AV83" i="59"/>
  <c r="AV66" i="59"/>
  <c r="AV85" i="59"/>
  <c r="AV80" i="59"/>
  <c r="AV79" i="59"/>
  <c r="AV76" i="59"/>
  <c r="AV75" i="59"/>
  <c r="AV73" i="59"/>
  <c r="AV64" i="59"/>
  <c r="AV62" i="59"/>
  <c r="AV71" i="59"/>
  <c r="AV60" i="59"/>
  <c r="AV58" i="59"/>
  <c r="AV69" i="59"/>
  <c r="AV67" i="59"/>
  <c r="AV89" i="59"/>
  <c r="AV84" i="59"/>
  <c r="AV82" i="59"/>
  <c r="AV81" i="59"/>
  <c r="AV78" i="59"/>
  <c r="AV77" i="59"/>
  <c r="AV74" i="59"/>
  <c r="AV65" i="59"/>
  <c r="AV63" i="59"/>
  <c r="AV61" i="59"/>
  <c r="AV72" i="59"/>
  <c r="AV88" i="59"/>
  <c r="AV70" i="59"/>
  <c r="AV68" i="59"/>
  <c r="AV59" i="59"/>
  <c r="AV55" i="59"/>
  <c r="AV53" i="59"/>
  <c r="AV51" i="59"/>
  <c r="AV49" i="59"/>
  <c r="AV47" i="59"/>
  <c r="AV45" i="59"/>
  <c r="AV43" i="59"/>
  <c r="AV41" i="59"/>
  <c r="AV39" i="59"/>
  <c r="AV56" i="59"/>
  <c r="AV34" i="59"/>
  <c r="AV57" i="59"/>
  <c r="AV52" i="59"/>
  <c r="AV50" i="59"/>
  <c r="AV48" i="59"/>
  <c r="AV42" i="59"/>
  <c r="AV40" i="59"/>
  <c r="AV38" i="59"/>
  <c r="AV54" i="59"/>
  <c r="AV35" i="59"/>
  <c r="AV33" i="59"/>
  <c r="AV30" i="59"/>
  <c r="AV28" i="59"/>
  <c r="AV26" i="59"/>
  <c r="AV24" i="59"/>
  <c r="AV22" i="59"/>
  <c r="AV20" i="59"/>
  <c r="AV18" i="59"/>
  <c r="AV16" i="59"/>
  <c r="AV36" i="59"/>
  <c r="AV14" i="59"/>
  <c r="AV46" i="59"/>
  <c r="AV44" i="59"/>
  <c r="AV32" i="59"/>
  <c r="AV10" i="59"/>
  <c r="AV12" i="59"/>
  <c r="AV37" i="59"/>
  <c r="AV31" i="59"/>
  <c r="AV29" i="59"/>
  <c r="AV27" i="59"/>
  <c r="AV25" i="59"/>
  <c r="AV23" i="59"/>
  <c r="AV21" i="59"/>
  <c r="AV19" i="59"/>
  <c r="AV17" i="59"/>
  <c r="AV15" i="59"/>
  <c r="AV13" i="59"/>
  <c r="AV11" i="59"/>
  <c r="AV9" i="59"/>
  <c r="AN93" i="59"/>
  <c r="AJ94" i="59"/>
  <c r="AF343" i="59"/>
  <c r="AF344" i="59" s="1"/>
  <c r="AF97" i="59" s="1"/>
  <c r="AN91" i="59"/>
  <c r="AN340" i="59"/>
  <c r="I254" i="52"/>
  <c r="AR1" i="59"/>
  <c r="AB96" i="59"/>
  <c r="AB99" i="59" s="1"/>
  <c r="AB105" i="59" s="1"/>
  <c r="AC106" i="59" s="1"/>
  <c r="AB95" i="59"/>
  <c r="AN342" i="59"/>
  <c r="H267" i="52"/>
  <c r="H301" i="52" s="1"/>
  <c r="H309" i="52" s="1"/>
  <c r="H266" i="52"/>
  <c r="K293" i="52"/>
  <c r="K292" i="52"/>
  <c r="I279" i="52"/>
  <c r="I302" i="52" s="1"/>
  <c r="I310" i="52" s="1"/>
  <c r="H313" i="52"/>
  <c r="H268" i="52"/>
  <c r="H270" i="52" s="1"/>
  <c r="I278" i="52"/>
  <c r="I281" i="52"/>
  <c r="I282" i="52" s="1"/>
  <c r="K290" i="52"/>
  <c r="I312" i="52"/>
  <c r="I257" i="52"/>
  <c r="I258" i="52" s="1"/>
  <c r="I255" i="52"/>
  <c r="I300" i="52" s="1"/>
  <c r="I308" i="52" s="1"/>
  <c r="HQ14" i="53"/>
  <c r="I265" i="52"/>
  <c r="I261" i="53"/>
  <c r="HS15" i="52"/>
  <c r="J264" i="52"/>
  <c r="HT15" i="52"/>
  <c r="IF15" i="52"/>
  <c r="HR16" i="52"/>
  <c r="HR17" i="52" s="1"/>
  <c r="K303" i="52"/>
  <c r="K311" i="52" s="1"/>
  <c r="K307" i="53"/>
  <c r="I314" i="52"/>
  <c r="J257" i="52"/>
  <c r="J312" i="52"/>
  <c r="J255" i="52"/>
  <c r="J256" i="52"/>
  <c r="J254" i="52"/>
  <c r="K315" i="52"/>
  <c r="J277" i="52"/>
  <c r="J278" i="52" s="1"/>
  <c r="J273" i="53"/>
  <c r="HU15" i="53"/>
  <c r="IA17" i="52"/>
  <c r="M286" i="52" a="1"/>
  <c r="M286" i="52" s="1"/>
  <c r="M287" i="52" s="1"/>
  <c r="HZ18" i="52" s="1"/>
  <c r="N274" i="52" a="1"/>
  <c r="N274" i="52" s="1"/>
  <c r="N275" i="52" s="1"/>
  <c r="M263" i="52"/>
  <c r="N262" i="52" a="1"/>
  <c r="N262" i="52" s="1"/>
  <c r="N263" i="52" s="1"/>
  <c r="K252" i="52"/>
  <c r="HP16" i="52"/>
  <c r="IE16" i="52"/>
  <c r="HO16" i="52"/>
  <c r="L275" i="52"/>
  <c r="HV17" i="52" s="1"/>
  <c r="HV18" i="52" s="1"/>
  <c r="IG16" i="52"/>
  <c r="HX16" i="52"/>
  <c r="K276" i="52"/>
  <c r="HW16" i="52"/>
  <c r="N250" i="52" a="1"/>
  <c r="N250" i="52" s="1"/>
  <c r="N251" i="52" s="1"/>
  <c r="HN17" i="52"/>
  <c r="J285" i="53" l="1"/>
  <c r="HY15" i="53"/>
  <c r="J289" i="52"/>
  <c r="IH17" i="52"/>
  <c r="I290" i="52"/>
  <c r="I291" i="52"/>
  <c r="I293" i="52"/>
  <c r="I315" i="52"/>
  <c r="I292" i="52"/>
  <c r="L288" i="52"/>
  <c r="H280" i="52"/>
  <c r="H278" i="52"/>
  <c r="H281" i="52"/>
  <c r="H314" i="52"/>
  <c r="H279" i="52"/>
  <c r="G302" i="52"/>
  <c r="G310" i="52" s="1"/>
  <c r="G306" i="53"/>
  <c r="G282" i="52"/>
  <c r="AF95" i="59"/>
  <c r="AN94" i="59"/>
  <c r="AN96" i="59" s="1"/>
  <c r="AN343" i="59"/>
  <c r="AN344" i="59" s="1"/>
  <c r="AN97" i="59" s="1"/>
  <c r="AV251" i="59"/>
  <c r="AV254" i="59" s="1"/>
  <c r="AV255" i="59" s="1"/>
  <c r="AV340" i="59"/>
  <c r="AV342" i="59"/>
  <c r="AF99" i="59"/>
  <c r="AF105" i="59" s="1"/>
  <c r="AG106" i="59" s="1"/>
  <c r="AJ96" i="59"/>
  <c r="AJ99" i="59" s="1"/>
  <c r="AJ105" i="59" s="1"/>
  <c r="AK106" i="59" s="1"/>
  <c r="AJ95" i="59"/>
  <c r="AV93" i="59"/>
  <c r="AV341" i="59"/>
  <c r="AV428" i="59"/>
  <c r="AV430" i="59" s="1"/>
  <c r="AV431" i="59" s="1"/>
  <c r="AV98" i="59" s="1"/>
  <c r="AR403" i="59"/>
  <c r="AR401" i="59"/>
  <c r="AR399" i="59"/>
  <c r="AR404" i="59"/>
  <c r="AR402" i="59"/>
  <c r="AR400" i="59"/>
  <c r="AR398" i="59"/>
  <c r="AR405" i="59"/>
  <c r="AR396" i="59"/>
  <c r="AR395" i="59"/>
  <c r="AR335" i="59"/>
  <c r="AR326" i="59"/>
  <c r="AR332" i="59"/>
  <c r="AR337" i="59"/>
  <c r="AR336" i="59"/>
  <c r="AR397" i="59"/>
  <c r="AR330" i="59"/>
  <c r="AR328" i="59"/>
  <c r="AR315" i="59"/>
  <c r="AR324" i="59"/>
  <c r="AR334" i="59"/>
  <c r="AR316" i="59"/>
  <c r="AR304" i="59"/>
  <c r="AR322" i="59"/>
  <c r="AR314" i="59"/>
  <c r="AR311" i="59"/>
  <c r="AR309" i="59"/>
  <c r="AR307" i="59"/>
  <c r="AR305" i="59"/>
  <c r="AR313" i="59"/>
  <c r="AR312" i="59"/>
  <c r="AR308" i="59"/>
  <c r="AR306" i="59"/>
  <c r="AR310" i="59"/>
  <c r="AR299" i="59"/>
  <c r="AR303" i="59"/>
  <c r="AR301" i="59"/>
  <c r="AR302" i="59"/>
  <c r="AR300" i="59"/>
  <c r="AR298" i="59"/>
  <c r="AR295" i="59"/>
  <c r="AR296" i="59"/>
  <c r="AR292" i="59"/>
  <c r="AR290" i="59"/>
  <c r="AR288" i="59"/>
  <c r="AR286" i="59"/>
  <c r="AR284" i="59"/>
  <c r="AR282" i="59"/>
  <c r="AR280" i="59"/>
  <c r="AR278" i="59"/>
  <c r="AR276" i="59"/>
  <c r="AR274" i="59"/>
  <c r="AR297" i="59"/>
  <c r="AR293" i="59"/>
  <c r="AR291" i="59"/>
  <c r="AR289" i="59"/>
  <c r="AR287" i="59"/>
  <c r="AR279" i="59"/>
  <c r="AR275" i="59"/>
  <c r="AR272" i="59"/>
  <c r="AR271" i="59"/>
  <c r="AR269" i="59"/>
  <c r="AR277" i="59"/>
  <c r="AR294" i="59"/>
  <c r="AR285" i="59"/>
  <c r="AR216" i="59"/>
  <c r="AR265" i="59"/>
  <c r="AR263" i="59"/>
  <c r="AR261" i="59"/>
  <c r="AR259" i="59"/>
  <c r="AR283" i="59"/>
  <c r="AR281" i="59"/>
  <c r="AR268" i="59"/>
  <c r="AR217" i="59"/>
  <c r="AR267" i="59"/>
  <c r="AR218" i="59"/>
  <c r="AR215" i="59"/>
  <c r="AR213" i="59"/>
  <c r="AR260" i="59"/>
  <c r="AR266" i="59"/>
  <c r="AR212" i="59"/>
  <c r="AR258" i="59"/>
  <c r="AR270" i="59"/>
  <c r="AR214" i="59"/>
  <c r="AR211" i="59"/>
  <c r="AR273" i="59"/>
  <c r="AR264" i="59"/>
  <c r="AR262" i="59"/>
  <c r="AR205" i="59"/>
  <c r="AR203" i="59"/>
  <c r="AR201" i="59"/>
  <c r="AR199" i="59"/>
  <c r="AR206" i="59"/>
  <c r="AR197" i="59"/>
  <c r="AR195" i="59"/>
  <c r="AR193" i="59"/>
  <c r="AR191" i="59"/>
  <c r="AR189" i="59"/>
  <c r="AR187" i="59"/>
  <c r="AR185" i="59"/>
  <c r="AR183" i="59"/>
  <c r="AR210" i="59"/>
  <c r="AR207" i="59"/>
  <c r="AR198" i="59"/>
  <c r="AR196" i="59"/>
  <c r="AR194" i="59"/>
  <c r="AR192" i="59"/>
  <c r="AR190" i="59"/>
  <c r="AR188" i="59"/>
  <c r="AR186" i="59"/>
  <c r="AR200" i="59"/>
  <c r="AR202" i="59"/>
  <c r="AR184" i="59"/>
  <c r="AR209" i="59"/>
  <c r="AR208" i="59"/>
  <c r="AR182" i="59"/>
  <c r="AR204" i="59"/>
  <c r="AR177" i="59"/>
  <c r="AR174" i="59"/>
  <c r="AR180" i="59"/>
  <c r="AR178" i="59"/>
  <c r="AR175" i="59"/>
  <c r="AR172" i="59"/>
  <c r="AR171" i="59"/>
  <c r="AR181" i="59"/>
  <c r="AR176" i="59"/>
  <c r="AR173" i="59"/>
  <c r="AR179" i="59"/>
  <c r="AR87" i="59"/>
  <c r="AR104" i="59"/>
  <c r="AR90" i="59"/>
  <c r="AR103" i="59"/>
  <c r="AR88" i="59"/>
  <c r="AR102" i="59"/>
  <c r="AR86" i="59"/>
  <c r="AR85" i="59"/>
  <c r="AR89" i="59"/>
  <c r="AR84" i="59"/>
  <c r="AR82" i="59"/>
  <c r="AR81" i="59"/>
  <c r="AR78" i="59"/>
  <c r="AR77" i="59"/>
  <c r="AR74" i="59"/>
  <c r="AR65" i="59"/>
  <c r="AR63" i="59"/>
  <c r="AR61" i="59"/>
  <c r="AR72" i="59"/>
  <c r="AR59" i="59"/>
  <c r="AR70" i="59"/>
  <c r="AR68" i="59"/>
  <c r="AR83" i="59"/>
  <c r="AR66" i="59"/>
  <c r="AR55" i="59"/>
  <c r="AR80" i="59"/>
  <c r="AR79" i="59"/>
  <c r="AR76" i="59"/>
  <c r="AR75" i="59"/>
  <c r="AR73" i="59"/>
  <c r="AR64" i="59"/>
  <c r="AR62" i="59"/>
  <c r="AR71" i="59"/>
  <c r="AR69" i="59"/>
  <c r="AR57" i="59"/>
  <c r="AR52" i="59"/>
  <c r="AR50" i="59"/>
  <c r="AR48" i="59"/>
  <c r="AR46" i="59"/>
  <c r="AR44" i="59"/>
  <c r="AR42" i="59"/>
  <c r="AR40" i="59"/>
  <c r="AR54" i="59"/>
  <c r="AR36" i="59"/>
  <c r="AR35" i="59"/>
  <c r="AR67" i="59"/>
  <c r="AR60" i="59"/>
  <c r="AR58" i="59"/>
  <c r="AR53" i="59"/>
  <c r="AR51" i="59"/>
  <c r="AR49" i="59"/>
  <c r="AR56" i="59"/>
  <c r="AR43" i="59"/>
  <c r="AR41" i="59"/>
  <c r="AR39" i="59"/>
  <c r="AR37" i="59"/>
  <c r="AR38" i="59"/>
  <c r="AR32" i="59"/>
  <c r="AR9" i="59"/>
  <c r="AR31" i="59"/>
  <c r="AR29" i="59"/>
  <c r="AR27" i="59"/>
  <c r="AR25" i="59"/>
  <c r="AR23" i="59"/>
  <c r="AR21" i="59"/>
  <c r="AR19" i="59"/>
  <c r="AR17" i="59"/>
  <c r="AR33" i="59"/>
  <c r="AR15" i="59"/>
  <c r="AR13" i="59"/>
  <c r="AR11" i="59"/>
  <c r="AR47" i="59"/>
  <c r="AR45" i="59"/>
  <c r="AR34" i="59"/>
  <c r="AR30" i="59"/>
  <c r="AR28" i="59"/>
  <c r="AR26" i="59"/>
  <c r="AR24" i="59"/>
  <c r="AR22" i="59"/>
  <c r="AR20" i="59"/>
  <c r="AR18" i="59"/>
  <c r="AR16" i="59"/>
  <c r="AR14" i="59"/>
  <c r="AR12" i="59"/>
  <c r="AR10" i="59"/>
  <c r="AV91" i="59"/>
  <c r="AV92" i="59"/>
  <c r="K294" i="52"/>
  <c r="H305" i="53"/>
  <c r="J279" i="52"/>
  <c r="J306" i="53" s="1"/>
  <c r="I306" i="53"/>
  <c r="J280" i="52"/>
  <c r="J281" i="52"/>
  <c r="HR18" i="52"/>
  <c r="J314" i="52"/>
  <c r="I304" i="53"/>
  <c r="HS16" i="52"/>
  <c r="HT16" i="52"/>
  <c r="IF16" i="52"/>
  <c r="K264" i="52"/>
  <c r="I267" i="52"/>
  <c r="I313" i="52"/>
  <c r="I268" i="52"/>
  <c r="I269" i="52"/>
  <c r="I266" i="52"/>
  <c r="J261" i="53"/>
  <c r="J265" i="52"/>
  <c r="HQ15" i="53"/>
  <c r="IF17" i="52"/>
  <c r="L264" i="52"/>
  <c r="HS17" i="52"/>
  <c r="HT17" i="52"/>
  <c r="K277" i="52"/>
  <c r="K281" i="52" s="1"/>
  <c r="K273" i="53"/>
  <c r="HU16" i="53"/>
  <c r="J258" i="52"/>
  <c r="J300" i="52"/>
  <c r="J308" i="52" s="1"/>
  <c r="J304" i="53"/>
  <c r="K253" i="52"/>
  <c r="K249" i="53"/>
  <c r="HM16" i="53"/>
  <c r="L289" i="52"/>
  <c r="L285" i="53"/>
  <c r="HY17" i="53"/>
  <c r="IH18" i="52"/>
  <c r="IA18" i="52"/>
  <c r="M288" i="52"/>
  <c r="IB18" i="52"/>
  <c r="N286" i="52" a="1"/>
  <c r="N286" i="52" s="1"/>
  <c r="N287" i="52" s="1"/>
  <c r="HZ19" i="52" s="1"/>
  <c r="IA19" i="52" s="1"/>
  <c r="O274" i="52" a="1"/>
  <c r="O274" i="52" s="1"/>
  <c r="O275" i="52" s="1"/>
  <c r="O262" i="52" a="1"/>
  <c r="O262" i="52" s="1"/>
  <c r="P262" i="52" s="1" a="1"/>
  <c r="P262" i="52" s="1"/>
  <c r="P263" i="52" s="1"/>
  <c r="L252" i="52"/>
  <c r="HP17" i="52"/>
  <c r="HO17" i="52"/>
  <c r="IE17" i="52"/>
  <c r="M276" i="52"/>
  <c r="IG18" i="52"/>
  <c r="HW18" i="52"/>
  <c r="HX18" i="52"/>
  <c r="L276" i="52"/>
  <c r="HW17" i="52"/>
  <c r="HX17" i="52"/>
  <c r="IG17" i="52"/>
  <c r="HN18" i="52"/>
  <c r="HN19" i="52" s="1"/>
  <c r="O250" i="52" a="1"/>
  <c r="O250" i="52" s="1"/>
  <c r="O251" i="52" s="1"/>
  <c r="HV19" i="52"/>
  <c r="J315" i="52" l="1"/>
  <c r="J290" i="52"/>
  <c r="J293" i="52"/>
  <c r="J291" i="52"/>
  <c r="J292" i="52"/>
  <c r="I294" i="52"/>
  <c r="I303" i="52"/>
  <c r="I311" i="52" s="1"/>
  <c r="I307" i="53"/>
  <c r="H282" i="52"/>
  <c r="H302" i="52"/>
  <c r="H310" i="52" s="1"/>
  <c r="H306" i="53"/>
  <c r="AN99" i="59"/>
  <c r="AN105" i="59" s="1"/>
  <c r="AO106" i="59" s="1"/>
  <c r="AN95" i="59"/>
  <c r="J302" i="52"/>
  <c r="J310" i="52" s="1"/>
  <c r="AV94" i="59"/>
  <c r="AV96" i="59" s="1"/>
  <c r="AV343" i="59"/>
  <c r="AV344" i="59" s="1"/>
  <c r="AV97" i="59" s="1"/>
  <c r="K254" i="52"/>
  <c r="AZ1" i="59"/>
  <c r="AR341" i="59"/>
  <c r="AR251" i="59"/>
  <c r="AR254" i="59" s="1"/>
  <c r="AR255" i="59" s="1"/>
  <c r="AR92" i="59"/>
  <c r="AR340" i="59"/>
  <c r="AR428" i="59"/>
  <c r="AR430" i="59" s="1"/>
  <c r="AR431" i="59" s="1"/>
  <c r="AR98" i="59" s="1"/>
  <c r="AR342" i="59"/>
  <c r="AR91" i="59"/>
  <c r="AR93" i="59"/>
  <c r="J282" i="52"/>
  <c r="K278" i="52"/>
  <c r="K314" i="52"/>
  <c r="K279" i="52"/>
  <c r="K302" i="52" s="1"/>
  <c r="K310" i="52" s="1"/>
  <c r="K312" i="52"/>
  <c r="HS18" i="52"/>
  <c r="HT18" i="52"/>
  <c r="IF18" i="52"/>
  <c r="M264" i="52"/>
  <c r="HR19" i="52"/>
  <c r="L261" i="53"/>
  <c r="HQ17" i="53"/>
  <c r="L265" i="52"/>
  <c r="I270" i="52"/>
  <c r="K280" i="52"/>
  <c r="K282" i="52" s="1"/>
  <c r="I301" i="52"/>
  <c r="I309" i="52" s="1"/>
  <c r="I305" i="53"/>
  <c r="J266" i="52"/>
  <c r="J313" i="52"/>
  <c r="J268" i="52"/>
  <c r="J267" i="52"/>
  <c r="J269" i="52"/>
  <c r="K265" i="52"/>
  <c r="K261" i="53"/>
  <c r="HQ16" i="53"/>
  <c r="L253" i="52"/>
  <c r="L249" i="53"/>
  <c r="HM17" i="53"/>
  <c r="K257" i="52"/>
  <c r="K256" i="52"/>
  <c r="L315" i="52"/>
  <c r="L290" i="52"/>
  <c r="L293" i="52"/>
  <c r="L292" i="52"/>
  <c r="L291" i="52"/>
  <c r="K255" i="52"/>
  <c r="L277" i="52"/>
  <c r="L279" i="52" s="1"/>
  <c r="L273" i="53"/>
  <c r="HU17" i="53"/>
  <c r="M277" i="52"/>
  <c r="M314" i="52" s="1"/>
  <c r="M273" i="53"/>
  <c r="HU18" i="53"/>
  <c r="M289" i="52"/>
  <c r="M285" i="53"/>
  <c r="HY18" i="53"/>
  <c r="IH19" i="52"/>
  <c r="N288" i="52"/>
  <c r="IB19" i="52"/>
  <c r="O286" i="52" a="1"/>
  <c r="O286" i="52" s="1"/>
  <c r="P286" i="52" s="1" a="1"/>
  <c r="P286" i="52" s="1"/>
  <c r="P287" i="52" s="1"/>
  <c r="P274" i="52" a="1"/>
  <c r="P274" i="52" s="1"/>
  <c r="Q274" i="52" s="1" a="1"/>
  <c r="Q274" i="52" s="1"/>
  <c r="Q275" i="52" s="1"/>
  <c r="Q262" i="52" a="1"/>
  <c r="Q262" i="52" s="1"/>
  <c r="Q263" i="52" s="1"/>
  <c r="HN20" i="52"/>
  <c r="HO20" i="52" s="1"/>
  <c r="HV20" i="52"/>
  <c r="HX20" i="52" s="1"/>
  <c r="O263" i="52"/>
  <c r="M252" i="52"/>
  <c r="IE18" i="52"/>
  <c r="HP18" i="52"/>
  <c r="HO18" i="52"/>
  <c r="HO19" i="52"/>
  <c r="HP19" i="52"/>
  <c r="N252" i="52"/>
  <c r="IE19" i="52"/>
  <c r="IG19" i="52"/>
  <c r="HW19" i="52"/>
  <c r="N276" i="52"/>
  <c r="HX19" i="52"/>
  <c r="P250" i="52" a="1"/>
  <c r="P250" i="52" s="1"/>
  <c r="P251" i="52" s="1"/>
  <c r="HN21" i="52" s="1"/>
  <c r="P252" i="52" s="1"/>
  <c r="J294" i="52" l="1"/>
  <c r="J303" i="52"/>
  <c r="J311" i="52" s="1"/>
  <c r="J307" i="53"/>
  <c r="AV95" i="59"/>
  <c r="AV99" i="59"/>
  <c r="AV105" i="59" s="1"/>
  <c r="AW106" i="59" s="1"/>
  <c r="AR343" i="59"/>
  <c r="AR344" i="59" s="1"/>
  <c r="AR97" i="59" s="1"/>
  <c r="AR94" i="59"/>
  <c r="AR96" i="59" s="1"/>
  <c r="K258" i="52"/>
  <c r="L257" i="52"/>
  <c r="BD1" i="59"/>
  <c r="AZ403" i="59"/>
  <c r="AZ401" i="59"/>
  <c r="AZ399" i="59"/>
  <c r="AZ404" i="59"/>
  <c r="AZ402" i="59"/>
  <c r="AZ400" i="59"/>
  <c r="AZ398" i="59"/>
  <c r="AZ397" i="59"/>
  <c r="AZ395" i="59"/>
  <c r="AZ335" i="59"/>
  <c r="AZ326" i="59"/>
  <c r="AZ405" i="59"/>
  <c r="AZ332" i="59"/>
  <c r="AZ336" i="59"/>
  <c r="AZ396" i="59"/>
  <c r="AZ330" i="59"/>
  <c r="AZ328" i="59"/>
  <c r="AZ337" i="59"/>
  <c r="AZ334" i="59"/>
  <c r="AZ315" i="59"/>
  <c r="AZ324" i="59"/>
  <c r="AZ316" i="59"/>
  <c r="AZ322" i="59"/>
  <c r="AZ313" i="59"/>
  <c r="AZ312" i="59"/>
  <c r="AZ310" i="59"/>
  <c r="AZ304" i="59"/>
  <c r="AZ309" i="59"/>
  <c r="AZ307" i="59"/>
  <c r="AZ305" i="59"/>
  <c r="AZ302" i="59"/>
  <c r="AZ311" i="59"/>
  <c r="AZ314" i="59"/>
  <c r="AZ308" i="59"/>
  <c r="AZ306" i="59"/>
  <c r="AZ299" i="59"/>
  <c r="AZ301" i="59"/>
  <c r="AZ303" i="59"/>
  <c r="AZ300" i="59"/>
  <c r="AZ294" i="59"/>
  <c r="AZ292" i="59"/>
  <c r="AZ290" i="59"/>
  <c r="AZ288" i="59"/>
  <c r="AZ286" i="59"/>
  <c r="AZ295" i="59"/>
  <c r="AZ296" i="59"/>
  <c r="AZ284" i="59"/>
  <c r="AZ282" i="59"/>
  <c r="AZ280" i="59"/>
  <c r="AZ278" i="59"/>
  <c r="AZ276" i="59"/>
  <c r="AZ274" i="59"/>
  <c r="AZ293" i="59"/>
  <c r="AZ298" i="59"/>
  <c r="AZ291" i="59"/>
  <c r="AZ289" i="59"/>
  <c r="AZ287" i="59"/>
  <c r="AZ275" i="59"/>
  <c r="AZ277" i="59"/>
  <c r="AZ273" i="59"/>
  <c r="AZ272" i="59"/>
  <c r="AZ271" i="59"/>
  <c r="AZ269" i="59"/>
  <c r="AZ297" i="59"/>
  <c r="AZ283" i="59"/>
  <c r="AZ285" i="59"/>
  <c r="AZ279" i="59"/>
  <c r="AZ216" i="59"/>
  <c r="AZ281" i="59"/>
  <c r="AZ265" i="59"/>
  <c r="AZ263" i="59"/>
  <c r="AZ261" i="59"/>
  <c r="AZ259" i="59"/>
  <c r="AZ270" i="59"/>
  <c r="AZ217" i="59"/>
  <c r="AZ218" i="59"/>
  <c r="AZ215" i="59"/>
  <c r="AZ213" i="59"/>
  <c r="AZ266" i="59"/>
  <c r="AZ258" i="59"/>
  <c r="AZ214" i="59"/>
  <c r="AZ267" i="59"/>
  <c r="AZ262" i="59"/>
  <c r="AZ212" i="59"/>
  <c r="AZ211" i="59"/>
  <c r="AZ264" i="59"/>
  <c r="AZ260" i="59"/>
  <c r="AZ268" i="59"/>
  <c r="AZ207" i="59"/>
  <c r="AZ205" i="59"/>
  <c r="AZ203" i="59"/>
  <c r="AZ201" i="59"/>
  <c r="AZ199" i="59"/>
  <c r="AZ210" i="59"/>
  <c r="AZ197" i="59"/>
  <c r="AZ195" i="59"/>
  <c r="AZ193" i="59"/>
  <c r="AZ191" i="59"/>
  <c r="AZ189" i="59"/>
  <c r="AZ187" i="59"/>
  <c r="AZ185" i="59"/>
  <c r="AZ183" i="59"/>
  <c r="AZ206" i="59"/>
  <c r="AZ198" i="59"/>
  <c r="AZ196" i="59"/>
  <c r="AZ194" i="59"/>
  <c r="AZ192" i="59"/>
  <c r="AZ190" i="59"/>
  <c r="AZ188" i="59"/>
  <c r="AZ186" i="59"/>
  <c r="AZ184" i="59"/>
  <c r="AZ209" i="59"/>
  <c r="AZ208" i="59"/>
  <c r="AZ204" i="59"/>
  <c r="AZ200" i="59"/>
  <c r="AZ182" i="59"/>
  <c r="AZ202" i="59"/>
  <c r="AZ181" i="59"/>
  <c r="AZ179" i="59"/>
  <c r="AZ177" i="59"/>
  <c r="AZ174" i="59"/>
  <c r="AZ178" i="59"/>
  <c r="AZ171" i="59"/>
  <c r="AZ180" i="59"/>
  <c r="AZ176" i="59"/>
  <c r="AZ102" i="59"/>
  <c r="AZ87" i="59"/>
  <c r="AZ90" i="59"/>
  <c r="AZ173" i="59"/>
  <c r="AZ175" i="59"/>
  <c r="AZ104" i="59"/>
  <c r="AZ88" i="59"/>
  <c r="AZ103" i="59"/>
  <c r="AZ86" i="59"/>
  <c r="AZ85" i="59"/>
  <c r="AZ172" i="59"/>
  <c r="AZ89" i="59"/>
  <c r="AZ82" i="59"/>
  <c r="AZ81" i="59"/>
  <c r="AZ78" i="59"/>
  <c r="AZ77" i="59"/>
  <c r="AZ74" i="59"/>
  <c r="AZ65" i="59"/>
  <c r="AZ63" i="59"/>
  <c r="AZ61" i="59"/>
  <c r="AZ84" i="59"/>
  <c r="AZ72" i="59"/>
  <c r="AZ59" i="59"/>
  <c r="AZ70" i="59"/>
  <c r="AZ68" i="59"/>
  <c r="AZ83" i="59"/>
  <c r="AZ66" i="59"/>
  <c r="AZ55" i="59"/>
  <c r="AZ80" i="59"/>
  <c r="AZ79" i="59"/>
  <c r="AZ76" i="59"/>
  <c r="AZ75" i="59"/>
  <c r="AZ73" i="59"/>
  <c r="AZ64" i="59"/>
  <c r="AZ62" i="59"/>
  <c r="AZ71" i="59"/>
  <c r="AZ69" i="59"/>
  <c r="AZ52" i="59"/>
  <c r="AZ50" i="59"/>
  <c r="AZ48" i="59"/>
  <c r="AZ46" i="59"/>
  <c r="AZ44" i="59"/>
  <c r="AZ60" i="59"/>
  <c r="AZ42" i="59"/>
  <c r="AZ40" i="59"/>
  <c r="AZ57" i="59"/>
  <c r="AZ67" i="59"/>
  <c r="AZ54" i="59"/>
  <c r="AZ36" i="59"/>
  <c r="AZ35" i="59"/>
  <c r="AZ53" i="59"/>
  <c r="AZ51" i="59"/>
  <c r="AZ49" i="59"/>
  <c r="AZ43" i="59"/>
  <c r="AZ41" i="59"/>
  <c r="AZ39" i="59"/>
  <c r="AZ37" i="59"/>
  <c r="AZ56" i="59"/>
  <c r="AZ58" i="59"/>
  <c r="AZ13" i="59"/>
  <c r="AZ34" i="59"/>
  <c r="AZ32" i="59"/>
  <c r="AZ11" i="59"/>
  <c r="AZ9" i="59"/>
  <c r="AZ31" i="59"/>
  <c r="AZ29" i="59"/>
  <c r="AZ27" i="59"/>
  <c r="AZ25" i="59"/>
  <c r="AZ23" i="59"/>
  <c r="AZ21" i="59"/>
  <c r="AZ19" i="59"/>
  <c r="AZ17" i="59"/>
  <c r="AZ47" i="59"/>
  <c r="AZ45" i="59"/>
  <c r="AZ33" i="59"/>
  <c r="AZ15" i="59"/>
  <c r="AZ38" i="59"/>
  <c r="AZ30" i="59"/>
  <c r="AZ28" i="59"/>
  <c r="AZ26" i="59"/>
  <c r="AZ24" i="59"/>
  <c r="AZ22" i="59"/>
  <c r="AZ20" i="59"/>
  <c r="AZ18" i="59"/>
  <c r="AZ16" i="59"/>
  <c r="AZ14" i="59"/>
  <c r="AZ12" i="59"/>
  <c r="AZ10" i="59"/>
  <c r="K306" i="53"/>
  <c r="L314" i="52"/>
  <c r="L280" i="52"/>
  <c r="O252" i="52"/>
  <c r="O253" i="52" s="1"/>
  <c r="O256" i="52" s="1"/>
  <c r="L255" i="52"/>
  <c r="L300" i="52" s="1"/>
  <c r="L308" i="52" s="1"/>
  <c r="IE20" i="52"/>
  <c r="HR20" i="52"/>
  <c r="HR21" i="52" s="1"/>
  <c r="HS21" i="52" s="1"/>
  <c r="M280" i="52"/>
  <c r="L256" i="52"/>
  <c r="M278" i="52"/>
  <c r="L254" i="52"/>
  <c r="L312" i="52"/>
  <c r="HP20" i="52"/>
  <c r="L278" i="52"/>
  <c r="M281" i="52"/>
  <c r="HT19" i="52"/>
  <c r="N264" i="52"/>
  <c r="IF19" i="52"/>
  <c r="HS19" i="52"/>
  <c r="L281" i="52"/>
  <c r="M265" i="52"/>
  <c r="M261" i="53"/>
  <c r="HQ18" i="53"/>
  <c r="K266" i="52"/>
  <c r="K268" i="52"/>
  <c r="K313" i="52"/>
  <c r="K267" i="52"/>
  <c r="K269" i="52"/>
  <c r="J301" i="52"/>
  <c r="J309" i="52" s="1"/>
  <c r="J305" i="53"/>
  <c r="J270" i="52"/>
  <c r="L313" i="52"/>
  <c r="L268" i="52"/>
  <c r="L267" i="52"/>
  <c r="L266" i="52"/>
  <c r="L269" i="52"/>
  <c r="L303" i="52"/>
  <c r="L311" i="52" s="1"/>
  <c r="L307" i="53"/>
  <c r="N289" i="52"/>
  <c r="N285" i="53"/>
  <c r="HY19" i="53"/>
  <c r="M279" i="52"/>
  <c r="M253" i="52"/>
  <c r="M249" i="53"/>
  <c r="HM18" i="53"/>
  <c r="K300" i="52"/>
  <c r="K308" i="52" s="1"/>
  <c r="K304" i="53"/>
  <c r="L302" i="52"/>
  <c r="L310" i="52" s="1"/>
  <c r="L306" i="53"/>
  <c r="L294" i="52"/>
  <c r="M315" i="52"/>
  <c r="M291" i="52"/>
  <c r="M290" i="52"/>
  <c r="M293" i="52"/>
  <c r="M292" i="52"/>
  <c r="P253" i="52"/>
  <c r="P254" i="52" s="1"/>
  <c r="P249" i="53"/>
  <c r="HM21" i="53"/>
  <c r="N277" i="52"/>
  <c r="N280" i="52" s="1"/>
  <c r="N273" i="53"/>
  <c r="HU19" i="53"/>
  <c r="N253" i="52"/>
  <c r="N249" i="53"/>
  <c r="HM19" i="53"/>
  <c r="HW20" i="52"/>
  <c r="IG20" i="52"/>
  <c r="R262" i="52" a="1"/>
  <c r="R262" i="52" s="1"/>
  <c r="R263" i="52" s="1"/>
  <c r="O287" i="52"/>
  <c r="HZ20" i="52" s="1"/>
  <c r="IH20" i="52" s="1"/>
  <c r="R274" i="52" a="1"/>
  <c r="R274" i="52" s="1"/>
  <c r="R275" i="52" s="1"/>
  <c r="P275" i="52"/>
  <c r="HV21" i="52" s="1"/>
  <c r="HX21" i="52" s="1"/>
  <c r="O276" i="52"/>
  <c r="Q286" i="52" a="1"/>
  <c r="Q286" i="52" s="1"/>
  <c r="Q287" i="52" s="1"/>
  <c r="HO21" i="52"/>
  <c r="HP21" i="52"/>
  <c r="IE21" i="52"/>
  <c r="Q250" i="52" a="1"/>
  <c r="Q250" i="52" s="1"/>
  <c r="Q251" i="52" s="1"/>
  <c r="HN22" i="52" s="1"/>
  <c r="Q252" i="52" s="1"/>
  <c r="L258" i="52" l="1"/>
  <c r="AR99" i="59"/>
  <c r="AR105" i="59" s="1"/>
  <c r="AS106" i="59" s="1"/>
  <c r="L282" i="52"/>
  <c r="AR95" i="59"/>
  <c r="AZ428" i="59"/>
  <c r="AZ430" i="59" s="1"/>
  <c r="AZ431" i="59" s="1"/>
  <c r="AZ98" i="59" s="1"/>
  <c r="L304" i="53"/>
  <c r="AZ340" i="59"/>
  <c r="AZ92" i="59"/>
  <c r="AZ341" i="59"/>
  <c r="AZ342" i="59"/>
  <c r="AZ251" i="59"/>
  <c r="AZ254" i="59" s="1"/>
  <c r="AZ255" i="59" s="1"/>
  <c r="M256" i="52"/>
  <c r="BH1" i="59"/>
  <c r="AZ93" i="59"/>
  <c r="N257" i="52"/>
  <c r="BL1" i="59"/>
  <c r="AZ91" i="59"/>
  <c r="BD404" i="59"/>
  <c r="BD402" i="59"/>
  <c r="BD400" i="59"/>
  <c r="BD398" i="59"/>
  <c r="BD405" i="59"/>
  <c r="BD403" i="59"/>
  <c r="BD401" i="59"/>
  <c r="BD399" i="59"/>
  <c r="BD397" i="59"/>
  <c r="BD395" i="59"/>
  <c r="BD396" i="59"/>
  <c r="BD328" i="59"/>
  <c r="BD324" i="59"/>
  <c r="BD337" i="59"/>
  <c r="BD334" i="59"/>
  <c r="BD330" i="59"/>
  <c r="BD336" i="59"/>
  <c r="BD326" i="59"/>
  <c r="BD315" i="59"/>
  <c r="BD335" i="59"/>
  <c r="BD332" i="59"/>
  <c r="BD322" i="59"/>
  <c r="BD311" i="59"/>
  <c r="BD308" i="59"/>
  <c r="BD306" i="59"/>
  <c r="BD303" i="59"/>
  <c r="BD314" i="59"/>
  <c r="BD312" i="59"/>
  <c r="BD310" i="59"/>
  <c r="BD304" i="59"/>
  <c r="BD316" i="59"/>
  <c r="BD313" i="59"/>
  <c r="BD309" i="59"/>
  <c r="BD307" i="59"/>
  <c r="BD305" i="59"/>
  <c r="BD298" i="59"/>
  <c r="BD301" i="59"/>
  <c r="BD300" i="59"/>
  <c r="BD302" i="59"/>
  <c r="BD296" i="59"/>
  <c r="BD293" i="59"/>
  <c r="BD291" i="59"/>
  <c r="BD289" i="59"/>
  <c r="BD287" i="59"/>
  <c r="BD285" i="59"/>
  <c r="BD283" i="59"/>
  <c r="BD281" i="59"/>
  <c r="BD279" i="59"/>
  <c r="BD277" i="59"/>
  <c r="BD275" i="59"/>
  <c r="BD273" i="59"/>
  <c r="BD299" i="59"/>
  <c r="BD297" i="59"/>
  <c r="BD292" i="59"/>
  <c r="BD290" i="59"/>
  <c r="BD288" i="59"/>
  <c r="BD286" i="59"/>
  <c r="BD271" i="59"/>
  <c r="BD294" i="59"/>
  <c r="BD282" i="59"/>
  <c r="BD295" i="59"/>
  <c r="BD270" i="59"/>
  <c r="BD268" i="59"/>
  <c r="BD280" i="59"/>
  <c r="BD217" i="59"/>
  <c r="BD284" i="59"/>
  <c r="BD218" i="59"/>
  <c r="BD215" i="59"/>
  <c r="BD278" i="59"/>
  <c r="BD276" i="59"/>
  <c r="BD266" i="59"/>
  <c r="BD264" i="59"/>
  <c r="BD262" i="59"/>
  <c r="BD260" i="59"/>
  <c r="BD258" i="59"/>
  <c r="BD267" i="59"/>
  <c r="BD274" i="59"/>
  <c r="BD216" i="59"/>
  <c r="BD214" i="59"/>
  <c r="BD212" i="59"/>
  <c r="BD261" i="59"/>
  <c r="BD211" i="59"/>
  <c r="BD259" i="59"/>
  <c r="BD269" i="59"/>
  <c r="BD272" i="59"/>
  <c r="BD263" i="59"/>
  <c r="BD265" i="59"/>
  <c r="BD213" i="59"/>
  <c r="BD204" i="59"/>
  <c r="BD202" i="59"/>
  <c r="BD200" i="59"/>
  <c r="BD198" i="59"/>
  <c r="BD196" i="59"/>
  <c r="BD194" i="59"/>
  <c r="BD192" i="59"/>
  <c r="BD190" i="59"/>
  <c r="BD188" i="59"/>
  <c r="BD186" i="59"/>
  <c r="BD184" i="59"/>
  <c r="BD182" i="59"/>
  <c r="BD209" i="59"/>
  <c r="BD210" i="59"/>
  <c r="BD207" i="59"/>
  <c r="BD197" i="59"/>
  <c r="BD195" i="59"/>
  <c r="BD193" i="59"/>
  <c r="BD191" i="59"/>
  <c r="BD189" i="59"/>
  <c r="BD187" i="59"/>
  <c r="BD185" i="59"/>
  <c r="BD208" i="59"/>
  <c r="BD199" i="59"/>
  <c r="BD201" i="59"/>
  <c r="BD206" i="59"/>
  <c r="BD203" i="59"/>
  <c r="BD205" i="59"/>
  <c r="BD183" i="59"/>
  <c r="BD172" i="59"/>
  <c r="BD175" i="59"/>
  <c r="BD180" i="59"/>
  <c r="BD176" i="59"/>
  <c r="BD174" i="59"/>
  <c r="BD104" i="59"/>
  <c r="BD103" i="59"/>
  <c r="BD102" i="59"/>
  <c r="BD181" i="59"/>
  <c r="BD179" i="59"/>
  <c r="BD177" i="59"/>
  <c r="BD178" i="59"/>
  <c r="BD173" i="59"/>
  <c r="BD86" i="59"/>
  <c r="BD171" i="59"/>
  <c r="BD87" i="59"/>
  <c r="BD90" i="59"/>
  <c r="BD83" i="59"/>
  <c r="BD66" i="59"/>
  <c r="BD80" i="59"/>
  <c r="BD79" i="59"/>
  <c r="BD76" i="59"/>
  <c r="BD75" i="59"/>
  <c r="BD73" i="59"/>
  <c r="BD64" i="59"/>
  <c r="BD62" i="59"/>
  <c r="BD71" i="59"/>
  <c r="BD60" i="59"/>
  <c r="BD58" i="59"/>
  <c r="BD89" i="59"/>
  <c r="BD69" i="59"/>
  <c r="BD67" i="59"/>
  <c r="BD85" i="59"/>
  <c r="BD88" i="59"/>
  <c r="BD82" i="59"/>
  <c r="BD81" i="59"/>
  <c r="BD78" i="59"/>
  <c r="BD77" i="59"/>
  <c r="BD74" i="59"/>
  <c r="BD65" i="59"/>
  <c r="BD63" i="59"/>
  <c r="BD61" i="59"/>
  <c r="BD84" i="59"/>
  <c r="BD72" i="59"/>
  <c r="BD70" i="59"/>
  <c r="BD68" i="59"/>
  <c r="BD53" i="59"/>
  <c r="BD51" i="59"/>
  <c r="BD49" i="59"/>
  <c r="BD47" i="59"/>
  <c r="BD45" i="59"/>
  <c r="BD55" i="59"/>
  <c r="BD43" i="59"/>
  <c r="BD41" i="59"/>
  <c r="BD39" i="59"/>
  <c r="BD56" i="59"/>
  <c r="BD34" i="59"/>
  <c r="BD59" i="59"/>
  <c r="BD52" i="59"/>
  <c r="BD50" i="59"/>
  <c r="BD48" i="59"/>
  <c r="BD42" i="59"/>
  <c r="BD40" i="59"/>
  <c r="BD38" i="59"/>
  <c r="BD57" i="59"/>
  <c r="BD54" i="59"/>
  <c r="BD12" i="59"/>
  <c r="BD36" i="59"/>
  <c r="BD33" i="59"/>
  <c r="BD46" i="59"/>
  <c r="BD44" i="59"/>
  <c r="BD30" i="59"/>
  <c r="BD28" i="59"/>
  <c r="BD26" i="59"/>
  <c r="BD24" i="59"/>
  <c r="BD22" i="59"/>
  <c r="BD20" i="59"/>
  <c r="BD18" i="59"/>
  <c r="BD16" i="59"/>
  <c r="BD37" i="59"/>
  <c r="BD35" i="59"/>
  <c r="BD14" i="59"/>
  <c r="BD10" i="59"/>
  <c r="BD32" i="59"/>
  <c r="BD31" i="59"/>
  <c r="BD29" i="59"/>
  <c r="BD27" i="59"/>
  <c r="BD25" i="59"/>
  <c r="BD23" i="59"/>
  <c r="BD21" i="59"/>
  <c r="BD19" i="59"/>
  <c r="BD17" i="59"/>
  <c r="BD15" i="59"/>
  <c r="BD13" i="59"/>
  <c r="BD11" i="59"/>
  <c r="BD9" i="59"/>
  <c r="N312" i="52"/>
  <c r="HM20" i="53"/>
  <c r="N256" i="52"/>
  <c r="O249" i="53"/>
  <c r="N254" i="52"/>
  <c r="IF21" i="52"/>
  <c r="IF20" i="52"/>
  <c r="O254" i="52"/>
  <c r="P264" i="52"/>
  <c r="P265" i="52" s="1"/>
  <c r="O255" i="52"/>
  <c r="O300" i="52" s="1"/>
  <c r="O308" i="52" s="1"/>
  <c r="O264" i="52"/>
  <c r="O261" i="53" s="1"/>
  <c r="HT21" i="52"/>
  <c r="O257" i="52"/>
  <c r="O258" i="52" s="1"/>
  <c r="N255" i="52"/>
  <c r="N300" i="52" s="1"/>
  <c r="N308" i="52" s="1"/>
  <c r="HS20" i="52"/>
  <c r="HT20" i="52"/>
  <c r="HR22" i="52"/>
  <c r="Q264" i="52" s="1"/>
  <c r="Q261" i="53" s="1"/>
  <c r="M282" i="52"/>
  <c r="M312" i="52"/>
  <c r="P256" i="52"/>
  <c r="P255" i="52"/>
  <c r="P304" i="53" s="1"/>
  <c r="L270" i="52"/>
  <c r="P257" i="52"/>
  <c r="P312" i="52"/>
  <c r="N281" i="52"/>
  <c r="N282" i="52" s="1"/>
  <c r="K270" i="52"/>
  <c r="O312" i="52"/>
  <c r="N265" i="52"/>
  <c r="N261" i="53"/>
  <c r="HQ19" i="53"/>
  <c r="N278" i="52"/>
  <c r="M313" i="52"/>
  <c r="M269" i="52"/>
  <c r="M267" i="52"/>
  <c r="M268" i="52"/>
  <c r="M266" i="52"/>
  <c r="M254" i="52"/>
  <c r="N279" i="52"/>
  <c r="N302" i="52" s="1"/>
  <c r="N310" i="52" s="1"/>
  <c r="L301" i="52"/>
  <c r="L309" i="52" s="1"/>
  <c r="L305" i="53"/>
  <c r="M255" i="52"/>
  <c r="M300" i="52" s="1"/>
  <c r="M308" i="52" s="1"/>
  <c r="M257" i="52"/>
  <c r="N314" i="52"/>
  <c r="K301" i="52"/>
  <c r="K309" i="52" s="1"/>
  <c r="K305" i="53"/>
  <c r="P276" i="52"/>
  <c r="O277" i="52"/>
  <c r="O273" i="53"/>
  <c r="HU20" i="53"/>
  <c r="M294" i="52"/>
  <c r="N315" i="52"/>
  <c r="N293" i="52"/>
  <c r="N292" i="52"/>
  <c r="N291" i="52"/>
  <c r="N290" i="52"/>
  <c r="Q253" i="52"/>
  <c r="Q312" i="52" s="1"/>
  <c r="Q249" i="53"/>
  <c r="HM22" i="53"/>
  <c r="M302" i="52"/>
  <c r="M310" i="52" s="1"/>
  <c r="M306" i="53"/>
  <c r="M303" i="52"/>
  <c r="M311" i="52" s="1"/>
  <c r="M307" i="53"/>
  <c r="S262" i="52" a="1"/>
  <c r="S262" i="52" s="1"/>
  <c r="T262" i="52" s="1" a="1"/>
  <c r="T262" i="52" s="1"/>
  <c r="HV22" i="52"/>
  <c r="HV23" i="52" s="1"/>
  <c r="O288" i="52"/>
  <c r="IB20" i="52"/>
  <c r="IG21" i="52"/>
  <c r="IA20" i="52"/>
  <c r="HZ21" i="52"/>
  <c r="R286" i="52" a="1"/>
  <c r="R286" i="52" s="1"/>
  <c r="R287" i="52" s="1"/>
  <c r="HW21" i="52"/>
  <c r="S274" i="52" a="1"/>
  <c r="S274" i="52" s="1"/>
  <c r="T274" i="52" s="1" a="1"/>
  <c r="T274" i="52" s="1"/>
  <c r="T275" i="52" s="1"/>
  <c r="R250" i="52" a="1"/>
  <c r="R250" i="52" s="1"/>
  <c r="R251" i="52" s="1"/>
  <c r="HN23" i="52" s="1"/>
  <c r="R252" i="52" s="1"/>
  <c r="HO22" i="52"/>
  <c r="HP22" i="52"/>
  <c r="IE22" i="52"/>
  <c r="M258" i="52" l="1"/>
  <c r="AZ343" i="59"/>
  <c r="AZ344" i="59" s="1"/>
  <c r="AZ97" i="59" s="1"/>
  <c r="BD92" i="59"/>
  <c r="BD251" i="59"/>
  <c r="BD254" i="59" s="1"/>
  <c r="BD255" i="59" s="1"/>
  <c r="N258" i="52"/>
  <c r="BD93" i="59"/>
  <c r="BD340" i="59"/>
  <c r="BD428" i="59"/>
  <c r="BD430" i="59" s="1"/>
  <c r="BD431" i="59" s="1"/>
  <c r="BD98" i="59" s="1"/>
  <c r="BD341" i="59"/>
  <c r="AZ94" i="59"/>
  <c r="P300" i="52"/>
  <c r="P308" i="52" s="1"/>
  <c r="BD342" i="59"/>
  <c r="BH403" i="59"/>
  <c r="BH401" i="59"/>
  <c r="BH399" i="59"/>
  <c r="BH404" i="59"/>
  <c r="BH402" i="59"/>
  <c r="BH400" i="59"/>
  <c r="BH398" i="59"/>
  <c r="BH396" i="59"/>
  <c r="BH395" i="59"/>
  <c r="BH397" i="59"/>
  <c r="BH405" i="59"/>
  <c r="BH335" i="59"/>
  <c r="BH326" i="59"/>
  <c r="BH332" i="59"/>
  <c r="BH336" i="59"/>
  <c r="BH337" i="59"/>
  <c r="BH330" i="59"/>
  <c r="BH334" i="59"/>
  <c r="BH328" i="59"/>
  <c r="BH315" i="59"/>
  <c r="BH324" i="59"/>
  <c r="BH316" i="59"/>
  <c r="BH304" i="59"/>
  <c r="BH314" i="59"/>
  <c r="BH312" i="59"/>
  <c r="BH309" i="59"/>
  <c r="BH307" i="59"/>
  <c r="BH305" i="59"/>
  <c r="BH302" i="59"/>
  <c r="BH313" i="59"/>
  <c r="BH311" i="59"/>
  <c r="BH322" i="59"/>
  <c r="BH308" i="59"/>
  <c r="BH306" i="59"/>
  <c r="BH300" i="59"/>
  <c r="BH299" i="59"/>
  <c r="BH303" i="59"/>
  <c r="BH310" i="59"/>
  <c r="BH301" i="59"/>
  <c r="BH292" i="59"/>
  <c r="BH290" i="59"/>
  <c r="BH288" i="59"/>
  <c r="BH286" i="59"/>
  <c r="BH298" i="59"/>
  <c r="BH297" i="59"/>
  <c r="BH294" i="59"/>
  <c r="BH284" i="59"/>
  <c r="BH282" i="59"/>
  <c r="BH280" i="59"/>
  <c r="BH278" i="59"/>
  <c r="BH276" i="59"/>
  <c r="BH274" i="59"/>
  <c r="BH295" i="59"/>
  <c r="BH293" i="59"/>
  <c r="BH296" i="59"/>
  <c r="BH291" i="59"/>
  <c r="BH289" i="59"/>
  <c r="BH287" i="59"/>
  <c r="BH283" i="59"/>
  <c r="BH271" i="59"/>
  <c r="BH269" i="59"/>
  <c r="BH285" i="59"/>
  <c r="BH281" i="59"/>
  <c r="BH275" i="59"/>
  <c r="BH272" i="59"/>
  <c r="BH279" i="59"/>
  <c r="BH267" i="59"/>
  <c r="BH270" i="59"/>
  <c r="BH268" i="59"/>
  <c r="BH216" i="59"/>
  <c r="BH265" i="59"/>
  <c r="BH263" i="59"/>
  <c r="BH261" i="59"/>
  <c r="BH259" i="59"/>
  <c r="BH273" i="59"/>
  <c r="BH217" i="59"/>
  <c r="BH277" i="59"/>
  <c r="BH218" i="59"/>
  <c r="BH215" i="59"/>
  <c r="BH213" i="59"/>
  <c r="BH262" i="59"/>
  <c r="BH264" i="59"/>
  <c r="BH260" i="59"/>
  <c r="BH214" i="59"/>
  <c r="BH211" i="59"/>
  <c r="BH258" i="59"/>
  <c r="BH266" i="59"/>
  <c r="BH212" i="59"/>
  <c r="BH205" i="59"/>
  <c r="BH203" i="59"/>
  <c r="BH201" i="59"/>
  <c r="BH199" i="59"/>
  <c r="BH209" i="59"/>
  <c r="BH208" i="59"/>
  <c r="BH197" i="59"/>
  <c r="BH195" i="59"/>
  <c r="BH193" i="59"/>
  <c r="BH191" i="59"/>
  <c r="BH189" i="59"/>
  <c r="BH187" i="59"/>
  <c r="BH185" i="59"/>
  <c r="BH183" i="59"/>
  <c r="BH207" i="59"/>
  <c r="BH210" i="59"/>
  <c r="BH206" i="59"/>
  <c r="BH198" i="59"/>
  <c r="BH196" i="59"/>
  <c r="BH194" i="59"/>
  <c r="BH192" i="59"/>
  <c r="BH190" i="59"/>
  <c r="BH188" i="59"/>
  <c r="BH186" i="59"/>
  <c r="BH184" i="59"/>
  <c r="BH204" i="59"/>
  <c r="BH200" i="59"/>
  <c r="BH202" i="59"/>
  <c r="BH180" i="59"/>
  <c r="BH173" i="59"/>
  <c r="BH177" i="59"/>
  <c r="BH174" i="59"/>
  <c r="BH179" i="59"/>
  <c r="BH171" i="59"/>
  <c r="BH181" i="59"/>
  <c r="BH178" i="59"/>
  <c r="BH175" i="59"/>
  <c r="BH172" i="59"/>
  <c r="BH182" i="59"/>
  <c r="BH176" i="59"/>
  <c r="BH103" i="59"/>
  <c r="BH87" i="59"/>
  <c r="BH102" i="59"/>
  <c r="BH90" i="59"/>
  <c r="BH88" i="59"/>
  <c r="BH104" i="59"/>
  <c r="BH86" i="59"/>
  <c r="BH85" i="59"/>
  <c r="BH89" i="59"/>
  <c r="BH82" i="59"/>
  <c r="BH81" i="59"/>
  <c r="BH78" i="59"/>
  <c r="BH77" i="59"/>
  <c r="BH74" i="59"/>
  <c r="BH65" i="59"/>
  <c r="BH63" i="59"/>
  <c r="BH61" i="59"/>
  <c r="BH72" i="59"/>
  <c r="BH59" i="59"/>
  <c r="BH70" i="59"/>
  <c r="BH68" i="59"/>
  <c r="BH84" i="59"/>
  <c r="BH83" i="59"/>
  <c r="BH66" i="59"/>
  <c r="BH55" i="59"/>
  <c r="BH80" i="59"/>
  <c r="BH79" i="59"/>
  <c r="BH76" i="59"/>
  <c r="BH75" i="59"/>
  <c r="BH73" i="59"/>
  <c r="BH64" i="59"/>
  <c r="BH62" i="59"/>
  <c r="BH71" i="59"/>
  <c r="BH69" i="59"/>
  <c r="BH52" i="59"/>
  <c r="BH50" i="59"/>
  <c r="BH48" i="59"/>
  <c r="BH46" i="59"/>
  <c r="BH44" i="59"/>
  <c r="BH42" i="59"/>
  <c r="BH40" i="59"/>
  <c r="BH67" i="59"/>
  <c r="BH58" i="59"/>
  <c r="BH36" i="59"/>
  <c r="BH35" i="59"/>
  <c r="BH57" i="59"/>
  <c r="BH54" i="59"/>
  <c r="BH53" i="59"/>
  <c r="BH51" i="59"/>
  <c r="BH49" i="59"/>
  <c r="BH43" i="59"/>
  <c r="BH41" i="59"/>
  <c r="BH39" i="59"/>
  <c r="BH37" i="59"/>
  <c r="BH60" i="59"/>
  <c r="BH56" i="59"/>
  <c r="BH47" i="59"/>
  <c r="BH45" i="59"/>
  <c r="BH15" i="59"/>
  <c r="BH9" i="59"/>
  <c r="BH38" i="59"/>
  <c r="BH34" i="59"/>
  <c r="BH32" i="59"/>
  <c r="BH31" i="59"/>
  <c r="BH29" i="59"/>
  <c r="BH27" i="59"/>
  <c r="BH25" i="59"/>
  <c r="BH23" i="59"/>
  <c r="BH21" i="59"/>
  <c r="BH19" i="59"/>
  <c r="BH17" i="59"/>
  <c r="BH11" i="59"/>
  <c r="BH33" i="59"/>
  <c r="BH13" i="59"/>
  <c r="BH30" i="59"/>
  <c r="BH28" i="59"/>
  <c r="BH26" i="59"/>
  <c r="BH24" i="59"/>
  <c r="BH22" i="59"/>
  <c r="BH20" i="59"/>
  <c r="BH18" i="59"/>
  <c r="BH16" i="59"/>
  <c r="BH14" i="59"/>
  <c r="BH12" i="59"/>
  <c r="BH10" i="59"/>
  <c r="BD91" i="59"/>
  <c r="BL404" i="59"/>
  <c r="BL402" i="59"/>
  <c r="BL400" i="59"/>
  <c r="BL398" i="59"/>
  <c r="BL405" i="59"/>
  <c r="BL403" i="59"/>
  <c r="BL401" i="59"/>
  <c r="BL399" i="59"/>
  <c r="BL397" i="59"/>
  <c r="BL395" i="59"/>
  <c r="BL396" i="59"/>
  <c r="BL328" i="59"/>
  <c r="BL324" i="59"/>
  <c r="BL334" i="59"/>
  <c r="BL337" i="59"/>
  <c r="BL330" i="59"/>
  <c r="BL336" i="59"/>
  <c r="BL315" i="59"/>
  <c r="BL332" i="59"/>
  <c r="BL335" i="59"/>
  <c r="BL326" i="59"/>
  <c r="BL322" i="59"/>
  <c r="BL314" i="59"/>
  <c r="BL313" i="59"/>
  <c r="BL308" i="59"/>
  <c r="BL306" i="59"/>
  <c r="BL303" i="59"/>
  <c r="BL316" i="59"/>
  <c r="BL304" i="59"/>
  <c r="BL310" i="59"/>
  <c r="BL312" i="59"/>
  <c r="BL309" i="59"/>
  <c r="BL307" i="59"/>
  <c r="BL305" i="59"/>
  <c r="BL298" i="59"/>
  <c r="BL311" i="59"/>
  <c r="BL302" i="59"/>
  <c r="BL294" i="59"/>
  <c r="BL293" i="59"/>
  <c r="BL295" i="59"/>
  <c r="BL291" i="59"/>
  <c r="BL289" i="59"/>
  <c r="BL287" i="59"/>
  <c r="BL300" i="59"/>
  <c r="BL299" i="59"/>
  <c r="BL296" i="59"/>
  <c r="BL285" i="59"/>
  <c r="BL283" i="59"/>
  <c r="BL281" i="59"/>
  <c r="BL279" i="59"/>
  <c r="BL277" i="59"/>
  <c r="BL275" i="59"/>
  <c r="BL273" i="59"/>
  <c r="BL301" i="59"/>
  <c r="BL292" i="59"/>
  <c r="BL290" i="59"/>
  <c r="BL288" i="59"/>
  <c r="BL286" i="59"/>
  <c r="BL271" i="59"/>
  <c r="BL272" i="59"/>
  <c r="BL297" i="59"/>
  <c r="BL280" i="59"/>
  <c r="BL274" i="59"/>
  <c r="BL270" i="59"/>
  <c r="BL268" i="59"/>
  <c r="BL278" i="59"/>
  <c r="BL284" i="59"/>
  <c r="BL282" i="59"/>
  <c r="BL217" i="59"/>
  <c r="BL276" i="59"/>
  <c r="BL218" i="59"/>
  <c r="BL215" i="59"/>
  <c r="BL266" i="59"/>
  <c r="BL264" i="59"/>
  <c r="BL262" i="59"/>
  <c r="BL260" i="59"/>
  <c r="BL258" i="59"/>
  <c r="BL269" i="59"/>
  <c r="BL267" i="59"/>
  <c r="BL216" i="59"/>
  <c r="BL214" i="59"/>
  <c r="BL212" i="59"/>
  <c r="BL259" i="59"/>
  <c r="BL213" i="59"/>
  <c r="BL263" i="59"/>
  <c r="BL265" i="59"/>
  <c r="BL261" i="59"/>
  <c r="BL205" i="59"/>
  <c r="BL209" i="59"/>
  <c r="BL204" i="59"/>
  <c r="BL202" i="59"/>
  <c r="BL200" i="59"/>
  <c r="BL207" i="59"/>
  <c r="BL206" i="59"/>
  <c r="BL210" i="59"/>
  <c r="BL198" i="59"/>
  <c r="BL196" i="59"/>
  <c r="BL194" i="59"/>
  <c r="BL192" i="59"/>
  <c r="BL190" i="59"/>
  <c r="BL188" i="59"/>
  <c r="BL186" i="59"/>
  <c r="BL184" i="59"/>
  <c r="BL182" i="59"/>
  <c r="BL197" i="59"/>
  <c r="BL195" i="59"/>
  <c r="BL193" i="59"/>
  <c r="BL191" i="59"/>
  <c r="BL189" i="59"/>
  <c r="BL187" i="59"/>
  <c r="BL185" i="59"/>
  <c r="BL211" i="59"/>
  <c r="BL199" i="59"/>
  <c r="BL201" i="59"/>
  <c r="BL208" i="59"/>
  <c r="BL203" i="59"/>
  <c r="BL179" i="59"/>
  <c r="BL178" i="59"/>
  <c r="BL171" i="59"/>
  <c r="BL172" i="59"/>
  <c r="BL183" i="59"/>
  <c r="BL181" i="59"/>
  <c r="BL175" i="59"/>
  <c r="BL176" i="59"/>
  <c r="BL180" i="59"/>
  <c r="BL173" i="59"/>
  <c r="BL104" i="59"/>
  <c r="BL103" i="59"/>
  <c r="BL102" i="59"/>
  <c r="BL174" i="59"/>
  <c r="BL177" i="59"/>
  <c r="BL86" i="59"/>
  <c r="BL87" i="59"/>
  <c r="BL90" i="59"/>
  <c r="BL84" i="59"/>
  <c r="BL83" i="59"/>
  <c r="BL66" i="59"/>
  <c r="BL80" i="59"/>
  <c r="BL79" i="59"/>
  <c r="BL76" i="59"/>
  <c r="BL75" i="59"/>
  <c r="BL73" i="59"/>
  <c r="BL64" i="59"/>
  <c r="BL62" i="59"/>
  <c r="BL89" i="59"/>
  <c r="BL71" i="59"/>
  <c r="BL60" i="59"/>
  <c r="BL58" i="59"/>
  <c r="BL88" i="59"/>
  <c r="BL69" i="59"/>
  <c r="BL67" i="59"/>
  <c r="BL82" i="59"/>
  <c r="BL81" i="59"/>
  <c r="BL78" i="59"/>
  <c r="BL77" i="59"/>
  <c r="BL74" i="59"/>
  <c r="BL65" i="59"/>
  <c r="BL63" i="59"/>
  <c r="BL61" i="59"/>
  <c r="BL72" i="59"/>
  <c r="BL85" i="59"/>
  <c r="BL70" i="59"/>
  <c r="BL68" i="59"/>
  <c r="BL57" i="59"/>
  <c r="BL54" i="59"/>
  <c r="BL53" i="59"/>
  <c r="BL51" i="59"/>
  <c r="BL49" i="59"/>
  <c r="BL47" i="59"/>
  <c r="BL45" i="59"/>
  <c r="BL59" i="59"/>
  <c r="BL43" i="59"/>
  <c r="BL41" i="59"/>
  <c r="BL39" i="59"/>
  <c r="BL55" i="59"/>
  <c r="BL34" i="59"/>
  <c r="BL56" i="59"/>
  <c r="BL52" i="59"/>
  <c r="BL50" i="59"/>
  <c r="BL48" i="59"/>
  <c r="BL42" i="59"/>
  <c r="BL40" i="59"/>
  <c r="BL38" i="59"/>
  <c r="BL35" i="59"/>
  <c r="BL46" i="59"/>
  <c r="BL44" i="59"/>
  <c r="BL37" i="59"/>
  <c r="BL33" i="59"/>
  <c r="BL30" i="59"/>
  <c r="BL28" i="59"/>
  <c r="BL26" i="59"/>
  <c r="BL24" i="59"/>
  <c r="BL22" i="59"/>
  <c r="BL20" i="59"/>
  <c r="BL18" i="59"/>
  <c r="BL16" i="59"/>
  <c r="BL14" i="59"/>
  <c r="BL36" i="59"/>
  <c r="BL12" i="59"/>
  <c r="BL10" i="59"/>
  <c r="BL32" i="59"/>
  <c r="BL31" i="59"/>
  <c r="BL29" i="59"/>
  <c r="BL27" i="59"/>
  <c r="BL25" i="59"/>
  <c r="BL23" i="59"/>
  <c r="BL21" i="59"/>
  <c r="BL19" i="59"/>
  <c r="BL17" i="59"/>
  <c r="BL15" i="59"/>
  <c r="BL13" i="59"/>
  <c r="BL11" i="59"/>
  <c r="BL9" i="59"/>
  <c r="HQ21" i="53"/>
  <c r="O304" i="53"/>
  <c r="P261" i="53"/>
  <c r="HQ22" i="53"/>
  <c r="Q265" i="52"/>
  <c r="Q267" i="52" s="1"/>
  <c r="Q305" i="53" s="1"/>
  <c r="N304" i="53"/>
  <c r="Q254" i="52"/>
  <c r="Q257" i="52"/>
  <c r="HT22" i="52"/>
  <c r="HQ20" i="53"/>
  <c r="O265" i="52"/>
  <c r="IF22" i="52"/>
  <c r="HR23" i="52"/>
  <c r="HS22" i="52"/>
  <c r="HX22" i="52"/>
  <c r="P258" i="52"/>
  <c r="HW22" i="52"/>
  <c r="Q255" i="52"/>
  <c r="Q300" i="52" s="1"/>
  <c r="Q308" i="52" s="1"/>
  <c r="Q256" i="52"/>
  <c r="M304" i="53"/>
  <c r="M305" i="53"/>
  <c r="M301" i="52"/>
  <c r="M309" i="52" s="1"/>
  <c r="N294" i="52"/>
  <c r="N267" i="52"/>
  <c r="N313" i="52"/>
  <c r="N269" i="52"/>
  <c r="N266" i="52"/>
  <c r="N268" i="52"/>
  <c r="Q276" i="52"/>
  <c r="Q277" i="52" s="1"/>
  <c r="M270" i="52"/>
  <c r="N306" i="53"/>
  <c r="IG22" i="52"/>
  <c r="R253" i="52"/>
  <c r="R256" i="52" s="1"/>
  <c r="R249" i="53"/>
  <c r="HM23" i="53"/>
  <c r="O289" i="52"/>
  <c r="O293" i="52" s="1"/>
  <c r="O285" i="53"/>
  <c r="HY20" i="53"/>
  <c r="O279" i="52"/>
  <c r="O281" i="52"/>
  <c r="O314" i="52"/>
  <c r="O280" i="52"/>
  <c r="O278" i="52"/>
  <c r="P268" i="52"/>
  <c r="P313" i="52"/>
  <c r="P269" i="52"/>
  <c r="P267" i="52"/>
  <c r="P266" i="52"/>
  <c r="N303" i="52"/>
  <c r="N311" i="52" s="1"/>
  <c r="N307" i="53"/>
  <c r="P277" i="52"/>
  <c r="P273" i="53"/>
  <c r="HU21" i="53"/>
  <c r="IG23" i="52"/>
  <c r="HW23" i="52"/>
  <c r="R276" i="52"/>
  <c r="HX23" i="52"/>
  <c r="S263" i="52"/>
  <c r="P288" i="52"/>
  <c r="IA21" i="52"/>
  <c r="IB21" i="52"/>
  <c r="IH21" i="52"/>
  <c r="HZ22" i="52"/>
  <c r="HZ23" i="52" s="1"/>
  <c r="S286" i="52" a="1"/>
  <c r="S286" i="52" s="1"/>
  <c r="S287" i="52" s="1"/>
  <c r="S275" i="52"/>
  <c r="HV24" i="52" s="1"/>
  <c r="HV25" i="52" s="1"/>
  <c r="HO23" i="52"/>
  <c r="S250" i="52" a="1"/>
  <c r="S250" i="52" s="1"/>
  <c r="S251" i="52" s="1"/>
  <c r="HN24" i="52" s="1"/>
  <c r="HO24" i="52" s="1"/>
  <c r="HP23" i="52"/>
  <c r="IE23" i="52"/>
  <c r="U274" i="52" a="1"/>
  <c r="U274" i="52" s="1"/>
  <c r="U275" i="52" s="1"/>
  <c r="T263" i="52"/>
  <c r="U262" i="52" a="1"/>
  <c r="U262" i="52" s="1"/>
  <c r="T294" i="59" l="1"/>
  <c r="L294" i="59" s="1"/>
  <c r="T296" i="59"/>
  <c r="L296" i="59" s="1"/>
  <c r="T177" i="59"/>
  <c r="L177" i="59" s="1"/>
  <c r="T86" i="59"/>
  <c r="L86" i="59" s="1"/>
  <c r="T285" i="59"/>
  <c r="L285" i="59" s="1"/>
  <c r="BD94" i="59"/>
  <c r="BD96" i="59" s="1"/>
  <c r="T39" i="59"/>
  <c r="L39" i="59" s="1"/>
  <c r="T268" i="59"/>
  <c r="L268" i="59" s="1"/>
  <c r="T295" i="59"/>
  <c r="L295" i="59" s="1"/>
  <c r="T275" i="59"/>
  <c r="L275" i="59" s="1"/>
  <c r="T202" i="59"/>
  <c r="L202" i="59" s="1"/>
  <c r="T199" i="59"/>
  <c r="L199" i="59" s="1"/>
  <c r="T64" i="59"/>
  <c r="L64" i="59" s="1"/>
  <c r="T21" i="59"/>
  <c r="L21" i="59" s="1"/>
  <c r="T35" i="59"/>
  <c r="L35" i="59" s="1"/>
  <c r="T175" i="59"/>
  <c r="L175" i="59" s="1"/>
  <c r="T303" i="59"/>
  <c r="L303" i="59" s="1"/>
  <c r="T302" i="59"/>
  <c r="L302" i="59" s="1"/>
  <c r="T326" i="59"/>
  <c r="L326" i="59" s="1"/>
  <c r="T15" i="59"/>
  <c r="L15" i="59" s="1"/>
  <c r="T43" i="59"/>
  <c r="L43" i="59" s="1"/>
  <c r="T58" i="59"/>
  <c r="L58" i="59" s="1"/>
  <c r="T52" i="59"/>
  <c r="L52" i="59" s="1"/>
  <c r="T79" i="59"/>
  <c r="L79" i="59" s="1"/>
  <c r="T81" i="59"/>
  <c r="L81" i="59" s="1"/>
  <c r="T260" i="59"/>
  <c r="L260" i="59" s="1"/>
  <c r="T283" i="59"/>
  <c r="L283" i="59" s="1"/>
  <c r="T276" i="59"/>
  <c r="L276" i="59" s="1"/>
  <c r="T300" i="59"/>
  <c r="L300" i="59" s="1"/>
  <c r="T328" i="59"/>
  <c r="L328" i="59" s="1"/>
  <c r="T335" i="59"/>
  <c r="L335" i="59" s="1"/>
  <c r="T261" i="59"/>
  <c r="L261" i="59" s="1"/>
  <c r="T20" i="59"/>
  <c r="L20" i="59" s="1"/>
  <c r="T42" i="59"/>
  <c r="L42" i="59" s="1"/>
  <c r="T210" i="59"/>
  <c r="L210" i="59" s="1"/>
  <c r="T65" i="59"/>
  <c r="L65" i="59" s="1"/>
  <c r="T182" i="59"/>
  <c r="L182" i="59" s="1"/>
  <c r="T281" i="59"/>
  <c r="L281" i="59" s="1"/>
  <c r="T46" i="59"/>
  <c r="L46" i="59" s="1"/>
  <c r="T313" i="59"/>
  <c r="L313" i="59" s="1"/>
  <c r="T25" i="59"/>
  <c r="L25" i="59" s="1"/>
  <c r="BL92" i="59"/>
  <c r="T200" i="59"/>
  <c r="L200" i="59" s="1"/>
  <c r="T16" i="59"/>
  <c r="L16" i="59" s="1"/>
  <c r="T13" i="59"/>
  <c r="L13" i="59" s="1"/>
  <c r="T27" i="59"/>
  <c r="L27" i="59" s="1"/>
  <c r="T45" i="59"/>
  <c r="L45" i="59" s="1"/>
  <c r="T49" i="59"/>
  <c r="L49" i="59" s="1"/>
  <c r="T67" i="59"/>
  <c r="L67" i="59" s="1"/>
  <c r="T69" i="59"/>
  <c r="L69" i="59" s="1"/>
  <c r="T80" i="59"/>
  <c r="L80" i="59" s="1"/>
  <c r="T72" i="59"/>
  <c r="L72" i="59" s="1"/>
  <c r="T82" i="59"/>
  <c r="L82" i="59" s="1"/>
  <c r="T87" i="59"/>
  <c r="L87" i="59" s="1"/>
  <c r="T204" i="59"/>
  <c r="L204" i="59" s="1"/>
  <c r="T198" i="59"/>
  <c r="L198" i="59" s="1"/>
  <c r="T191" i="59"/>
  <c r="L191" i="59" s="1"/>
  <c r="T203" i="59"/>
  <c r="L203" i="59" s="1"/>
  <c r="T264" i="59"/>
  <c r="L264" i="59" s="1"/>
  <c r="T259" i="59"/>
  <c r="L259" i="59" s="1"/>
  <c r="T279" i="59"/>
  <c r="L279" i="59" s="1"/>
  <c r="T287" i="59"/>
  <c r="L287" i="59" s="1"/>
  <c r="T278" i="59"/>
  <c r="L278" i="59" s="1"/>
  <c r="T288" i="59"/>
  <c r="L288" i="59" s="1"/>
  <c r="BH341" i="59"/>
  <c r="T309" i="59"/>
  <c r="L309" i="59" s="1"/>
  <c r="T334" i="59"/>
  <c r="L334" i="59" s="1"/>
  <c r="T397" i="59"/>
  <c r="L397" i="59" s="1"/>
  <c r="T401" i="59"/>
  <c r="L401" i="59" s="1"/>
  <c r="T33" i="59"/>
  <c r="L33" i="59" s="1"/>
  <c r="T29" i="59"/>
  <c r="L29" i="59" s="1"/>
  <c r="T47" i="59"/>
  <c r="L47" i="59" s="1"/>
  <c r="T51" i="59"/>
  <c r="L51" i="59" s="1"/>
  <c r="T40" i="59"/>
  <c r="L40" i="59" s="1"/>
  <c r="T71" i="59"/>
  <c r="L71" i="59" s="1"/>
  <c r="T55" i="59"/>
  <c r="L55" i="59" s="1"/>
  <c r="T61" i="59"/>
  <c r="L61" i="59" s="1"/>
  <c r="T89" i="59"/>
  <c r="L89" i="59" s="1"/>
  <c r="T179" i="59"/>
  <c r="L179" i="59" s="1"/>
  <c r="T184" i="59"/>
  <c r="L184" i="59" s="1"/>
  <c r="T206" i="59"/>
  <c r="L206" i="59" s="1"/>
  <c r="T193" i="59"/>
  <c r="L193" i="59" s="1"/>
  <c r="T205" i="59"/>
  <c r="L205" i="59" s="1"/>
  <c r="T272" i="59"/>
  <c r="L272" i="59" s="1"/>
  <c r="T289" i="59"/>
  <c r="L289" i="59" s="1"/>
  <c r="T280" i="59"/>
  <c r="L280" i="59" s="1"/>
  <c r="T290" i="59"/>
  <c r="L290" i="59" s="1"/>
  <c r="T308" i="59"/>
  <c r="L308" i="59" s="1"/>
  <c r="T312" i="59"/>
  <c r="L312" i="59" s="1"/>
  <c r="T330" i="59"/>
  <c r="L330" i="59" s="1"/>
  <c r="T395" i="59"/>
  <c r="L395" i="59" s="1"/>
  <c r="T403" i="59"/>
  <c r="L403" i="59" s="1"/>
  <c r="T11" i="59"/>
  <c r="L11" i="59" s="1"/>
  <c r="T31" i="59"/>
  <c r="L31" i="59" s="1"/>
  <c r="T56" i="59"/>
  <c r="L56" i="59" s="1"/>
  <c r="T53" i="59"/>
  <c r="L53" i="59" s="1"/>
  <c r="T62" i="59"/>
  <c r="L62" i="59" s="1"/>
  <c r="T66" i="59"/>
  <c r="L66" i="59" s="1"/>
  <c r="T63" i="59"/>
  <c r="L63" i="59" s="1"/>
  <c r="T176" i="59"/>
  <c r="L176" i="59" s="1"/>
  <c r="T174" i="59"/>
  <c r="L174" i="59" s="1"/>
  <c r="T186" i="59"/>
  <c r="L186" i="59" s="1"/>
  <c r="T195" i="59"/>
  <c r="L195" i="59" s="1"/>
  <c r="T213" i="59"/>
  <c r="L213" i="59" s="1"/>
  <c r="T291" i="59"/>
  <c r="L291" i="59" s="1"/>
  <c r="T282" i="59"/>
  <c r="L282" i="59" s="1"/>
  <c r="T292" i="59"/>
  <c r="L292" i="59" s="1"/>
  <c r="T314" i="59"/>
  <c r="L314" i="59" s="1"/>
  <c r="T337" i="59"/>
  <c r="L337" i="59" s="1"/>
  <c r="T14" i="59"/>
  <c r="L14" i="59" s="1"/>
  <c r="T196" i="59"/>
  <c r="L196" i="59" s="1"/>
  <c r="T307" i="59"/>
  <c r="L307" i="59" s="1"/>
  <c r="T22" i="59"/>
  <c r="L22" i="59" s="1"/>
  <c r="T17" i="59"/>
  <c r="L17" i="59" s="1"/>
  <c r="T32" i="59"/>
  <c r="L32" i="59" s="1"/>
  <c r="T54" i="59"/>
  <c r="L54" i="59" s="1"/>
  <c r="T44" i="59"/>
  <c r="L44" i="59" s="1"/>
  <c r="T83" i="59"/>
  <c r="L83" i="59" s="1"/>
  <c r="T188" i="59"/>
  <c r="L188" i="59" s="1"/>
  <c r="T207" i="59"/>
  <c r="L207" i="59" s="1"/>
  <c r="T197" i="59"/>
  <c r="L197" i="59" s="1"/>
  <c r="T266" i="59"/>
  <c r="L266" i="59" s="1"/>
  <c r="T215" i="59"/>
  <c r="L215" i="59" s="1"/>
  <c r="T265" i="59"/>
  <c r="L265" i="59" s="1"/>
  <c r="T284" i="59"/>
  <c r="L284" i="59" s="1"/>
  <c r="T311" i="59"/>
  <c r="L311" i="59" s="1"/>
  <c r="T304" i="59"/>
  <c r="L304" i="59" s="1"/>
  <c r="T336" i="59"/>
  <c r="L336" i="59" s="1"/>
  <c r="T398" i="59"/>
  <c r="L398" i="59" s="1"/>
  <c r="T30" i="59"/>
  <c r="L30" i="59" s="1"/>
  <c r="T34" i="59"/>
  <c r="L34" i="59" s="1"/>
  <c r="T37" i="59"/>
  <c r="L37" i="59" s="1"/>
  <c r="T73" i="59"/>
  <c r="L73" i="59" s="1"/>
  <c r="T84" i="59"/>
  <c r="L84" i="59" s="1"/>
  <c r="T74" i="59"/>
  <c r="L74" i="59" s="1"/>
  <c r="T172" i="59"/>
  <c r="L172" i="59" s="1"/>
  <c r="T173" i="59"/>
  <c r="L173" i="59" s="1"/>
  <c r="T183" i="59"/>
  <c r="L183" i="59" s="1"/>
  <c r="T293" i="59"/>
  <c r="L293" i="59" s="1"/>
  <c r="T310" i="59"/>
  <c r="L310" i="59" s="1"/>
  <c r="T316" i="59"/>
  <c r="L316" i="59" s="1"/>
  <c r="T400" i="59"/>
  <c r="L400" i="59" s="1"/>
  <c r="T267" i="59"/>
  <c r="L267" i="59" s="1"/>
  <c r="T10" i="59"/>
  <c r="L10" i="59" s="1"/>
  <c r="T26" i="59"/>
  <c r="L26" i="59" s="1"/>
  <c r="T38" i="59"/>
  <c r="L38" i="59" s="1"/>
  <c r="T48" i="59"/>
  <c r="L48" i="59" s="1"/>
  <c r="T75" i="59"/>
  <c r="L75" i="59" s="1"/>
  <c r="T68" i="59"/>
  <c r="L68" i="59" s="1"/>
  <c r="T77" i="59"/>
  <c r="L77" i="59" s="1"/>
  <c r="T192" i="59"/>
  <c r="L192" i="59" s="1"/>
  <c r="T209" i="59"/>
  <c r="L209" i="59" s="1"/>
  <c r="T211" i="59"/>
  <c r="L211" i="59" s="1"/>
  <c r="T277" i="59"/>
  <c r="L277" i="59" s="1"/>
  <c r="T269" i="59"/>
  <c r="L269" i="59" s="1"/>
  <c r="T297" i="59"/>
  <c r="L297" i="59" s="1"/>
  <c r="T324" i="59"/>
  <c r="L324" i="59" s="1"/>
  <c r="T189" i="59"/>
  <c r="L189" i="59" s="1"/>
  <c r="T12" i="59"/>
  <c r="L12" i="59" s="1"/>
  <c r="T28" i="59"/>
  <c r="L28" i="59" s="1"/>
  <c r="T23" i="59"/>
  <c r="L23" i="59" s="1"/>
  <c r="T41" i="59"/>
  <c r="L41" i="59" s="1"/>
  <c r="T36" i="59"/>
  <c r="L36" i="59" s="1"/>
  <c r="T70" i="59"/>
  <c r="L70" i="59" s="1"/>
  <c r="T78" i="59"/>
  <c r="L78" i="59" s="1"/>
  <c r="T90" i="59"/>
  <c r="L90" i="59" s="1"/>
  <c r="T178" i="59"/>
  <c r="L178" i="59" s="1"/>
  <c r="T194" i="59"/>
  <c r="L194" i="59" s="1"/>
  <c r="T214" i="59"/>
  <c r="L214" i="59" s="1"/>
  <c r="T217" i="59"/>
  <c r="L217" i="59" s="1"/>
  <c r="T270" i="59"/>
  <c r="L270" i="59" s="1"/>
  <c r="T271" i="59"/>
  <c r="L271" i="59" s="1"/>
  <c r="T298" i="59"/>
  <c r="L298" i="59" s="1"/>
  <c r="T299" i="59"/>
  <c r="L299" i="59" s="1"/>
  <c r="T57" i="59"/>
  <c r="BL342" i="59"/>
  <c r="BH91" i="59"/>
  <c r="T50" i="59"/>
  <c r="L50" i="59" s="1"/>
  <c r="T76" i="59"/>
  <c r="L76" i="59" s="1"/>
  <c r="T187" i="59"/>
  <c r="L187" i="59" s="1"/>
  <c r="BL91" i="59"/>
  <c r="BL340" i="59"/>
  <c r="T59" i="59"/>
  <c r="L59" i="59" s="1"/>
  <c r="T181" i="59"/>
  <c r="L181" i="59" s="1"/>
  <c r="T201" i="59"/>
  <c r="L201" i="59" s="1"/>
  <c r="T273" i="59"/>
  <c r="L273" i="59" s="1"/>
  <c r="T286" i="59"/>
  <c r="L286" i="59" s="1"/>
  <c r="T405" i="59"/>
  <c r="L405" i="59" s="1"/>
  <c r="T399" i="59"/>
  <c r="L399" i="59" s="1"/>
  <c r="T9" i="59"/>
  <c r="BH251" i="59"/>
  <c r="BH254" i="59" s="1"/>
  <c r="BH255" i="59" s="1"/>
  <c r="AZ95" i="59"/>
  <c r="AZ96" i="59"/>
  <c r="AZ99" i="59" s="1"/>
  <c r="AZ105" i="59" s="1"/>
  <c r="BA106" i="59" s="1"/>
  <c r="BL341" i="59"/>
  <c r="BL428" i="59"/>
  <c r="BL430" i="59" s="1"/>
  <c r="BL431" i="59" s="1"/>
  <c r="BL98" i="59" s="1"/>
  <c r="T85" i="59"/>
  <c r="L85" i="59" s="1"/>
  <c r="T212" i="59"/>
  <c r="L212" i="59" s="1"/>
  <c r="T263" i="59"/>
  <c r="L263" i="59" s="1"/>
  <c r="BH342" i="59"/>
  <c r="T396" i="59"/>
  <c r="L396" i="59" s="1"/>
  <c r="T60" i="59"/>
  <c r="L60" i="59" s="1"/>
  <c r="T301" i="59"/>
  <c r="L301" i="59" s="1"/>
  <c r="BD343" i="59"/>
  <c r="BD344" i="59" s="1"/>
  <c r="BD97" i="59" s="1"/>
  <c r="T322" i="59"/>
  <c r="BL93" i="59"/>
  <c r="T18" i="59"/>
  <c r="L18" i="59" s="1"/>
  <c r="T262" i="59"/>
  <c r="L262" i="59" s="1"/>
  <c r="BH428" i="59"/>
  <c r="BH430" i="59" s="1"/>
  <c r="BH431" i="59" s="1"/>
  <c r="BH98" i="59" s="1"/>
  <c r="Q268" i="52"/>
  <c r="T24" i="59"/>
  <c r="L24" i="59" s="1"/>
  <c r="T19" i="59"/>
  <c r="L19" i="59" s="1"/>
  <c r="BH92" i="59"/>
  <c r="T190" i="59"/>
  <c r="L190" i="59" s="1"/>
  <c r="T208" i="59"/>
  <c r="L208" i="59" s="1"/>
  <c r="BH340" i="59"/>
  <c r="T218" i="59"/>
  <c r="L218" i="59" s="1"/>
  <c r="T216" i="59"/>
  <c r="L216" i="59" s="1"/>
  <c r="T332" i="59"/>
  <c r="L332" i="59" s="1"/>
  <c r="T306" i="59"/>
  <c r="BL251" i="59"/>
  <c r="BL254" i="59" s="1"/>
  <c r="BL255" i="59" s="1"/>
  <c r="BH93" i="59"/>
  <c r="T88" i="59"/>
  <c r="L88" i="59" s="1"/>
  <c r="T180" i="59"/>
  <c r="L180" i="59" s="1"/>
  <c r="T185" i="59"/>
  <c r="L185" i="59" s="1"/>
  <c r="T402" i="59"/>
  <c r="L402" i="59" s="1"/>
  <c r="T258" i="59"/>
  <c r="T274" i="59"/>
  <c r="L274" i="59" s="1"/>
  <c r="T305" i="59"/>
  <c r="L305" i="59" s="1"/>
  <c r="T315" i="59"/>
  <c r="L315" i="59" s="1"/>
  <c r="T404" i="59"/>
  <c r="L404" i="59" s="1"/>
  <c r="T171" i="59"/>
  <c r="Q258" i="52"/>
  <c r="Q269" i="52"/>
  <c r="Q313" i="52"/>
  <c r="Q266" i="52"/>
  <c r="HU22" i="53"/>
  <c r="HR24" i="52"/>
  <c r="S264" i="52" s="1"/>
  <c r="S261" i="53" s="1"/>
  <c r="R312" i="52"/>
  <c r="Q273" i="53"/>
  <c r="HT23" i="52"/>
  <c r="HS23" i="52"/>
  <c r="R264" i="52"/>
  <c r="IF23" i="52"/>
  <c r="O268" i="52"/>
  <c r="O313" i="52"/>
  <c r="O266" i="52"/>
  <c r="O269" i="52"/>
  <c r="O267" i="52"/>
  <c r="Q278" i="52"/>
  <c r="Q281" i="52"/>
  <c r="Q304" i="53"/>
  <c r="Q301" i="52"/>
  <c r="Q309" i="52" s="1"/>
  <c r="Q280" i="52"/>
  <c r="Q279" i="52"/>
  <c r="Q302" i="52" s="1"/>
  <c r="Q310" i="52" s="1"/>
  <c r="R257" i="52"/>
  <c r="R258" i="52" s="1"/>
  <c r="R254" i="52"/>
  <c r="R255" i="52"/>
  <c r="R300" i="52" s="1"/>
  <c r="R308" i="52" s="1"/>
  <c r="Q314" i="52"/>
  <c r="O292" i="52"/>
  <c r="O294" i="52" s="1"/>
  <c r="O315" i="52"/>
  <c r="O291" i="52"/>
  <c r="O303" i="52" s="1"/>
  <c r="O311" i="52" s="1"/>
  <c r="O290" i="52"/>
  <c r="N270" i="52"/>
  <c r="N301" i="52"/>
  <c r="N309" i="52" s="1"/>
  <c r="N305" i="53"/>
  <c r="P270" i="52"/>
  <c r="O282" i="52"/>
  <c r="P289" i="52"/>
  <c r="P290" i="52" s="1"/>
  <c r="P285" i="53"/>
  <c r="HY21" i="53"/>
  <c r="P278" i="52"/>
  <c r="P281" i="52"/>
  <c r="P279" i="52"/>
  <c r="P280" i="52"/>
  <c r="P314" i="52"/>
  <c r="R277" i="52"/>
  <c r="R314" i="52" s="1"/>
  <c r="R273" i="53"/>
  <c r="HU23" i="53"/>
  <c r="P301" i="52"/>
  <c r="P309" i="52" s="1"/>
  <c r="P305" i="53"/>
  <c r="O302" i="52"/>
  <c r="O310" i="52" s="1"/>
  <c r="O306" i="53"/>
  <c r="IA23" i="52"/>
  <c r="IH23" i="52"/>
  <c r="R288" i="52"/>
  <c r="IB23" i="52"/>
  <c r="S276" i="52"/>
  <c r="HZ24" i="52"/>
  <c r="IB24" i="52" s="1"/>
  <c r="HW24" i="52"/>
  <c r="HX24" i="52"/>
  <c r="Q288" i="52"/>
  <c r="IH22" i="52"/>
  <c r="IA22" i="52"/>
  <c r="IB22" i="52"/>
  <c r="IG25" i="52"/>
  <c r="HW25" i="52"/>
  <c r="HX25" i="52"/>
  <c r="T276" i="52"/>
  <c r="IG24" i="52"/>
  <c r="HV26" i="52"/>
  <c r="IG26" i="52" s="1"/>
  <c r="T286" i="52" a="1"/>
  <c r="T286" i="52" s="1"/>
  <c r="T287" i="52" s="1"/>
  <c r="HP24" i="52"/>
  <c r="IE24" i="52"/>
  <c r="S252" i="52"/>
  <c r="T250" i="52" a="1"/>
  <c r="T250" i="52" s="1"/>
  <c r="T251" i="52" s="1"/>
  <c r="HN25" i="52" s="1"/>
  <c r="HO25" i="52" s="1"/>
  <c r="V274" i="52" a="1"/>
  <c r="V274" i="52" s="1"/>
  <c r="V275" i="52" s="1"/>
  <c r="U263" i="52"/>
  <c r="V262" i="52" a="1"/>
  <c r="V262" i="52" s="1"/>
  <c r="HZ25" i="52" l="1"/>
  <c r="IA25" i="52" s="1"/>
  <c r="BD95" i="59"/>
  <c r="HV27" i="52"/>
  <c r="V276" i="52" s="1"/>
  <c r="Q270" i="52"/>
  <c r="BD99" i="59"/>
  <c r="BD105" i="59" s="1"/>
  <c r="BE106" i="59" s="1"/>
  <c r="BH343" i="59"/>
  <c r="BH344" i="59" s="1"/>
  <c r="BH97" i="59" s="1"/>
  <c r="S265" i="52"/>
  <c r="S268" i="52" s="1"/>
  <c r="BL343" i="59"/>
  <c r="BL344" i="59" s="1"/>
  <c r="BL97" i="59" s="1"/>
  <c r="T92" i="59"/>
  <c r="L57" i="59"/>
  <c r="L92" i="59" s="1"/>
  <c r="T341" i="59"/>
  <c r="L306" i="59"/>
  <c r="L341" i="59" s="1"/>
  <c r="T91" i="59"/>
  <c r="L9" i="59"/>
  <c r="L91" i="59" s="1"/>
  <c r="L114" i="59"/>
  <c r="L93" i="59"/>
  <c r="T340" i="59"/>
  <c r="L258" i="59"/>
  <c r="L340" i="59" s="1"/>
  <c r="T342" i="59"/>
  <c r="T339" i="59"/>
  <c r="T338" i="59"/>
  <c r="L322" i="59"/>
  <c r="BL94" i="59"/>
  <c r="T93" i="59"/>
  <c r="HT24" i="52"/>
  <c r="T114" i="59"/>
  <c r="L428" i="59"/>
  <c r="L430" i="59" s="1"/>
  <c r="L431" i="59" s="1"/>
  <c r="L98" i="59" s="1"/>
  <c r="T251" i="59"/>
  <c r="T254" i="59" s="1"/>
  <c r="T255" i="59" s="1"/>
  <c r="L171" i="59"/>
  <c r="L251" i="59" s="1"/>
  <c r="L254" i="59" s="1"/>
  <c r="L255" i="59" s="1"/>
  <c r="T428" i="59"/>
  <c r="T430" i="59" s="1"/>
  <c r="T431" i="59" s="1"/>
  <c r="T98" i="59" s="1"/>
  <c r="BH94" i="59"/>
  <c r="T112" i="59"/>
  <c r="HR25" i="52"/>
  <c r="HS25" i="52" s="1"/>
  <c r="HS24" i="52"/>
  <c r="IF24" i="52"/>
  <c r="HQ24" i="53"/>
  <c r="O270" i="52"/>
  <c r="Q306" i="53"/>
  <c r="R265" i="52"/>
  <c r="R261" i="53"/>
  <c r="HQ23" i="53"/>
  <c r="O301" i="52"/>
  <c r="O309" i="52" s="1"/>
  <c r="O305" i="53"/>
  <c r="O307" i="53"/>
  <c r="Q282" i="52"/>
  <c r="R304" i="53"/>
  <c r="P293" i="52"/>
  <c r="P291" i="52"/>
  <c r="P303" i="52" s="1"/>
  <c r="P311" i="52" s="1"/>
  <c r="P292" i="52"/>
  <c r="P315" i="52"/>
  <c r="P282" i="52"/>
  <c r="R289" i="52"/>
  <c r="R315" i="52" s="1"/>
  <c r="R285" i="53"/>
  <c r="HY23" i="53"/>
  <c r="P302" i="52"/>
  <c r="P310" i="52" s="1"/>
  <c r="P306" i="53"/>
  <c r="HX26" i="52"/>
  <c r="U276" i="52"/>
  <c r="Q289" i="52"/>
  <c r="Q292" i="52" s="1"/>
  <c r="Q285" i="53"/>
  <c r="HY22" i="53"/>
  <c r="R279" i="52"/>
  <c r="R280" i="52"/>
  <c r="R278" i="52"/>
  <c r="R281" i="52"/>
  <c r="HW26" i="52"/>
  <c r="T277" i="52"/>
  <c r="T314" i="52" s="1"/>
  <c r="T273" i="53"/>
  <c r="HU25" i="53"/>
  <c r="S253" i="52"/>
  <c r="S257" i="52" s="1"/>
  <c r="S249" i="53"/>
  <c r="HM24" i="53"/>
  <c r="S277" i="52"/>
  <c r="S273" i="53"/>
  <c r="HU24" i="53"/>
  <c r="S288" i="52"/>
  <c r="IA24" i="52"/>
  <c r="IH24" i="52"/>
  <c r="U286" i="52" a="1"/>
  <c r="U286" i="52" s="1"/>
  <c r="U287" i="52" s="1"/>
  <c r="HZ26" i="52" s="1"/>
  <c r="IH26" i="52" s="1"/>
  <c r="W274" i="52" a="1"/>
  <c r="W274" i="52" s="1"/>
  <c r="W275" i="52" s="1"/>
  <c r="HV28" i="52" s="1"/>
  <c r="IE25" i="52"/>
  <c r="HP25" i="52"/>
  <c r="T252" i="52"/>
  <c r="U250" i="52" a="1"/>
  <c r="U250" i="52" s="1"/>
  <c r="U251" i="52" s="1"/>
  <c r="HN26" i="52" s="1"/>
  <c r="IE26" i="52" s="1"/>
  <c r="V263" i="52"/>
  <c r="W262" i="52" a="1"/>
  <c r="W262" i="52" s="1"/>
  <c r="IB25" i="52" l="1"/>
  <c r="IH25" i="52"/>
  <c r="T288" i="52"/>
  <c r="T285" i="53" s="1"/>
  <c r="S267" i="52"/>
  <c r="S301" i="52" s="1"/>
  <c r="S309" i="52" s="1"/>
  <c r="IG27" i="52"/>
  <c r="HW27" i="52"/>
  <c r="HX27" i="52"/>
  <c r="T343" i="59"/>
  <c r="T344" i="59" s="1"/>
  <c r="T97" i="59" s="1"/>
  <c r="S266" i="52"/>
  <c r="S313" i="52"/>
  <c r="S269" i="52"/>
  <c r="S270" i="52" s="1"/>
  <c r="T115" i="59"/>
  <c r="BH96" i="59"/>
  <c r="BH99" i="59" s="1"/>
  <c r="BH105" i="59" s="1"/>
  <c r="BI106" i="59" s="1"/>
  <c r="BH95" i="59"/>
  <c r="T94" i="59"/>
  <c r="BL96" i="59"/>
  <c r="BL99" i="59" s="1"/>
  <c r="BL105" i="59" s="1"/>
  <c r="BM106" i="59" s="1"/>
  <c r="BL95" i="59"/>
  <c r="L342" i="59"/>
  <c r="L343" i="59" s="1"/>
  <c r="L344" i="59" s="1"/>
  <c r="L97" i="59" s="1"/>
  <c r="L338" i="59"/>
  <c r="L339" i="59"/>
  <c r="L115" i="59" s="1"/>
  <c r="L94" i="59"/>
  <c r="T113" i="59"/>
  <c r="L113" i="59" s="1"/>
  <c r="L112" i="59"/>
  <c r="S256" i="52"/>
  <c r="S258" i="52" s="1"/>
  <c r="P307" i="53"/>
  <c r="T264" i="52"/>
  <c r="T261" i="53" s="1"/>
  <c r="IF25" i="52"/>
  <c r="HR26" i="52"/>
  <c r="U264" i="52" s="1"/>
  <c r="HT25" i="52"/>
  <c r="R267" i="52"/>
  <c r="R268" i="52"/>
  <c r="R266" i="52"/>
  <c r="R313" i="52"/>
  <c r="R269" i="52"/>
  <c r="P294" i="52"/>
  <c r="R290" i="52"/>
  <c r="S254" i="52"/>
  <c r="R291" i="52"/>
  <c r="R303" i="52" s="1"/>
  <c r="R311" i="52" s="1"/>
  <c r="R293" i="52"/>
  <c r="Q291" i="52"/>
  <c r="Q303" i="52" s="1"/>
  <c r="Q311" i="52" s="1"/>
  <c r="Q290" i="52"/>
  <c r="T280" i="52"/>
  <c r="S255" i="52"/>
  <c r="S300" i="52" s="1"/>
  <c r="S308" i="52" s="1"/>
  <c r="T278" i="52"/>
  <c r="Q315" i="52"/>
  <c r="R292" i="52"/>
  <c r="R282" i="52"/>
  <c r="S312" i="52"/>
  <c r="Q293" i="52"/>
  <c r="Q294" i="52" s="1"/>
  <c r="U277" i="52"/>
  <c r="U273" i="53"/>
  <c r="HU26" i="53"/>
  <c r="T253" i="52"/>
  <c r="T254" i="52" s="1"/>
  <c r="T249" i="53"/>
  <c r="HM25" i="53"/>
  <c r="S279" i="52"/>
  <c r="S314" i="52"/>
  <c r="S281" i="52"/>
  <c r="S278" i="52"/>
  <c r="S280" i="52"/>
  <c r="R302" i="52"/>
  <c r="R310" i="52" s="1"/>
  <c r="R306" i="53"/>
  <c r="V277" i="52"/>
  <c r="V280" i="52" s="1"/>
  <c r="V273" i="53"/>
  <c r="HU27" i="53"/>
  <c r="S289" i="52"/>
  <c r="S290" i="52" s="1"/>
  <c r="S285" i="53"/>
  <c r="HY24" i="53"/>
  <c r="T279" i="52"/>
  <c r="T281" i="52"/>
  <c r="IA26" i="52"/>
  <c r="U252" i="52"/>
  <c r="U288" i="52"/>
  <c r="IB26" i="52"/>
  <c r="HP26" i="52"/>
  <c r="V286" i="52" a="1"/>
  <c r="V286" i="52" s="1"/>
  <c r="V287" i="52" s="1"/>
  <c r="HZ27" i="52" s="1"/>
  <c r="IB27" i="52" s="1"/>
  <c r="HO26" i="52"/>
  <c r="V250" i="52" a="1"/>
  <c r="V250" i="52" s="1"/>
  <c r="V251" i="52" s="1"/>
  <c r="HN27" i="52" s="1"/>
  <c r="HP27" i="52" s="1"/>
  <c r="X274" i="52" a="1"/>
  <c r="X274" i="52" s="1"/>
  <c r="HW28" i="52"/>
  <c r="W276" i="52"/>
  <c r="IG28" i="52"/>
  <c r="HX28" i="52"/>
  <c r="W263" i="52"/>
  <c r="X262" i="52" a="1"/>
  <c r="X262" i="52" s="1"/>
  <c r="T289" i="52" l="1"/>
  <c r="T292" i="52" s="1"/>
  <c r="HY25" i="53"/>
  <c r="S305" i="53"/>
  <c r="T96" i="59"/>
  <c r="T99" i="59" s="1"/>
  <c r="T95" i="59"/>
  <c r="HI14" i="52" s="1"/>
  <c r="L96" i="59"/>
  <c r="L99" i="59" s="1"/>
  <c r="L95" i="59"/>
  <c r="HE14" i="52" s="1"/>
  <c r="R307" i="53"/>
  <c r="HQ26" i="53"/>
  <c r="U265" i="52"/>
  <c r="U269" i="52" s="1"/>
  <c r="U261" i="53"/>
  <c r="HS26" i="52"/>
  <c r="IF26" i="52"/>
  <c r="HT26" i="52"/>
  <c r="HR27" i="52"/>
  <c r="HR28" i="52" s="1"/>
  <c r="T265" i="52"/>
  <c r="HQ25" i="53"/>
  <c r="R270" i="52"/>
  <c r="T255" i="52"/>
  <c r="T300" i="52" s="1"/>
  <c r="T308" i="52" s="1"/>
  <c r="S304" i="53"/>
  <c r="Q307" i="53"/>
  <c r="R301" i="52"/>
  <c r="R309" i="52" s="1"/>
  <c r="R305" i="53"/>
  <c r="T256" i="52"/>
  <c r="R294" i="52"/>
  <c r="S291" i="52"/>
  <c r="S303" i="52" s="1"/>
  <c r="S311" i="52" s="1"/>
  <c r="T282" i="52"/>
  <c r="S315" i="52"/>
  <c r="S293" i="52"/>
  <c r="S292" i="52"/>
  <c r="V281" i="52"/>
  <c r="V282" i="52" s="1"/>
  <c r="V278" i="52"/>
  <c r="V279" i="52"/>
  <c r="V302" i="52" s="1"/>
  <c r="V310" i="52" s="1"/>
  <c r="V314" i="52"/>
  <c r="S282" i="52"/>
  <c r="W277" i="52"/>
  <c r="W280" i="52" s="1"/>
  <c r="W273" i="53"/>
  <c r="HU28" i="53"/>
  <c r="S302" i="52"/>
  <c r="S310" i="52" s="1"/>
  <c r="S306" i="53"/>
  <c r="T302" i="52"/>
  <c r="T310" i="52" s="1"/>
  <c r="T306" i="53"/>
  <c r="T312" i="52"/>
  <c r="T257" i="52"/>
  <c r="U289" i="52"/>
  <c r="U285" i="53"/>
  <c r="HY26" i="53"/>
  <c r="T291" i="52"/>
  <c r="U253" i="52"/>
  <c r="U249" i="53"/>
  <c r="HM26" i="53"/>
  <c r="U314" i="52"/>
  <c r="U281" i="52"/>
  <c r="U280" i="52"/>
  <c r="U279" i="52"/>
  <c r="U278" i="52"/>
  <c r="IA27" i="52"/>
  <c r="V288" i="52"/>
  <c r="IH27" i="52"/>
  <c r="IE27" i="52"/>
  <c r="W286" i="52" a="1"/>
  <c r="W286" i="52" s="1"/>
  <c r="V252" i="52"/>
  <c r="HO27" i="52"/>
  <c r="X275" i="52"/>
  <c r="HV29" i="52" s="1"/>
  <c r="Y274" i="52" a="1"/>
  <c r="Y274" i="52" s="1"/>
  <c r="W250" i="52" a="1"/>
  <c r="W250" i="52" s="1"/>
  <c r="W251" i="52" s="1"/>
  <c r="HN28" i="52" s="1"/>
  <c r="IE28" i="52" s="1"/>
  <c r="X263" i="52"/>
  <c r="Y262" i="52" a="1"/>
  <c r="Y262" i="52" s="1"/>
  <c r="T315" i="52" l="1"/>
  <c r="T293" i="52"/>
  <c r="T294" i="52" s="1"/>
  <c r="T290" i="52"/>
  <c r="U313" i="52"/>
  <c r="T304" i="53"/>
  <c r="T258" i="52"/>
  <c r="W314" i="52"/>
  <c r="BL101" i="59"/>
  <c r="BD101" i="59"/>
  <c r="AV101" i="59"/>
  <c r="AN101" i="59"/>
  <c r="AF101" i="59"/>
  <c r="X101" i="59"/>
  <c r="P101" i="59"/>
  <c r="AR101" i="59"/>
  <c r="V101" i="59"/>
  <c r="L101" i="59"/>
  <c r="U101" i="59"/>
  <c r="AZ101" i="59"/>
  <c r="T101" i="59"/>
  <c r="BH101" i="59"/>
  <c r="AB101" i="59"/>
  <c r="AJ101" i="59"/>
  <c r="W101" i="59"/>
  <c r="L105" i="59"/>
  <c r="M106" i="59" s="1"/>
  <c r="BL100" i="59"/>
  <c r="BD100" i="59"/>
  <c r="AV100" i="59"/>
  <c r="AN100" i="59"/>
  <c r="AF100" i="59"/>
  <c r="X100" i="59"/>
  <c r="AJ100" i="59"/>
  <c r="AR100" i="59"/>
  <c r="AZ100" i="59"/>
  <c r="T100" i="59"/>
  <c r="BH100" i="59"/>
  <c r="AB100" i="59"/>
  <c r="T105" i="59"/>
  <c r="U106" i="59" s="1"/>
  <c r="HS28" i="52"/>
  <c r="IF28" i="52"/>
  <c r="HT28" i="52"/>
  <c r="W264" i="52"/>
  <c r="W265" i="52" s="1"/>
  <c r="W268" i="52" s="1"/>
  <c r="HR29" i="52"/>
  <c r="X264" i="52" s="1"/>
  <c r="T268" i="52"/>
  <c r="T313" i="52"/>
  <c r="T267" i="52"/>
  <c r="T269" i="52"/>
  <c r="T266" i="52"/>
  <c r="HT27" i="52"/>
  <c r="IF27" i="52"/>
  <c r="V264" i="52"/>
  <c r="HS27" i="52"/>
  <c r="U267" i="52"/>
  <c r="U266" i="52"/>
  <c r="U268" i="52"/>
  <c r="U270" i="52" s="1"/>
  <c r="S307" i="53"/>
  <c r="W281" i="52"/>
  <c r="W282" i="52" s="1"/>
  <c r="W278" i="52"/>
  <c r="W279" i="52"/>
  <c r="W302" i="52" s="1"/>
  <c r="W310" i="52" s="1"/>
  <c r="S294" i="52"/>
  <c r="U282" i="52"/>
  <c r="V306" i="53"/>
  <c r="V289" i="52"/>
  <c r="V285" i="53"/>
  <c r="HY27" i="53"/>
  <c r="U254" i="52"/>
  <c r="U257" i="52"/>
  <c r="U255" i="52"/>
  <c r="U312" i="52"/>
  <c r="U256" i="52"/>
  <c r="V253" i="52"/>
  <c r="V256" i="52" s="1"/>
  <c r="V249" i="53"/>
  <c r="HM27" i="53"/>
  <c r="U302" i="52"/>
  <c r="U310" i="52" s="1"/>
  <c r="U306" i="53"/>
  <c r="T303" i="52"/>
  <c r="T311" i="52" s="1"/>
  <c r="T307" i="53"/>
  <c r="U315" i="52"/>
  <c r="U293" i="52"/>
  <c r="U292" i="52"/>
  <c r="U291" i="52"/>
  <c r="U290" i="52"/>
  <c r="W252" i="52"/>
  <c r="X286" i="52" a="1"/>
  <c r="X286" i="52" s="1"/>
  <c r="X287" i="52" s="1"/>
  <c r="HZ29" i="52" s="1"/>
  <c r="IA29" i="52" s="1"/>
  <c r="W287" i="52"/>
  <c r="HZ28" i="52" s="1"/>
  <c r="Y275" i="52"/>
  <c r="HV30" i="52" s="1"/>
  <c r="X250" i="52" a="1"/>
  <c r="X250" i="52" s="1"/>
  <c r="X251" i="52" s="1"/>
  <c r="HN29" i="52" s="1"/>
  <c r="HP29" i="52" s="1"/>
  <c r="HO28" i="52"/>
  <c r="X276" i="52"/>
  <c r="HX29" i="52"/>
  <c r="IG29" i="52"/>
  <c r="HW29" i="52"/>
  <c r="HP28" i="52"/>
  <c r="Z274" i="52" a="1"/>
  <c r="Z274" i="52" s="1"/>
  <c r="Z275" i="52" s="1"/>
  <c r="HV31" i="52" s="1"/>
  <c r="Y263" i="52"/>
  <c r="Z262" i="52" a="1"/>
  <c r="Z262" i="52" s="1"/>
  <c r="HR30" i="52" l="1"/>
  <c r="Y264" i="52" s="1"/>
  <c r="HT29" i="52"/>
  <c r="IF29" i="52"/>
  <c r="HS29" i="52"/>
  <c r="HQ28" i="53"/>
  <c r="W261" i="53"/>
  <c r="W266" i="52"/>
  <c r="W267" i="52"/>
  <c r="W305" i="53" s="1"/>
  <c r="W269" i="52"/>
  <c r="W270" i="52" s="1"/>
  <c r="W313" i="52"/>
  <c r="T270" i="52"/>
  <c r="V265" i="52"/>
  <c r="V261" i="53"/>
  <c r="HQ27" i="53"/>
  <c r="T301" i="52"/>
  <c r="T309" i="52" s="1"/>
  <c r="T305" i="53"/>
  <c r="U301" i="52"/>
  <c r="U309" i="52" s="1"/>
  <c r="U305" i="53"/>
  <c r="W306" i="53"/>
  <c r="V255" i="52"/>
  <c r="V300" i="52" s="1"/>
  <c r="V308" i="52" s="1"/>
  <c r="V257" i="52"/>
  <c r="V258" i="52" s="1"/>
  <c r="U258" i="52"/>
  <c r="W253" i="52"/>
  <c r="W249" i="53"/>
  <c r="HM28" i="53"/>
  <c r="U300" i="52"/>
  <c r="U308" i="52" s="1"/>
  <c r="U304" i="53"/>
  <c r="X277" i="52"/>
  <c r="X279" i="52" s="1"/>
  <c r="X273" i="53"/>
  <c r="HU29" i="53"/>
  <c r="V312" i="52"/>
  <c r="V254" i="52"/>
  <c r="U303" i="52"/>
  <c r="U311" i="52" s="1"/>
  <c r="U307" i="53"/>
  <c r="X265" i="52"/>
  <c r="X268" i="52" s="1"/>
  <c r="X261" i="53"/>
  <c r="HQ29" i="53"/>
  <c r="U294" i="52"/>
  <c r="V292" i="52"/>
  <c r="V291" i="52"/>
  <c r="V290" i="52"/>
  <c r="V293" i="52"/>
  <c r="V315" i="52"/>
  <c r="X288" i="52"/>
  <c r="IB29" i="52"/>
  <c r="IE29" i="52"/>
  <c r="X252" i="52"/>
  <c r="IH29" i="52"/>
  <c r="IA28" i="52"/>
  <c r="IB28" i="52"/>
  <c r="IH28" i="52"/>
  <c r="W288" i="52"/>
  <c r="Y286" i="52" a="1"/>
  <c r="Y286" i="52" s="1"/>
  <c r="Y287" i="52" s="1"/>
  <c r="HZ30" i="52" s="1"/>
  <c r="IA30" i="52" s="1"/>
  <c r="AA274" i="52" a="1"/>
  <c r="AA274" i="52" s="1"/>
  <c r="AA275" i="52" s="1"/>
  <c r="HV32" i="52" s="1"/>
  <c r="Z276" i="52"/>
  <c r="HX31" i="52"/>
  <c r="IG31" i="52"/>
  <c r="HW31" i="52"/>
  <c r="Y276" i="52"/>
  <c r="HX30" i="52"/>
  <c r="IG30" i="52"/>
  <c r="HW30" i="52"/>
  <c r="HO29" i="52"/>
  <c r="Y250" i="52" a="1"/>
  <c r="Y250" i="52" s="1"/>
  <c r="Y251" i="52" s="1"/>
  <c r="HN30" i="52" s="1"/>
  <c r="HP30" i="52" s="1"/>
  <c r="Z263" i="52"/>
  <c r="HR31" i="52" s="1"/>
  <c r="AA262" i="52" a="1"/>
  <c r="AA262" i="52" s="1"/>
  <c r="IF30" i="52" l="1"/>
  <c r="HT30" i="52"/>
  <c r="HS30" i="52"/>
  <c r="W301" i="52"/>
  <c r="W309" i="52" s="1"/>
  <c r="V267" i="52"/>
  <c r="V269" i="52"/>
  <c r="V268" i="52"/>
  <c r="V266" i="52"/>
  <c r="V313" i="52"/>
  <c r="X314" i="52"/>
  <c r="V304" i="53"/>
  <c r="X281" i="52"/>
  <c r="V294" i="52"/>
  <c r="X278" i="52"/>
  <c r="X280" i="52"/>
  <c r="X267" i="52"/>
  <c r="X301" i="52" s="1"/>
  <c r="X309" i="52" s="1"/>
  <c r="X269" i="52"/>
  <c r="X270" i="52" s="1"/>
  <c r="X313" i="52"/>
  <c r="X266" i="52"/>
  <c r="Y277" i="52"/>
  <c r="Y280" i="52" s="1"/>
  <c r="Y273" i="53"/>
  <c r="HU30" i="53"/>
  <c r="X302" i="52"/>
  <c r="X310" i="52" s="1"/>
  <c r="X306" i="53"/>
  <c r="X253" i="52"/>
  <c r="X249" i="53"/>
  <c r="HM29" i="53"/>
  <c r="V303" i="52"/>
  <c r="V311" i="52" s="1"/>
  <c r="V307" i="53"/>
  <c r="Z277" i="52"/>
  <c r="Z314" i="52" s="1"/>
  <c r="Z273" i="53"/>
  <c r="HU31" i="53"/>
  <c r="W289" i="52"/>
  <c r="W315" i="52" s="1"/>
  <c r="W285" i="53"/>
  <c r="HY28" i="53"/>
  <c r="X289" i="52"/>
  <c r="X285" i="53"/>
  <c r="HY29" i="53"/>
  <c r="Y288" i="52"/>
  <c r="Y265" i="52"/>
  <c r="Y313" i="52" s="1"/>
  <c r="Y261" i="53"/>
  <c r="HQ30" i="53"/>
  <c r="W312" i="52"/>
  <c r="W257" i="52"/>
  <c r="W256" i="52"/>
  <c r="W254" i="52"/>
  <c r="W255" i="52"/>
  <c r="IB30" i="52"/>
  <c r="Y252" i="52"/>
  <c r="IH30" i="52"/>
  <c r="Z286" i="52" a="1"/>
  <c r="Z286" i="52" s="1"/>
  <c r="Z287" i="52" s="1"/>
  <c r="HZ31" i="52" s="1"/>
  <c r="Z288" i="52" s="1"/>
  <c r="AB274" i="52" a="1"/>
  <c r="AB274" i="52" s="1"/>
  <c r="AC274" i="52" s="1" a="1"/>
  <c r="AC274" i="52" s="1"/>
  <c r="AC275" i="52" s="1"/>
  <c r="IG32" i="52"/>
  <c r="HX32" i="52"/>
  <c r="HW32" i="52"/>
  <c r="AA276" i="52"/>
  <c r="HO30" i="52"/>
  <c r="Z250" i="52" a="1"/>
  <c r="Z250" i="52" s="1"/>
  <c r="Z251" i="52" s="1"/>
  <c r="HN31" i="52" s="1"/>
  <c r="Z252" i="52" s="1"/>
  <c r="IE30" i="52"/>
  <c r="AA263" i="52"/>
  <c r="HR32" i="52" s="1"/>
  <c r="AB262" i="52" a="1"/>
  <c r="AB262" i="52" s="1"/>
  <c r="Z264" i="52"/>
  <c r="HS31" i="52"/>
  <c r="IF31" i="52"/>
  <c r="HT31" i="52"/>
  <c r="Y278" i="52" l="1"/>
  <c r="Y281" i="52"/>
  <c r="Y282" i="52" s="1"/>
  <c r="V270" i="52"/>
  <c r="V301" i="52"/>
  <c r="V309" i="52" s="1"/>
  <c r="V305" i="53"/>
  <c r="Y267" i="52"/>
  <c r="Y301" i="52" s="1"/>
  <c r="Y309" i="52" s="1"/>
  <c r="Y268" i="52"/>
  <c r="Z279" i="52"/>
  <c r="Z302" i="52" s="1"/>
  <c r="Z310" i="52" s="1"/>
  <c r="Y269" i="52"/>
  <c r="Y266" i="52"/>
  <c r="X282" i="52"/>
  <c r="W290" i="52"/>
  <c r="Z280" i="52"/>
  <c r="Z281" i="52"/>
  <c r="Z278" i="52"/>
  <c r="X305" i="53"/>
  <c r="W258" i="52"/>
  <c r="Y279" i="52"/>
  <c r="Y302" i="52" s="1"/>
  <c r="Y310" i="52" s="1"/>
  <c r="Y314" i="52"/>
  <c r="Y253" i="52"/>
  <c r="Y254" i="52" s="1"/>
  <c r="Y249" i="53"/>
  <c r="HM30" i="53"/>
  <c r="X255" i="52"/>
  <c r="X256" i="52"/>
  <c r="X254" i="52"/>
  <c r="X312" i="52"/>
  <c r="X257" i="52"/>
  <c r="W293" i="52"/>
  <c r="W300" i="52"/>
  <c r="W308" i="52" s="1"/>
  <c r="W304" i="53"/>
  <c r="Y289" i="52"/>
  <c r="Y285" i="53"/>
  <c r="HY30" i="53"/>
  <c r="W291" i="52"/>
  <c r="Z289" i="52"/>
  <c r="Z315" i="52" s="1"/>
  <c r="Z285" i="53"/>
  <c r="HY31" i="53"/>
  <c r="Z265" i="52"/>
  <c r="Z313" i="52" s="1"/>
  <c r="Z261" i="53"/>
  <c r="HQ31" i="53"/>
  <c r="W292" i="52"/>
  <c r="Z253" i="52"/>
  <c r="Z255" i="52" s="1"/>
  <c r="Z249" i="53"/>
  <c r="HM31" i="53"/>
  <c r="X293" i="52"/>
  <c r="X292" i="52"/>
  <c r="X291" i="52"/>
  <c r="X290" i="52"/>
  <c r="X315" i="52"/>
  <c r="AA277" i="52"/>
  <c r="AA281" i="52" s="1"/>
  <c r="AA273" i="53"/>
  <c r="HU32" i="53"/>
  <c r="IA31" i="52"/>
  <c r="IH31" i="52"/>
  <c r="AA286" i="52" a="1"/>
  <c r="AA286" i="52" s="1"/>
  <c r="AA287" i="52" s="1"/>
  <c r="HZ32" i="52" s="1"/>
  <c r="IH32" i="52" s="1"/>
  <c r="IB31" i="52"/>
  <c r="HO31" i="52"/>
  <c r="HP31" i="52"/>
  <c r="AA250" i="52" a="1"/>
  <c r="AA250" i="52" s="1"/>
  <c r="AA251" i="52" s="1"/>
  <c r="HN32" i="52" s="1"/>
  <c r="IE32" i="52" s="1"/>
  <c r="IE31" i="52"/>
  <c r="AB275" i="52"/>
  <c r="HV33" i="52" s="1"/>
  <c r="AD274" i="52" a="1"/>
  <c r="AD274" i="52" s="1"/>
  <c r="AD275" i="52" s="1"/>
  <c r="AB263" i="52"/>
  <c r="HR33" i="52" s="1"/>
  <c r="AC262" i="52" a="1"/>
  <c r="AC262" i="52" s="1"/>
  <c r="AA264" i="52"/>
  <c r="HS32" i="52"/>
  <c r="IF32" i="52"/>
  <c r="HT32" i="52"/>
  <c r="Y305" i="53" l="1"/>
  <c r="Y270" i="52"/>
  <c r="Z306" i="53"/>
  <c r="Z292" i="52"/>
  <c r="AA314" i="52"/>
  <c r="W294" i="52"/>
  <c r="Z257" i="52"/>
  <c r="Z282" i="52"/>
  <c r="Z254" i="52"/>
  <c r="AA278" i="52"/>
  <c r="Y306" i="53"/>
  <c r="Z256" i="52"/>
  <c r="Z312" i="52"/>
  <c r="AA279" i="52"/>
  <c r="AA306" i="53" s="1"/>
  <c r="AA280" i="52"/>
  <c r="AA282" i="52" s="1"/>
  <c r="Z290" i="52"/>
  <c r="X294" i="52"/>
  <c r="Z293" i="52"/>
  <c r="Z291" i="52"/>
  <c r="Z303" i="52" s="1"/>
  <c r="Z311" i="52" s="1"/>
  <c r="X258" i="52"/>
  <c r="Z268" i="52"/>
  <c r="W303" i="52"/>
  <c r="W311" i="52" s="1"/>
  <c r="W307" i="53"/>
  <c r="X300" i="52"/>
  <c r="X308" i="52" s="1"/>
  <c r="X304" i="53"/>
  <c r="Y315" i="52"/>
  <c r="Y291" i="52"/>
  <c r="Y290" i="52"/>
  <c r="Y292" i="52"/>
  <c r="Y293" i="52"/>
  <c r="Z269" i="52"/>
  <c r="Z266" i="52"/>
  <c r="AA265" i="52"/>
  <c r="AA268" i="52" s="1"/>
  <c r="AA261" i="53"/>
  <c r="HQ32" i="53"/>
  <c r="Z267" i="52"/>
  <c r="Z300" i="52"/>
  <c r="Z308" i="52" s="1"/>
  <c r="Z304" i="53"/>
  <c r="X303" i="52"/>
  <c r="X311" i="52" s="1"/>
  <c r="X307" i="53"/>
  <c r="Y257" i="52"/>
  <c r="Y312" i="52"/>
  <c r="Y256" i="52"/>
  <c r="Y255" i="52"/>
  <c r="IA32" i="52"/>
  <c r="AA288" i="52"/>
  <c r="AB286" i="52" a="1"/>
  <c r="AB286" i="52" s="1"/>
  <c r="AB287" i="52" s="1"/>
  <c r="HZ33" i="52" s="1"/>
  <c r="AB288" i="52" s="1"/>
  <c r="HO32" i="52"/>
  <c r="IB32" i="52"/>
  <c r="AB250" i="52" a="1"/>
  <c r="AB250" i="52" s="1"/>
  <c r="AB251" i="52" s="1"/>
  <c r="HN33" i="52" s="1"/>
  <c r="AB252" i="52" s="1"/>
  <c r="AA252" i="52"/>
  <c r="HP32" i="52"/>
  <c r="HX33" i="52"/>
  <c r="IG33" i="52"/>
  <c r="HW33" i="52"/>
  <c r="AB276" i="52"/>
  <c r="AE274" i="52" a="1"/>
  <c r="AE274" i="52" s="1"/>
  <c r="AE275" i="52" s="1"/>
  <c r="HV34" i="52"/>
  <c r="AC263" i="52"/>
  <c r="HR34" i="52" s="1"/>
  <c r="AD262" i="52" a="1"/>
  <c r="AD262" i="52" s="1"/>
  <c r="AB264" i="52"/>
  <c r="HS33" i="52"/>
  <c r="HT33" i="52"/>
  <c r="IF33" i="52"/>
  <c r="Z258" i="52" l="1"/>
  <c r="Z294" i="52"/>
  <c r="AA269" i="52"/>
  <c r="AA270" i="52" s="1"/>
  <c r="AA267" i="52"/>
  <c r="AA301" i="52" s="1"/>
  <c r="AA309" i="52" s="1"/>
  <c r="AA302" i="52"/>
  <c r="AA310" i="52" s="1"/>
  <c r="Z307" i="53"/>
  <c r="Z270" i="52"/>
  <c r="AA266" i="52"/>
  <c r="AA313" i="52"/>
  <c r="Y294" i="52"/>
  <c r="Y303" i="52"/>
  <c r="Y311" i="52" s="1"/>
  <c r="Y307" i="53"/>
  <c r="AA289" i="52"/>
  <c r="AA291" i="52" s="1"/>
  <c r="AA285" i="53"/>
  <c r="HY32" i="53"/>
  <c r="AB289" i="52"/>
  <c r="AB293" i="52" s="1"/>
  <c r="AB285" i="53"/>
  <c r="HY33" i="53"/>
  <c r="AA253" i="52"/>
  <c r="AA255" i="52" s="1"/>
  <c r="HM32" i="53"/>
  <c r="AA249" i="53"/>
  <c r="Y300" i="52"/>
  <c r="Y308" i="52" s="1"/>
  <c r="Y304" i="53"/>
  <c r="AB253" i="52"/>
  <c r="AB255" i="52" s="1"/>
  <c r="AB249" i="53"/>
  <c r="HM33" i="53"/>
  <c r="Y258" i="52"/>
  <c r="AB277" i="52"/>
  <c r="AB279" i="52" s="1"/>
  <c r="AB273" i="53"/>
  <c r="HU33" i="53"/>
  <c r="AB265" i="52"/>
  <c r="AB268" i="52" s="1"/>
  <c r="AB261" i="53"/>
  <c r="HQ33" i="53"/>
  <c r="Z301" i="52"/>
  <c r="Z309" i="52" s="1"/>
  <c r="Z305" i="53"/>
  <c r="HO33" i="52"/>
  <c r="IB33" i="52"/>
  <c r="IH33" i="52"/>
  <c r="AC286" i="52" a="1"/>
  <c r="AC286" i="52" s="1"/>
  <c r="AC287" i="52" s="1"/>
  <c r="HZ34" i="52" s="1"/>
  <c r="IA34" i="52" s="1"/>
  <c r="IA33" i="52"/>
  <c r="AC250" i="52" a="1"/>
  <c r="AC250" i="52" s="1"/>
  <c r="AC251" i="52" s="1"/>
  <c r="HN34" i="52" s="1"/>
  <c r="AC252" i="52" s="1"/>
  <c r="AC276" i="52"/>
  <c r="HX34" i="52"/>
  <c r="IG34" i="52"/>
  <c r="HW34" i="52"/>
  <c r="AF274" i="52" a="1"/>
  <c r="AF274" i="52" s="1"/>
  <c r="AF275" i="52" s="1"/>
  <c r="HP33" i="52"/>
  <c r="IE33" i="52"/>
  <c r="HV35" i="52"/>
  <c r="AD263" i="52"/>
  <c r="HR35" i="52" s="1"/>
  <c r="AE262" i="52" a="1"/>
  <c r="AE262" i="52" s="1"/>
  <c r="AC264" i="52"/>
  <c r="HS34" i="52"/>
  <c r="HT34" i="52"/>
  <c r="IF34" i="52"/>
  <c r="AB266" i="52" l="1"/>
  <c r="AB269" i="52"/>
  <c r="AB270" i="52" s="1"/>
  <c r="AB257" i="52"/>
  <c r="AB312" i="52"/>
  <c r="AA305" i="53"/>
  <c r="AB292" i="52"/>
  <c r="AB294" i="52" s="1"/>
  <c r="AB313" i="52"/>
  <c r="AB280" i="52"/>
  <c r="AB256" i="52"/>
  <c r="AB290" i="52"/>
  <c r="AB267" i="52"/>
  <c r="AB301" i="52" s="1"/>
  <c r="AB309" i="52" s="1"/>
  <c r="AB315" i="52"/>
  <c r="AB254" i="52"/>
  <c r="AB291" i="52"/>
  <c r="AB303" i="52" s="1"/>
  <c r="AB311" i="52" s="1"/>
  <c r="AA300" i="52"/>
  <c r="AA308" i="52" s="1"/>
  <c r="AA304" i="53"/>
  <c r="AB302" i="52"/>
  <c r="AB310" i="52" s="1"/>
  <c r="AB306" i="53"/>
  <c r="AA256" i="52"/>
  <c r="AB278" i="52"/>
  <c r="AB281" i="52"/>
  <c r="AC277" i="52"/>
  <c r="AC279" i="52" s="1"/>
  <c r="AC273" i="53"/>
  <c r="HU34" i="53"/>
  <c r="AB314" i="52"/>
  <c r="AB300" i="52"/>
  <c r="AB308" i="52" s="1"/>
  <c r="AB304" i="53"/>
  <c r="AA303" i="52"/>
  <c r="AA311" i="52" s="1"/>
  <c r="AA307" i="53"/>
  <c r="AC253" i="52"/>
  <c r="AC256" i="52" s="1"/>
  <c r="AC249" i="53"/>
  <c r="HM34" i="53"/>
  <c r="AA293" i="52"/>
  <c r="AA292" i="52"/>
  <c r="AA315" i="52"/>
  <c r="AA290" i="52"/>
  <c r="AC265" i="52"/>
  <c r="AC313" i="52" s="1"/>
  <c r="AC261" i="53"/>
  <c r="HQ34" i="53"/>
  <c r="AA254" i="52"/>
  <c r="AA312" i="52"/>
  <c r="AA257" i="52"/>
  <c r="IE34" i="52"/>
  <c r="IB34" i="52"/>
  <c r="HP34" i="52"/>
  <c r="IH34" i="52"/>
  <c r="AC288" i="52"/>
  <c r="HO34" i="52"/>
  <c r="AD286" i="52" a="1"/>
  <c r="AD286" i="52" s="1"/>
  <c r="AD287" i="52" s="1"/>
  <c r="HZ35" i="52" s="1"/>
  <c r="IA35" i="52" s="1"/>
  <c r="AG274" i="52" a="1"/>
  <c r="AG274" i="52" s="1"/>
  <c r="AG275" i="52" s="1"/>
  <c r="AD276" i="52"/>
  <c r="HW35" i="52"/>
  <c r="HX35" i="52"/>
  <c r="IG35" i="52"/>
  <c r="HV36" i="52"/>
  <c r="HV37" i="52" s="1"/>
  <c r="AD250" i="52" a="1"/>
  <c r="AD250" i="52" s="1"/>
  <c r="AE263" i="52"/>
  <c r="HR36" i="52" s="1"/>
  <c r="AF262" i="52" a="1"/>
  <c r="AF262" i="52" s="1"/>
  <c r="AD264" i="52"/>
  <c r="HS35" i="52"/>
  <c r="IF35" i="52"/>
  <c r="HT35" i="52"/>
  <c r="AB258" i="52" l="1"/>
  <c r="AB305" i="53"/>
  <c r="AC267" i="52"/>
  <c r="AC305" i="53" s="1"/>
  <c r="AC314" i="52"/>
  <c r="AB282" i="52"/>
  <c r="AC312" i="52"/>
  <c r="AB307" i="53"/>
  <c r="AC278" i="52"/>
  <c r="AC268" i="52"/>
  <c r="AC269" i="52"/>
  <c r="AC266" i="52"/>
  <c r="AC254" i="52"/>
  <c r="AC255" i="52"/>
  <c r="AC304" i="53" s="1"/>
  <c r="AC280" i="52"/>
  <c r="AC257" i="52"/>
  <c r="AC258" i="52" s="1"/>
  <c r="AC281" i="52"/>
  <c r="AC302" i="52"/>
  <c r="AC310" i="52" s="1"/>
  <c r="AC306" i="53"/>
  <c r="AC289" i="52"/>
  <c r="AC290" i="52" s="1"/>
  <c r="AC285" i="53"/>
  <c r="HY34" i="53"/>
  <c r="AA294" i="52"/>
  <c r="AA258" i="52"/>
  <c r="AD265" i="52"/>
  <c r="AD266" i="52" s="1"/>
  <c r="AD261" i="53"/>
  <c r="HQ35" i="53"/>
  <c r="AD277" i="52"/>
  <c r="AD314" i="52" s="1"/>
  <c r="AD273" i="53"/>
  <c r="HU35" i="53"/>
  <c r="HV38" i="52"/>
  <c r="AG276" i="52" s="1"/>
  <c r="AE286" i="52" a="1"/>
  <c r="AE286" i="52" s="1"/>
  <c r="AE287" i="52" s="1"/>
  <c r="HZ36" i="52" s="1"/>
  <c r="AE288" i="52" s="1"/>
  <c r="IH35" i="52"/>
  <c r="AD288" i="52"/>
  <c r="IB35" i="52"/>
  <c r="AH274" i="52" a="1"/>
  <c r="AH274" i="52" s="1"/>
  <c r="AE250" i="52" a="1"/>
  <c r="AE250" i="52" s="1"/>
  <c r="AE251" i="52" s="1"/>
  <c r="HN36" i="52" s="1"/>
  <c r="AE252" i="52" s="1"/>
  <c r="AD251" i="52"/>
  <c r="HN35" i="52" s="1"/>
  <c r="AF276" i="52"/>
  <c r="HX37" i="52"/>
  <c r="IG37" i="52"/>
  <c r="HW37" i="52"/>
  <c r="HW36" i="52"/>
  <c r="HX36" i="52"/>
  <c r="AE276" i="52"/>
  <c r="IG36" i="52"/>
  <c r="AF263" i="52"/>
  <c r="HR37" i="52" s="1"/>
  <c r="AG262" i="52" a="1"/>
  <c r="AG262" i="52" s="1"/>
  <c r="AE264" i="52"/>
  <c r="HS36" i="52"/>
  <c r="IF36" i="52"/>
  <c r="HT36" i="52"/>
  <c r="AC301" i="52" l="1"/>
  <c r="AC309" i="52" s="1"/>
  <c r="AD268" i="52"/>
  <c r="AC300" i="52"/>
  <c r="AC308" i="52" s="1"/>
  <c r="AD267" i="52"/>
  <c r="AD301" i="52" s="1"/>
  <c r="AD309" i="52" s="1"/>
  <c r="AC282" i="52"/>
  <c r="AD278" i="52"/>
  <c r="AC270" i="52"/>
  <c r="AD269" i="52"/>
  <c r="HW38" i="52"/>
  <c r="AD279" i="52"/>
  <c r="AD302" i="52" s="1"/>
  <c r="AD310" i="52" s="1"/>
  <c r="AD280" i="52"/>
  <c r="AD313" i="52"/>
  <c r="AD281" i="52"/>
  <c r="HX38" i="52"/>
  <c r="AD289" i="52"/>
  <c r="AD285" i="53"/>
  <c r="HY35" i="53"/>
  <c r="AE265" i="52"/>
  <c r="AE267" i="52" s="1"/>
  <c r="AE261" i="53"/>
  <c r="HQ36" i="53"/>
  <c r="IG38" i="52"/>
  <c r="AF277" i="52"/>
  <c r="AF281" i="52" s="1"/>
  <c r="AF273" i="53"/>
  <c r="HU37" i="53"/>
  <c r="AE289" i="52"/>
  <c r="AE291" i="52" s="1"/>
  <c r="AE285" i="53"/>
  <c r="HY36" i="53"/>
  <c r="AC291" i="52"/>
  <c r="AC315" i="52"/>
  <c r="AC293" i="52"/>
  <c r="AC292" i="52"/>
  <c r="AE277" i="52"/>
  <c r="AE279" i="52" s="1"/>
  <c r="AE273" i="53"/>
  <c r="HU36" i="53"/>
  <c r="AG277" i="52"/>
  <c r="AG273" i="53"/>
  <c r="HU38" i="53"/>
  <c r="AE253" i="52"/>
  <c r="AE312" i="52" s="1"/>
  <c r="AE249" i="53"/>
  <c r="HM36" i="53"/>
  <c r="IB36" i="52"/>
  <c r="HO36" i="52"/>
  <c r="IH36" i="52"/>
  <c r="IA36" i="52"/>
  <c r="AF286" i="52" a="1"/>
  <c r="AF286" i="52" s="1"/>
  <c r="AF287" i="52" s="1"/>
  <c r="HZ37" i="52" s="1"/>
  <c r="AF288" i="52" s="1"/>
  <c r="HP36" i="52"/>
  <c r="IE36" i="52"/>
  <c r="AF250" i="52" a="1"/>
  <c r="AF250" i="52" s="1"/>
  <c r="AD252" i="52"/>
  <c r="HP35" i="52"/>
  <c r="IE35" i="52"/>
  <c r="HO35" i="52"/>
  <c r="AH275" i="52"/>
  <c r="HV39" i="52" s="1"/>
  <c r="AI274" i="52" a="1"/>
  <c r="AI274" i="52" s="1"/>
  <c r="AI275" i="52" s="1"/>
  <c r="HV40" i="52" s="1"/>
  <c r="AI276" i="52" s="1"/>
  <c r="AG263" i="52"/>
  <c r="HR38" i="52" s="1"/>
  <c r="AH262" i="52" a="1"/>
  <c r="AH262" i="52" s="1"/>
  <c r="AF264" i="52"/>
  <c r="HS37" i="52"/>
  <c r="HT37" i="52"/>
  <c r="IF37" i="52"/>
  <c r="AD306" i="53" l="1"/>
  <c r="AE266" i="52"/>
  <c r="AE314" i="52"/>
  <c r="AD305" i="53"/>
  <c r="AD270" i="52"/>
  <c r="AE257" i="52"/>
  <c r="AD282" i="52"/>
  <c r="AE269" i="52"/>
  <c r="AE313" i="52"/>
  <c r="AE256" i="52"/>
  <c r="AE292" i="52"/>
  <c r="AF314" i="52"/>
  <c r="AF279" i="52"/>
  <c r="AF302" i="52" s="1"/>
  <c r="AF310" i="52" s="1"/>
  <c r="AE268" i="52"/>
  <c r="AE254" i="52"/>
  <c r="AE255" i="52"/>
  <c r="AE300" i="52" s="1"/>
  <c r="AE308" i="52" s="1"/>
  <c r="AF278" i="52"/>
  <c r="AE302" i="52"/>
  <c r="AE310" i="52" s="1"/>
  <c r="AE306" i="53"/>
  <c r="AE301" i="52"/>
  <c r="AE309" i="52" s="1"/>
  <c r="AE305" i="53"/>
  <c r="AE303" i="52"/>
  <c r="AE311" i="52" s="1"/>
  <c r="AE307" i="53"/>
  <c r="AF289" i="52"/>
  <c r="AF292" i="52" s="1"/>
  <c r="AF285" i="53"/>
  <c r="HY37" i="53"/>
  <c r="AC294" i="52"/>
  <c r="AE315" i="52"/>
  <c r="AE278" i="52"/>
  <c r="AF280" i="52"/>
  <c r="AF282" i="52" s="1"/>
  <c r="AE293" i="52"/>
  <c r="AE280" i="52"/>
  <c r="AF265" i="52"/>
  <c r="AF269" i="52" s="1"/>
  <c r="AF261" i="53"/>
  <c r="HQ37" i="53"/>
  <c r="AE290" i="52"/>
  <c r="AE281" i="52"/>
  <c r="AC303" i="52"/>
  <c r="AC311" i="52" s="1"/>
  <c r="AC307" i="53"/>
  <c r="AG279" i="52"/>
  <c r="AG278" i="52"/>
  <c r="AG281" i="52"/>
  <c r="AG280" i="52"/>
  <c r="AG314" i="52"/>
  <c r="AD292" i="52"/>
  <c r="AD290" i="52"/>
  <c r="AD315" i="52"/>
  <c r="AD291" i="52"/>
  <c r="AD293" i="52"/>
  <c r="AI277" i="52"/>
  <c r="AI314" i="52" s="1"/>
  <c r="AI273" i="53"/>
  <c r="HU40" i="53"/>
  <c r="AD253" i="52"/>
  <c r="AD254" i="52" s="1"/>
  <c r="AD249" i="53"/>
  <c r="HM35" i="53"/>
  <c r="IB37" i="52"/>
  <c r="IH37" i="52"/>
  <c r="IA37" i="52"/>
  <c r="AG286" i="52" a="1"/>
  <c r="AG286" i="52" s="1"/>
  <c r="AG287" i="52" s="1"/>
  <c r="HZ38" i="52" s="1"/>
  <c r="IA38" i="52" s="1"/>
  <c r="HX40" i="52"/>
  <c r="HW40" i="52"/>
  <c r="IG40" i="52"/>
  <c r="AG250" i="52" a="1"/>
  <c r="AG250" i="52" s="1"/>
  <c r="AG251" i="52" s="1"/>
  <c r="HN38" i="52" s="1"/>
  <c r="HP38" i="52" s="1"/>
  <c r="AF251" i="52"/>
  <c r="HN37" i="52" s="1"/>
  <c r="HX39" i="52"/>
  <c r="IG39" i="52"/>
  <c r="HW39" i="52"/>
  <c r="AH276" i="52"/>
  <c r="AJ274" i="52" a="1"/>
  <c r="AJ274" i="52" s="1"/>
  <c r="AJ275" i="52" s="1"/>
  <c r="HV41" i="52" s="1"/>
  <c r="HX41" i="52" s="1"/>
  <c r="AH263" i="52"/>
  <c r="HR39" i="52" s="1"/>
  <c r="AI262" i="52" a="1"/>
  <c r="AI262" i="52" s="1"/>
  <c r="AG264" i="52"/>
  <c r="HS38" i="52"/>
  <c r="HT38" i="52"/>
  <c r="IF38" i="52"/>
  <c r="AF313" i="52" l="1"/>
  <c r="AF306" i="53"/>
  <c r="AE294" i="52"/>
  <c r="AE258" i="52"/>
  <c r="AI281" i="52"/>
  <c r="AF293" i="52"/>
  <c r="AF294" i="52" s="1"/>
  <c r="AF290" i="52"/>
  <c r="AE304" i="53"/>
  <c r="AI279" i="52"/>
  <c r="AI306" i="53" s="1"/>
  <c r="AI280" i="52"/>
  <c r="AI278" i="52"/>
  <c r="AE270" i="52"/>
  <c r="AF315" i="52"/>
  <c r="AD257" i="52"/>
  <c r="AF291" i="52"/>
  <c r="AF303" i="52" s="1"/>
  <c r="AF311" i="52" s="1"/>
  <c r="AD255" i="52"/>
  <c r="AD300" i="52" s="1"/>
  <c r="AD308" i="52" s="1"/>
  <c r="AE282" i="52"/>
  <c r="AF266" i="52"/>
  <c r="AD294" i="52"/>
  <c r="AF267" i="52"/>
  <c r="AD312" i="52"/>
  <c r="AG282" i="52"/>
  <c r="AG265" i="52"/>
  <c r="AG313" i="52" s="1"/>
  <c r="AG261" i="53"/>
  <c r="HQ38" i="53"/>
  <c r="AF268" i="52"/>
  <c r="AF270" i="52" s="1"/>
  <c r="AD256" i="52"/>
  <c r="AH277" i="52"/>
  <c r="AH281" i="52" s="1"/>
  <c r="AH273" i="53"/>
  <c r="HU39" i="53"/>
  <c r="AD303" i="52"/>
  <c r="AD311" i="52" s="1"/>
  <c r="AD307" i="53"/>
  <c r="AG302" i="52"/>
  <c r="AG310" i="52" s="1"/>
  <c r="AG306" i="53"/>
  <c r="IB38" i="52"/>
  <c r="IH38" i="52"/>
  <c r="AG288" i="52"/>
  <c r="AK274" i="52" a="1"/>
  <c r="AK274" i="52" s="1"/>
  <c r="AK275" i="52" s="1"/>
  <c r="HV42" i="52" s="1"/>
  <c r="HW42" i="52" s="1"/>
  <c r="AH286" i="52" a="1"/>
  <c r="AH286" i="52" s="1"/>
  <c r="AH287" i="52" s="1"/>
  <c r="HZ39" i="52" s="1"/>
  <c r="IB39" i="52" s="1"/>
  <c r="HW41" i="52"/>
  <c r="AG252" i="52"/>
  <c r="AF252" i="52"/>
  <c r="IE37" i="52"/>
  <c r="HP37" i="52"/>
  <c r="HO37" i="52"/>
  <c r="IG41" i="52"/>
  <c r="AH250" i="52" a="1"/>
  <c r="AH250" i="52" s="1"/>
  <c r="AH251" i="52" s="1"/>
  <c r="HN39" i="52" s="1"/>
  <c r="IE39" i="52" s="1"/>
  <c r="AJ276" i="52"/>
  <c r="HO38" i="52"/>
  <c r="IE38" i="52"/>
  <c r="AI263" i="52"/>
  <c r="HR40" i="52" s="1"/>
  <c r="AJ262" i="52" a="1"/>
  <c r="AJ262" i="52" s="1"/>
  <c r="AH264" i="52"/>
  <c r="HS39" i="52"/>
  <c r="IF39" i="52"/>
  <c r="HT39" i="52"/>
  <c r="AD304" i="53" l="1"/>
  <c r="AI282" i="52"/>
  <c r="AH279" i="52"/>
  <c r="AH302" i="52" s="1"/>
  <c r="AH310" i="52" s="1"/>
  <c r="AH280" i="52"/>
  <c r="AH282" i="52" s="1"/>
  <c r="AH314" i="52"/>
  <c r="AI302" i="52"/>
  <c r="AI310" i="52" s="1"/>
  <c r="AG266" i="52"/>
  <c r="AH278" i="52"/>
  <c r="AG267" i="52"/>
  <c r="AG301" i="52" s="1"/>
  <c r="AG309" i="52" s="1"/>
  <c r="AF307" i="53"/>
  <c r="AD258" i="52"/>
  <c r="AG269" i="52"/>
  <c r="AG268" i="52"/>
  <c r="AG289" i="52"/>
  <c r="AG285" i="53"/>
  <c r="HY38" i="53"/>
  <c r="AF253" i="52"/>
  <c r="AF312" i="52" s="1"/>
  <c r="AF249" i="53"/>
  <c r="HM37" i="53"/>
  <c r="AG253" i="52"/>
  <c r="AG249" i="53"/>
  <c r="HM38" i="53"/>
  <c r="AH265" i="52"/>
  <c r="AH313" i="52" s="1"/>
  <c r="AH261" i="53"/>
  <c r="HQ39" i="53"/>
  <c r="AF301" i="52"/>
  <c r="AF309" i="52" s="1"/>
  <c r="AF305" i="53"/>
  <c r="AJ277" i="52"/>
  <c r="AJ281" i="52" s="1"/>
  <c r="AJ273" i="53"/>
  <c r="HU41" i="53"/>
  <c r="AK276" i="52"/>
  <c r="IH39" i="52"/>
  <c r="IA39" i="52"/>
  <c r="IG42" i="52"/>
  <c r="AH288" i="52"/>
  <c r="HX42" i="52"/>
  <c r="AI286" i="52" a="1"/>
  <c r="AI286" i="52" s="1"/>
  <c r="AI287" i="52" s="1"/>
  <c r="HZ40" i="52" s="1"/>
  <c r="AI288" i="52" s="1"/>
  <c r="AL274" i="52" a="1"/>
  <c r="AL274" i="52" s="1"/>
  <c r="AL275" i="52" s="1"/>
  <c r="HV43" i="52" s="1"/>
  <c r="HW43" i="52" s="1"/>
  <c r="HO39" i="52"/>
  <c r="HP39" i="52"/>
  <c r="AI250" i="52" a="1"/>
  <c r="AI250" i="52" s="1"/>
  <c r="AI251" i="52" s="1"/>
  <c r="HN40" i="52" s="1"/>
  <c r="HO40" i="52" s="1"/>
  <c r="AH252" i="52"/>
  <c r="AI264" i="52"/>
  <c r="HS40" i="52"/>
  <c r="IF40" i="52"/>
  <c r="HT40" i="52"/>
  <c r="AJ263" i="52"/>
  <c r="HR41" i="52" s="1"/>
  <c r="AK262" i="52" a="1"/>
  <c r="AK262" i="52" s="1"/>
  <c r="AF254" i="52" l="1"/>
  <c r="AH268" i="52"/>
  <c r="AJ279" i="52"/>
  <c r="AJ306" i="53" s="1"/>
  <c r="AG270" i="52"/>
  <c r="AH306" i="53"/>
  <c r="AG305" i="53"/>
  <c r="AJ314" i="52"/>
  <c r="AH269" i="52"/>
  <c r="AH267" i="52"/>
  <c r="AH301" i="52" s="1"/>
  <c r="AH309" i="52" s="1"/>
  <c r="AF255" i="52"/>
  <c r="AF300" i="52" s="1"/>
  <c r="AF308" i="52" s="1"/>
  <c r="AJ280" i="52"/>
  <c r="AJ282" i="52" s="1"/>
  <c r="AF257" i="52"/>
  <c r="AF256" i="52"/>
  <c r="AJ278" i="52"/>
  <c r="AI289" i="52"/>
  <c r="AI292" i="52" s="1"/>
  <c r="AI285" i="53"/>
  <c r="HY40" i="53"/>
  <c r="AH289" i="52"/>
  <c r="AH293" i="52" s="1"/>
  <c r="AH285" i="53"/>
  <c r="HY39" i="53"/>
  <c r="AG315" i="52"/>
  <c r="AG290" i="52"/>
  <c r="AG293" i="52"/>
  <c r="AH253" i="52"/>
  <c r="AH312" i="52" s="1"/>
  <c r="AH249" i="53"/>
  <c r="HM39" i="53"/>
  <c r="AG291" i="52"/>
  <c r="AG255" i="52"/>
  <c r="AG257" i="52"/>
  <c r="AG254" i="52"/>
  <c r="AG256" i="52"/>
  <c r="AG312" i="52"/>
  <c r="AI265" i="52"/>
  <c r="AI313" i="52" s="1"/>
  <c r="AI261" i="53"/>
  <c r="HQ40" i="53"/>
  <c r="AH266" i="52"/>
  <c r="AK277" i="52"/>
  <c r="AK273" i="53"/>
  <c r="HU42" i="53"/>
  <c r="AG292" i="52"/>
  <c r="IG43" i="52"/>
  <c r="HX43" i="52"/>
  <c r="IB40" i="52"/>
  <c r="AM274" i="52" a="1"/>
  <c r="AM274" i="52" s="1"/>
  <c r="AM275" i="52" s="1"/>
  <c r="HV44" i="52" s="1"/>
  <c r="HW44" i="52" s="1"/>
  <c r="IH40" i="52"/>
  <c r="IA40" i="52"/>
  <c r="AL276" i="52"/>
  <c r="AJ286" i="52" a="1"/>
  <c r="AJ286" i="52" s="1"/>
  <c r="AJ287" i="52" s="1"/>
  <c r="HZ41" i="52" s="1"/>
  <c r="IB41" i="52" s="1"/>
  <c r="IE40" i="52"/>
  <c r="HP40" i="52"/>
  <c r="AJ250" i="52" a="1"/>
  <c r="AJ250" i="52" s="1"/>
  <c r="AJ251" i="52" s="1"/>
  <c r="HN41" i="52" s="1"/>
  <c r="IE41" i="52" s="1"/>
  <c r="AI252" i="52"/>
  <c r="AK263" i="52"/>
  <c r="HR42" i="52" s="1"/>
  <c r="AL262" i="52" a="1"/>
  <c r="AL262" i="52" s="1"/>
  <c r="AI290" i="52"/>
  <c r="AI291" i="52"/>
  <c r="AJ264" i="52"/>
  <c r="HS41" i="52"/>
  <c r="HT41" i="52"/>
  <c r="IF41" i="52"/>
  <c r="AI266" i="52" l="1"/>
  <c r="AJ302" i="52"/>
  <c r="AJ310" i="52" s="1"/>
  <c r="AI315" i="52"/>
  <c r="AH292" i="52"/>
  <c r="AH294" i="52" s="1"/>
  <c r="AF258" i="52"/>
  <c r="AH270" i="52"/>
  <c r="AI293" i="52"/>
  <c r="AI294" i="52" s="1"/>
  <c r="AI268" i="52"/>
  <c r="AI269" i="52"/>
  <c r="AI267" i="52"/>
  <c r="AI301" i="52" s="1"/>
  <c r="AI309" i="52" s="1"/>
  <c r="AG294" i="52"/>
  <c r="AH305" i="53"/>
  <c r="AH257" i="52"/>
  <c r="AH291" i="52"/>
  <c r="AH303" i="52" s="1"/>
  <c r="AH311" i="52" s="1"/>
  <c r="AF304" i="53"/>
  <c r="AG258" i="52"/>
  <c r="AJ265" i="52"/>
  <c r="AJ267" i="52" s="1"/>
  <c r="AJ261" i="53"/>
  <c r="HQ41" i="53"/>
  <c r="AG300" i="52"/>
  <c r="AG308" i="52" s="1"/>
  <c r="AG304" i="53"/>
  <c r="AG303" i="52"/>
  <c r="AG311" i="52" s="1"/>
  <c r="AG307" i="53"/>
  <c r="AI303" i="52"/>
  <c r="AI311" i="52" s="1"/>
  <c r="AI307" i="53"/>
  <c r="AL277" i="52"/>
  <c r="AL281" i="52" s="1"/>
  <c r="AL273" i="53"/>
  <c r="HU43" i="53"/>
  <c r="AH254" i="52"/>
  <c r="AH256" i="52"/>
  <c r="AH255" i="52"/>
  <c r="AH290" i="52"/>
  <c r="AH315" i="52"/>
  <c r="AI253" i="52"/>
  <c r="AI254" i="52" s="1"/>
  <c r="AI249" i="53"/>
  <c r="HM40" i="53"/>
  <c r="AK314" i="52"/>
  <c r="AK281" i="52"/>
  <c r="AK280" i="52"/>
  <c r="AK279" i="52"/>
  <c r="AK278" i="52"/>
  <c r="IH41" i="52"/>
  <c r="AN274" i="52" a="1"/>
  <c r="AN274" i="52" s="1"/>
  <c r="AO274" i="52" s="1" a="1"/>
  <c r="AO274" i="52" s="1"/>
  <c r="AO275" i="52" s="1"/>
  <c r="AJ288" i="52"/>
  <c r="HX44" i="52"/>
  <c r="IG44" i="52"/>
  <c r="AM276" i="52"/>
  <c r="IA41" i="52"/>
  <c r="AK286" i="52" a="1"/>
  <c r="AK286" i="52" s="1"/>
  <c r="AK287" i="52" s="1"/>
  <c r="HZ42" i="52" s="1"/>
  <c r="IA42" i="52" s="1"/>
  <c r="HO41" i="52"/>
  <c r="AK250" i="52" a="1"/>
  <c r="AK250" i="52" s="1"/>
  <c r="AK251" i="52" s="1"/>
  <c r="HN42" i="52" s="1"/>
  <c r="AK252" i="52" s="1"/>
  <c r="AJ252" i="52"/>
  <c r="HP41" i="52"/>
  <c r="AL263" i="52"/>
  <c r="HR43" i="52" s="1"/>
  <c r="AM262" i="52" a="1"/>
  <c r="AM262" i="52" s="1"/>
  <c r="AK264" i="52"/>
  <c r="HS42" i="52"/>
  <c r="HT42" i="52"/>
  <c r="IF42" i="52"/>
  <c r="AI270" i="52" l="1"/>
  <c r="AL314" i="52"/>
  <c r="AH258" i="52"/>
  <c r="AI305" i="53"/>
  <c r="AJ268" i="52"/>
  <c r="AJ313" i="52"/>
  <c r="AJ269" i="52"/>
  <c r="AJ266" i="52"/>
  <c r="AH307" i="53"/>
  <c r="AI255" i="52"/>
  <c r="AI300" i="52" s="1"/>
  <c r="AI308" i="52" s="1"/>
  <c r="AL280" i="52"/>
  <c r="AL282" i="52" s="1"/>
  <c r="AI256" i="52"/>
  <c r="AL278" i="52"/>
  <c r="AL279" i="52"/>
  <c r="AL306" i="53" s="1"/>
  <c r="AK282" i="52"/>
  <c r="AK253" i="52"/>
  <c r="AK257" i="52" s="1"/>
  <c r="AK249" i="53"/>
  <c r="HM42" i="53"/>
  <c r="AJ253" i="52"/>
  <c r="AJ312" i="52" s="1"/>
  <c r="AJ249" i="53"/>
  <c r="HM41" i="53"/>
  <c r="AJ301" i="52"/>
  <c r="AJ309" i="52" s="1"/>
  <c r="AJ305" i="53"/>
  <c r="AI257" i="52"/>
  <c r="AI312" i="52"/>
  <c r="AK265" i="52"/>
  <c r="AK268" i="52" s="1"/>
  <c r="AK261" i="53"/>
  <c r="HQ42" i="53"/>
  <c r="AM277" i="52"/>
  <c r="AM279" i="52" s="1"/>
  <c r="AM273" i="53"/>
  <c r="HU44" i="53"/>
  <c r="AJ289" i="52"/>
  <c r="AJ293" i="52" s="1"/>
  <c r="AJ285" i="53"/>
  <c r="HY41" i="53"/>
  <c r="AK302" i="52"/>
  <c r="AK310" i="52" s="1"/>
  <c r="AK306" i="53"/>
  <c r="AH300" i="52"/>
  <c r="AH308" i="52" s="1"/>
  <c r="AH304" i="53"/>
  <c r="IB42" i="52"/>
  <c r="AN275" i="52"/>
  <c r="HV45" i="52" s="1"/>
  <c r="HV46" i="52" s="1"/>
  <c r="AP274" i="52" a="1"/>
  <c r="AP274" i="52" s="1"/>
  <c r="AP275" i="52" s="1"/>
  <c r="AK288" i="52"/>
  <c r="IH42" i="52"/>
  <c r="AL286" i="52" a="1"/>
  <c r="AL286" i="52" s="1"/>
  <c r="AL287" i="52" s="1"/>
  <c r="HZ43" i="52" s="1"/>
  <c r="AL288" i="52" s="1"/>
  <c r="AL250" i="52" a="1"/>
  <c r="AL250" i="52" s="1"/>
  <c r="AL251" i="52" s="1"/>
  <c r="HN43" i="52" s="1"/>
  <c r="AL252" i="52" s="1"/>
  <c r="HO42" i="52"/>
  <c r="IE42" i="52"/>
  <c r="HP42" i="52"/>
  <c r="AK312" i="52"/>
  <c r="AM263" i="52"/>
  <c r="HR44" i="52" s="1"/>
  <c r="AN262" i="52" a="1"/>
  <c r="AN262" i="52" s="1"/>
  <c r="AK313" i="52"/>
  <c r="AK266" i="52"/>
  <c r="AL264" i="52"/>
  <c r="HS43" i="52"/>
  <c r="IF43" i="52"/>
  <c r="HT43" i="52"/>
  <c r="AI258" i="52" l="1"/>
  <c r="AK255" i="52"/>
  <c r="AK300" i="52" s="1"/>
  <c r="AK308" i="52" s="1"/>
  <c r="AK256" i="52"/>
  <c r="AK258" i="52" s="1"/>
  <c r="AK254" i="52"/>
  <c r="AK269" i="52"/>
  <c r="AK270" i="52" s="1"/>
  <c r="AK267" i="52"/>
  <c r="AK301" i="52" s="1"/>
  <c r="AK309" i="52" s="1"/>
  <c r="AL302" i="52"/>
  <c r="AL310" i="52" s="1"/>
  <c r="AJ270" i="52"/>
  <c r="AJ257" i="52"/>
  <c r="AI304" i="53"/>
  <c r="AJ255" i="52"/>
  <c r="AJ304" i="53" s="1"/>
  <c r="AJ256" i="52"/>
  <c r="AJ254" i="52"/>
  <c r="AO276" i="52"/>
  <c r="IG46" i="52"/>
  <c r="AM302" i="52"/>
  <c r="AM310" i="52" s="1"/>
  <c r="AM306" i="53"/>
  <c r="AK289" i="52"/>
  <c r="AK285" i="53"/>
  <c r="HY42" i="53"/>
  <c r="AJ290" i="52"/>
  <c r="AJ315" i="52"/>
  <c r="AJ292" i="52"/>
  <c r="AJ294" i="52" s="1"/>
  <c r="AJ291" i="52"/>
  <c r="AL265" i="52"/>
  <c r="AL269" i="52" s="1"/>
  <c r="AL261" i="53"/>
  <c r="HQ43" i="53"/>
  <c r="HV47" i="52"/>
  <c r="AP276" i="52" s="1"/>
  <c r="AM280" i="52"/>
  <c r="AM278" i="52"/>
  <c r="AM314" i="52"/>
  <c r="AM281" i="52"/>
  <c r="AL253" i="52"/>
  <c r="AL255" i="52" s="1"/>
  <c r="AL249" i="53"/>
  <c r="HM43" i="53"/>
  <c r="AL289" i="52"/>
  <c r="AL293" i="52" s="1"/>
  <c r="AL285" i="53"/>
  <c r="HY43" i="53"/>
  <c r="HW46" i="52"/>
  <c r="AM286" i="52" a="1"/>
  <c r="AM286" i="52" s="1"/>
  <c r="AM287" i="52" s="1"/>
  <c r="HZ44" i="52" s="1"/>
  <c r="IB44" i="52" s="1"/>
  <c r="AQ274" i="52" a="1"/>
  <c r="AQ274" i="52" s="1"/>
  <c r="AR274" i="52" s="1" a="1"/>
  <c r="AR274" i="52" s="1"/>
  <c r="HX46" i="52"/>
  <c r="IH43" i="52"/>
  <c r="IB43" i="52"/>
  <c r="AN276" i="52"/>
  <c r="HX45" i="52"/>
  <c r="IG45" i="52"/>
  <c r="HW45" i="52"/>
  <c r="IA43" i="52"/>
  <c r="AM250" i="52" a="1"/>
  <c r="AM250" i="52" s="1"/>
  <c r="AM251" i="52" s="1"/>
  <c r="HN44" i="52" s="1"/>
  <c r="AM252" i="52" s="1"/>
  <c r="HO43" i="52"/>
  <c r="HP43" i="52"/>
  <c r="IE43" i="52"/>
  <c r="AM264" i="52"/>
  <c r="HS44" i="52"/>
  <c r="IF44" i="52"/>
  <c r="HT44" i="52"/>
  <c r="AN263" i="52"/>
  <c r="HR45" i="52" s="1"/>
  <c r="AO262" i="52" a="1"/>
  <c r="AO262" i="52" s="1"/>
  <c r="AK304" i="53" l="1"/>
  <c r="AL268" i="52"/>
  <c r="AL270" i="52" s="1"/>
  <c r="AJ258" i="52"/>
  <c r="AL257" i="52"/>
  <c r="AL256" i="52"/>
  <c r="AL267" i="52"/>
  <c r="AL305" i="53" s="1"/>
  <c r="AK305" i="53"/>
  <c r="AL291" i="52"/>
  <c r="AL303" i="52" s="1"/>
  <c r="AL311" i="52" s="1"/>
  <c r="AL313" i="52"/>
  <c r="AL266" i="52"/>
  <c r="AL312" i="52"/>
  <c r="AL254" i="52"/>
  <c r="AJ300" i="52"/>
  <c r="AJ308" i="52" s="1"/>
  <c r="HX47" i="52"/>
  <c r="AL292" i="52"/>
  <c r="AL294" i="52" s="1"/>
  <c r="AL315" i="52"/>
  <c r="HW47" i="52"/>
  <c r="IG47" i="52"/>
  <c r="AL290" i="52"/>
  <c r="AP277" i="52"/>
  <c r="AP314" i="52" s="1"/>
  <c r="AP273" i="53"/>
  <c r="HU47" i="53"/>
  <c r="AN277" i="52"/>
  <c r="AN281" i="52" s="1"/>
  <c r="AN273" i="53"/>
  <c r="HU45" i="53"/>
  <c r="AJ303" i="52"/>
  <c r="AJ311" i="52" s="1"/>
  <c r="AJ307" i="53"/>
  <c r="AM265" i="52"/>
  <c r="AM266" i="52" s="1"/>
  <c r="AM261" i="53"/>
  <c r="HQ44" i="53"/>
  <c r="AM253" i="52"/>
  <c r="AM255" i="52" s="1"/>
  <c r="AM249" i="53"/>
  <c r="HM44" i="53"/>
  <c r="AM282" i="52"/>
  <c r="AL300" i="52"/>
  <c r="AL308" i="52" s="1"/>
  <c r="AL304" i="53"/>
  <c r="AK290" i="52"/>
  <c r="AK292" i="52"/>
  <c r="AK291" i="52"/>
  <c r="AK315" i="52"/>
  <c r="AK293" i="52"/>
  <c r="AO277" i="52"/>
  <c r="AO273" i="53"/>
  <c r="HU46" i="53"/>
  <c r="IH44" i="52"/>
  <c r="IA44" i="52"/>
  <c r="AM288" i="52"/>
  <c r="AQ275" i="52"/>
  <c r="HV48" i="52" s="1"/>
  <c r="AQ276" i="52" s="1"/>
  <c r="AN286" i="52" a="1"/>
  <c r="AN286" i="52" s="1"/>
  <c r="AN287" i="52" s="1"/>
  <c r="HZ45" i="52" s="1"/>
  <c r="IA45" i="52" s="1"/>
  <c r="HO44" i="52"/>
  <c r="HP44" i="52"/>
  <c r="IE44" i="52"/>
  <c r="AN250" i="52" a="1"/>
  <c r="AN250" i="52" s="1"/>
  <c r="AN251" i="52" s="1"/>
  <c r="HN45" i="52" s="1"/>
  <c r="AN252" i="52" s="1"/>
  <c r="AO263" i="52"/>
  <c r="HR46" i="52" s="1"/>
  <c r="AP262" i="52" a="1"/>
  <c r="AP262" i="52" s="1"/>
  <c r="AR275" i="52"/>
  <c r="AS274" i="52" a="1"/>
  <c r="AS274" i="52" s="1"/>
  <c r="AN264" i="52"/>
  <c r="HS45" i="52"/>
  <c r="HT45" i="52"/>
  <c r="IF45" i="52"/>
  <c r="AL307" i="53" l="1"/>
  <c r="AM312" i="52"/>
  <c r="AL301" i="52"/>
  <c r="AL309" i="52" s="1"/>
  <c r="AP280" i="52"/>
  <c r="AL258" i="52"/>
  <c r="AM269" i="52"/>
  <c r="AM313" i="52"/>
  <c r="AN314" i="52"/>
  <c r="AM254" i="52"/>
  <c r="AM256" i="52"/>
  <c r="AN279" i="52"/>
  <c r="AN302" i="52" s="1"/>
  <c r="AN310" i="52" s="1"/>
  <c r="AN278" i="52"/>
  <c r="AM268" i="52"/>
  <c r="AP278" i="52"/>
  <c r="AM267" i="52"/>
  <c r="AM301" i="52" s="1"/>
  <c r="AM309" i="52" s="1"/>
  <c r="AP279" i="52"/>
  <c r="AP306" i="53" s="1"/>
  <c r="HW48" i="52"/>
  <c r="AN280" i="52"/>
  <c r="AN282" i="52" s="1"/>
  <c r="AK294" i="52"/>
  <c r="AP281" i="52"/>
  <c r="AM257" i="52"/>
  <c r="AK303" i="52"/>
  <c r="AK311" i="52" s="1"/>
  <c r="AK307" i="53"/>
  <c r="AQ277" i="52"/>
  <c r="AQ281" i="52" s="1"/>
  <c r="AQ273" i="53"/>
  <c r="HU48" i="53"/>
  <c r="AN253" i="52"/>
  <c r="AN255" i="52" s="1"/>
  <c r="AN249" i="53"/>
  <c r="HM45" i="53"/>
  <c r="AO280" i="52"/>
  <c r="AO314" i="52"/>
  <c r="AO279" i="52"/>
  <c r="AO278" i="52"/>
  <c r="AO281" i="52"/>
  <c r="AM300" i="52"/>
  <c r="AM308" i="52" s="1"/>
  <c r="AM304" i="53"/>
  <c r="AN265" i="52"/>
  <c r="AN269" i="52" s="1"/>
  <c r="AN261" i="53"/>
  <c r="HQ45" i="53"/>
  <c r="AM289" i="52"/>
  <c r="AM285" i="53"/>
  <c r="HY44" i="53"/>
  <c r="IH45" i="52"/>
  <c r="HV49" i="52"/>
  <c r="HX49" i="52" s="1"/>
  <c r="AN288" i="52"/>
  <c r="HX48" i="52"/>
  <c r="IG48" i="52"/>
  <c r="IB45" i="52"/>
  <c r="AO286" i="52" a="1"/>
  <c r="AO286" i="52" s="1"/>
  <c r="AO287" i="52" s="1"/>
  <c r="HZ46" i="52" s="1"/>
  <c r="AO288" i="52" s="1"/>
  <c r="HO45" i="52"/>
  <c r="HP45" i="52"/>
  <c r="IE45" i="52"/>
  <c r="AO250" i="52" a="1"/>
  <c r="AO250" i="52" s="1"/>
  <c r="AO251" i="52" s="1"/>
  <c r="HN46" i="52" s="1"/>
  <c r="AO252" i="52" s="1"/>
  <c r="AS275" i="52"/>
  <c r="AT274" i="52" a="1"/>
  <c r="AT274" i="52" s="1"/>
  <c r="AP263" i="52"/>
  <c r="HR47" i="52" s="1"/>
  <c r="AQ262" i="52" a="1"/>
  <c r="AQ262" i="52" s="1"/>
  <c r="AO264" i="52"/>
  <c r="HS46" i="52"/>
  <c r="HT46" i="52"/>
  <c r="IF46" i="52"/>
  <c r="AN306" i="53" l="1"/>
  <c r="AN257" i="52"/>
  <c r="AQ314" i="52"/>
  <c r="AP302" i="52"/>
  <c r="AP310" i="52" s="1"/>
  <c r="AQ279" i="52"/>
  <c r="AQ302" i="52" s="1"/>
  <c r="AQ310" i="52" s="1"/>
  <c r="AQ280" i="52"/>
  <c r="AQ282" i="52" s="1"/>
  <c r="AQ278" i="52"/>
  <c r="AP282" i="52"/>
  <c r="AN312" i="52"/>
  <c r="AN256" i="52"/>
  <c r="AN254" i="52"/>
  <c r="AM270" i="52"/>
  <c r="AN267" i="52"/>
  <c r="AN305" i="53" s="1"/>
  <c r="AN268" i="52"/>
  <c r="AN270" i="52" s="1"/>
  <c r="AM258" i="52"/>
  <c r="AN313" i="52"/>
  <c r="AM305" i="53"/>
  <c r="AN266" i="52"/>
  <c r="HV50" i="52"/>
  <c r="AS276" i="52" s="1"/>
  <c r="AO253" i="52"/>
  <c r="AO312" i="52" s="1"/>
  <c r="AO249" i="53"/>
  <c r="HM46" i="53"/>
  <c r="AN289" i="52"/>
  <c r="AN285" i="53"/>
  <c r="HY45" i="53"/>
  <c r="AO302" i="52"/>
  <c r="AO310" i="52" s="1"/>
  <c r="AO306" i="53"/>
  <c r="AN300" i="52"/>
  <c r="AN308" i="52" s="1"/>
  <c r="AN304" i="53"/>
  <c r="AO265" i="52"/>
  <c r="AO313" i="52" s="1"/>
  <c r="AO261" i="53"/>
  <c r="HQ46" i="53"/>
  <c r="AO282" i="52"/>
  <c r="HW49" i="52"/>
  <c r="AO289" i="52"/>
  <c r="AO290" i="52" s="1"/>
  <c r="AO285" i="53"/>
  <c r="HY46" i="53"/>
  <c r="AM293" i="52"/>
  <c r="AM292" i="52"/>
  <c r="AM315" i="52"/>
  <c r="AM290" i="52"/>
  <c r="AM291" i="52"/>
  <c r="IG49" i="52"/>
  <c r="AR276" i="52"/>
  <c r="IB46" i="52"/>
  <c r="IH46" i="52"/>
  <c r="IA46" i="52"/>
  <c r="AP286" i="52" a="1"/>
  <c r="AP286" i="52" s="1"/>
  <c r="AP287" i="52" s="1"/>
  <c r="HZ47" i="52" s="1"/>
  <c r="IB47" i="52" s="1"/>
  <c r="AP250" i="52" a="1"/>
  <c r="AP250" i="52" s="1"/>
  <c r="AP251" i="52" s="1"/>
  <c r="HN47" i="52" s="1"/>
  <c r="AP252" i="52" s="1"/>
  <c r="HO46" i="52"/>
  <c r="IE46" i="52"/>
  <c r="HP46" i="52"/>
  <c r="AP264" i="52"/>
  <c r="HS47" i="52"/>
  <c r="IF47" i="52"/>
  <c r="HT47" i="52"/>
  <c r="AT275" i="52"/>
  <c r="AU274" i="52" a="1"/>
  <c r="AU274" i="52" s="1"/>
  <c r="AQ263" i="52"/>
  <c r="HR48" i="52" s="1"/>
  <c r="AR262" i="52" a="1"/>
  <c r="AR262" i="52" s="1"/>
  <c r="AN258" i="52" l="1"/>
  <c r="AO267" i="52"/>
  <c r="AO305" i="53" s="1"/>
  <c r="AO266" i="52"/>
  <c r="AQ306" i="53"/>
  <c r="AO315" i="52"/>
  <c r="AN301" i="52"/>
  <c r="AN309" i="52" s="1"/>
  <c r="AO255" i="52"/>
  <c r="AO300" i="52" s="1"/>
  <c r="AO308" i="52" s="1"/>
  <c r="AO257" i="52"/>
  <c r="AO268" i="52"/>
  <c r="AO269" i="52"/>
  <c r="HW50" i="52"/>
  <c r="HV51" i="52"/>
  <c r="HX51" i="52" s="1"/>
  <c r="IG50" i="52"/>
  <c r="HX50" i="52"/>
  <c r="AO291" i="52"/>
  <c r="AO303" i="52" s="1"/>
  <c r="AO311" i="52" s="1"/>
  <c r="AO292" i="52"/>
  <c r="AO293" i="52"/>
  <c r="AM294" i="52"/>
  <c r="AO254" i="52"/>
  <c r="AO256" i="52"/>
  <c r="AP265" i="52"/>
  <c r="AP269" i="52" s="1"/>
  <c r="AP261" i="53"/>
  <c r="HQ47" i="53"/>
  <c r="AR277" i="52"/>
  <c r="AR273" i="53"/>
  <c r="HU49" i="53"/>
  <c r="AS277" i="52"/>
  <c r="AS280" i="52" s="1"/>
  <c r="AS273" i="53"/>
  <c r="HU50" i="53"/>
  <c r="AN290" i="52"/>
  <c r="AN292" i="52"/>
  <c r="AN291" i="52"/>
  <c r="AN293" i="52"/>
  <c r="AN315" i="52"/>
  <c r="AP253" i="52"/>
  <c r="AP256" i="52" s="1"/>
  <c r="AP249" i="53"/>
  <c r="HM47" i="53"/>
  <c r="AM303" i="52"/>
  <c r="AM311" i="52" s="1"/>
  <c r="AM307" i="53"/>
  <c r="IH47" i="52"/>
  <c r="IA47" i="52"/>
  <c r="AP288" i="52"/>
  <c r="AQ286" i="52" a="1"/>
  <c r="AQ286" i="52" s="1"/>
  <c r="AQ287" i="52" s="1"/>
  <c r="HZ48" i="52" s="1"/>
  <c r="IA48" i="52" s="1"/>
  <c r="HP47" i="52"/>
  <c r="IE47" i="52"/>
  <c r="HO47" i="52"/>
  <c r="AQ250" i="52" a="1"/>
  <c r="AQ250" i="52" s="1"/>
  <c r="AQ251" i="52" s="1"/>
  <c r="HN48" i="52" s="1"/>
  <c r="AQ252" i="52" s="1"/>
  <c r="AU275" i="52"/>
  <c r="AV274" i="52" a="1"/>
  <c r="AV274" i="52" s="1"/>
  <c r="AR263" i="52"/>
  <c r="HR49" i="52" s="1"/>
  <c r="AS262" i="52" a="1"/>
  <c r="AS262" i="52" s="1"/>
  <c r="AQ264" i="52"/>
  <c r="HS48" i="52"/>
  <c r="IF48" i="52"/>
  <c r="HT48" i="52"/>
  <c r="AO301" i="52" l="1"/>
  <c r="AO309" i="52" s="1"/>
  <c r="AT276" i="52"/>
  <c r="AT277" i="52" s="1"/>
  <c r="AT280" i="52" s="1"/>
  <c r="AO270" i="52"/>
  <c r="AO258" i="52"/>
  <c r="AP268" i="52"/>
  <c r="AP270" i="52" s="1"/>
  <c r="AO304" i="53"/>
  <c r="AP257" i="52"/>
  <c r="AP258" i="52" s="1"/>
  <c r="AP255" i="52"/>
  <c r="AP304" i="53" s="1"/>
  <c r="AP266" i="52"/>
  <c r="AP267" i="52"/>
  <c r="AP305" i="53" s="1"/>
  <c r="AP313" i="52"/>
  <c r="HV52" i="52"/>
  <c r="AU276" i="52" s="1"/>
  <c r="HW51" i="52"/>
  <c r="IG51" i="52"/>
  <c r="AS278" i="52"/>
  <c r="AS279" i="52"/>
  <c r="AS302" i="52" s="1"/>
  <c r="AS310" i="52" s="1"/>
  <c r="AO294" i="52"/>
  <c r="AP254" i="52"/>
  <c r="AS281" i="52"/>
  <c r="AS282" i="52" s="1"/>
  <c r="AP312" i="52"/>
  <c r="AS314" i="52"/>
  <c r="AO307" i="53"/>
  <c r="AR314" i="52"/>
  <c r="AR280" i="52"/>
  <c r="AR278" i="52"/>
  <c r="AR279" i="52"/>
  <c r="AR281" i="52"/>
  <c r="AQ265" i="52"/>
  <c r="AQ266" i="52" s="1"/>
  <c r="AQ261" i="53"/>
  <c r="HQ48" i="53"/>
  <c r="AP289" i="52"/>
  <c r="AP285" i="53"/>
  <c r="HY47" i="53"/>
  <c r="AQ253" i="52"/>
  <c r="AQ254" i="52" s="1"/>
  <c r="AQ249" i="53"/>
  <c r="HM48" i="53"/>
  <c r="AN303" i="52"/>
  <c r="AN311" i="52" s="1"/>
  <c r="AN307" i="53"/>
  <c r="AN294" i="52"/>
  <c r="AR286" i="52" a="1"/>
  <c r="AR286" i="52" s="1"/>
  <c r="AR287" i="52" s="1"/>
  <c r="HZ49" i="52" s="1"/>
  <c r="IB49" i="52" s="1"/>
  <c r="IB48" i="52"/>
  <c r="AQ288" i="52"/>
  <c r="IH48" i="52"/>
  <c r="HP48" i="52"/>
  <c r="HO48" i="52"/>
  <c r="IE48" i="52"/>
  <c r="AR250" i="52" a="1"/>
  <c r="AR250" i="52" s="1"/>
  <c r="AR251" i="52" s="1"/>
  <c r="HN49" i="52" s="1"/>
  <c r="IE49" i="52" s="1"/>
  <c r="AS263" i="52"/>
  <c r="HR50" i="52" s="1"/>
  <c r="AT262" i="52" a="1"/>
  <c r="AT262" i="52" s="1"/>
  <c r="AR264" i="52"/>
  <c r="HS49" i="52"/>
  <c r="HT49" i="52"/>
  <c r="IF49" i="52"/>
  <c r="AV275" i="52"/>
  <c r="AW274" i="52" a="1"/>
  <c r="AW274" i="52" s="1"/>
  <c r="AP301" i="52" l="1"/>
  <c r="AP309" i="52" s="1"/>
  <c r="AT273" i="53"/>
  <c r="HU51" i="53"/>
  <c r="HV53" i="52"/>
  <c r="AV276" i="52" s="1"/>
  <c r="AT281" i="52"/>
  <c r="AT282" i="52" s="1"/>
  <c r="AT314" i="52"/>
  <c r="AT278" i="52"/>
  <c r="AT279" i="52"/>
  <c r="AT302" i="52" s="1"/>
  <c r="AT310" i="52" s="1"/>
  <c r="AP300" i="52"/>
  <c r="AP308" i="52" s="1"/>
  <c r="AS306" i="53"/>
  <c r="AQ257" i="52"/>
  <c r="AQ255" i="52"/>
  <c r="AQ300" i="52" s="1"/>
  <c r="AQ308" i="52" s="1"/>
  <c r="HW52" i="52"/>
  <c r="HX52" i="52"/>
  <c r="AQ256" i="52"/>
  <c r="IG52" i="52"/>
  <c r="AQ312" i="52"/>
  <c r="AQ268" i="52"/>
  <c r="AQ267" i="52"/>
  <c r="AQ301" i="52" s="1"/>
  <c r="AQ309" i="52" s="1"/>
  <c r="AP315" i="52"/>
  <c r="AP293" i="52"/>
  <c r="AP292" i="52"/>
  <c r="AP290" i="52"/>
  <c r="AR265" i="52"/>
  <c r="AR313" i="52" s="1"/>
  <c r="AR261" i="53"/>
  <c r="HQ49" i="53"/>
  <c r="AQ313" i="52"/>
  <c r="AU277" i="52"/>
  <c r="AU314" i="52" s="1"/>
  <c r="AU273" i="53"/>
  <c r="HU52" i="53"/>
  <c r="AQ289" i="52"/>
  <c r="AQ285" i="53"/>
  <c r="HY48" i="53"/>
  <c r="AR302" i="52"/>
  <c r="AR310" i="52" s="1"/>
  <c r="AR306" i="53"/>
  <c r="AP291" i="52"/>
  <c r="AR282" i="52"/>
  <c r="AQ269" i="52"/>
  <c r="IH49" i="52"/>
  <c r="AR288" i="52"/>
  <c r="AS286" i="52" a="1"/>
  <c r="AS286" i="52" s="1"/>
  <c r="AS287" i="52" s="1"/>
  <c r="HZ50" i="52" s="1"/>
  <c r="IH50" i="52" s="1"/>
  <c r="IA49" i="52"/>
  <c r="AR252" i="52"/>
  <c r="AS250" i="52" a="1"/>
  <c r="AS250" i="52" s="1"/>
  <c r="AS251" i="52" s="1"/>
  <c r="HN50" i="52" s="1"/>
  <c r="AS252" i="52" s="1"/>
  <c r="HO49" i="52"/>
  <c r="HP49" i="52"/>
  <c r="AT263" i="52"/>
  <c r="HR51" i="52" s="1"/>
  <c r="AU262" i="52" a="1"/>
  <c r="AU262" i="52" s="1"/>
  <c r="AS264" i="52"/>
  <c r="HS50" i="52"/>
  <c r="HT50" i="52"/>
  <c r="IF50" i="52"/>
  <c r="AW275" i="52"/>
  <c r="AX274" i="52" a="1"/>
  <c r="AX274" i="52" s="1"/>
  <c r="IG53" i="52" l="1"/>
  <c r="HX53" i="52"/>
  <c r="HV54" i="52"/>
  <c r="HX54" i="52" s="1"/>
  <c r="HW53" i="52"/>
  <c r="AT306" i="53"/>
  <c r="AR268" i="52"/>
  <c r="AR267" i="52"/>
  <c r="AR301" i="52" s="1"/>
  <c r="AR309" i="52" s="1"/>
  <c r="AQ270" i="52"/>
  <c r="AR269" i="52"/>
  <c r="AU281" i="52"/>
  <c r="AU278" i="52"/>
  <c r="AU279" i="52"/>
  <c r="AU306" i="53" s="1"/>
  <c r="AQ258" i="52"/>
  <c r="AQ304" i="53"/>
  <c r="AR266" i="52"/>
  <c r="AQ305" i="53"/>
  <c r="AU280" i="52"/>
  <c r="AP294" i="52"/>
  <c r="AS253" i="52"/>
  <c r="AS256" i="52" s="1"/>
  <c r="HM50" i="53"/>
  <c r="AS249" i="53"/>
  <c r="AQ315" i="52"/>
  <c r="AQ293" i="52"/>
  <c r="AQ292" i="52"/>
  <c r="AQ290" i="52"/>
  <c r="AQ291" i="52"/>
  <c r="AR253" i="52"/>
  <c r="AR255" i="52" s="1"/>
  <c r="AR249" i="53"/>
  <c r="HM49" i="53"/>
  <c r="AP303" i="52"/>
  <c r="AP311" i="52" s="1"/>
  <c r="AP307" i="53"/>
  <c r="AR289" i="52"/>
  <c r="AR285" i="53"/>
  <c r="HY49" i="53"/>
  <c r="AV277" i="52"/>
  <c r="AV281" i="52" s="1"/>
  <c r="AV273" i="53"/>
  <c r="HU53" i="53"/>
  <c r="AS265" i="52"/>
  <c r="AS267" i="52" s="1"/>
  <c r="AS261" i="53"/>
  <c r="HQ50" i="53"/>
  <c r="AT286" i="52" a="1"/>
  <c r="AT286" i="52" s="1"/>
  <c r="AT287" i="52" s="1"/>
  <c r="HZ51" i="52" s="1"/>
  <c r="AT288" i="52" s="1"/>
  <c r="IB50" i="52"/>
  <c r="IA50" i="52"/>
  <c r="AS288" i="52"/>
  <c r="AT250" i="52" a="1"/>
  <c r="AT250" i="52" s="1"/>
  <c r="AT251" i="52" s="1"/>
  <c r="HN51" i="52" s="1"/>
  <c r="HO51" i="52" s="1"/>
  <c r="IE50" i="52"/>
  <c r="HO50" i="52"/>
  <c r="HP50" i="52"/>
  <c r="AX275" i="52"/>
  <c r="AY274" i="52" a="1"/>
  <c r="AY274" i="52" s="1"/>
  <c r="AU263" i="52"/>
  <c r="HR52" i="52" s="1"/>
  <c r="AV262" i="52" a="1"/>
  <c r="AV262" i="52" s="1"/>
  <c r="AT264" i="52"/>
  <c r="HS51" i="52"/>
  <c r="IF51" i="52"/>
  <c r="HT51" i="52"/>
  <c r="AW276" i="52" l="1"/>
  <c r="AW277" i="52" s="1"/>
  <c r="AW314" i="52" s="1"/>
  <c r="HV55" i="52"/>
  <c r="HW55" i="52" s="1"/>
  <c r="HW54" i="52"/>
  <c r="IG54" i="52"/>
  <c r="AV278" i="52"/>
  <c r="AR305" i="53"/>
  <c r="AU302" i="52"/>
  <c r="AU310" i="52" s="1"/>
  <c r="AR270" i="52"/>
  <c r="AS257" i="52"/>
  <c r="AS258" i="52" s="1"/>
  <c r="AQ294" i="52"/>
  <c r="AU282" i="52"/>
  <c r="AS254" i="52"/>
  <c r="AS268" i="52"/>
  <c r="AS312" i="52"/>
  <c r="AS269" i="52"/>
  <c r="AS266" i="52"/>
  <c r="AV314" i="52"/>
  <c r="AR256" i="52"/>
  <c r="AR312" i="52"/>
  <c r="AS313" i="52"/>
  <c r="AV280" i="52"/>
  <c r="AV282" i="52" s="1"/>
  <c r="AV279" i="52"/>
  <c r="AV302" i="52" s="1"/>
  <c r="AV310" i="52" s="1"/>
  <c r="AR254" i="52"/>
  <c r="AS255" i="52"/>
  <c r="AS300" i="52" s="1"/>
  <c r="AS308" i="52" s="1"/>
  <c r="AR257" i="52"/>
  <c r="AS289" i="52"/>
  <c r="AS291" i="52" s="1"/>
  <c r="AS285" i="53"/>
  <c r="HY50" i="53"/>
  <c r="AQ303" i="52"/>
  <c r="AQ311" i="52" s="1"/>
  <c r="AQ307" i="53"/>
  <c r="AR292" i="52"/>
  <c r="AR291" i="52"/>
  <c r="AR315" i="52"/>
  <c r="AR290" i="52"/>
  <c r="AR293" i="52"/>
  <c r="AT289" i="52"/>
  <c r="AT290" i="52" s="1"/>
  <c r="AT285" i="53"/>
  <c r="HY51" i="53"/>
  <c r="AS301" i="52"/>
  <c r="AS309" i="52" s="1"/>
  <c r="AS305" i="53"/>
  <c r="AT265" i="52"/>
  <c r="AT266" i="52" s="1"/>
  <c r="AT261" i="53"/>
  <c r="HQ51" i="53"/>
  <c r="AR300" i="52"/>
  <c r="AR308" i="52" s="1"/>
  <c r="AR304" i="53"/>
  <c r="AU286" i="52" a="1"/>
  <c r="AU286" i="52" s="1"/>
  <c r="AU287" i="52" s="1"/>
  <c r="HZ52" i="52" s="1"/>
  <c r="IH52" i="52" s="1"/>
  <c r="IH51" i="52"/>
  <c r="IB51" i="52"/>
  <c r="IA51" i="52"/>
  <c r="HP51" i="52"/>
  <c r="IE51" i="52"/>
  <c r="AT252" i="52"/>
  <c r="AU250" i="52" a="1"/>
  <c r="AU250" i="52" s="1"/>
  <c r="AU251" i="52" s="1"/>
  <c r="HN52" i="52" s="1"/>
  <c r="HO52" i="52" s="1"/>
  <c r="AV263" i="52"/>
  <c r="HR53" i="52" s="1"/>
  <c r="AW262" i="52" a="1"/>
  <c r="AW262" i="52" s="1"/>
  <c r="AU264" i="52"/>
  <c r="HS52" i="52"/>
  <c r="IF52" i="52"/>
  <c r="HT52" i="52"/>
  <c r="AY275" i="52"/>
  <c r="AZ274" i="52" a="1"/>
  <c r="AZ274" i="52" s="1"/>
  <c r="HU54" i="53" l="1"/>
  <c r="AW273" i="53"/>
  <c r="HV56" i="52"/>
  <c r="AY276" i="52" s="1"/>
  <c r="AX276" i="52"/>
  <c r="AX277" i="52" s="1"/>
  <c r="AX281" i="52" s="1"/>
  <c r="IG55" i="52"/>
  <c r="HX55" i="52"/>
  <c r="AS270" i="52"/>
  <c r="AS304" i="53"/>
  <c r="AT291" i="52"/>
  <c r="AT307" i="53" s="1"/>
  <c r="AR258" i="52"/>
  <c r="AT292" i="52"/>
  <c r="AT269" i="52"/>
  <c r="AT313" i="52"/>
  <c r="AV306" i="53"/>
  <c r="AT267" i="52"/>
  <c r="AT301" i="52" s="1"/>
  <c r="AT309" i="52" s="1"/>
  <c r="AT268" i="52"/>
  <c r="AT293" i="52"/>
  <c r="AT315" i="52"/>
  <c r="AS293" i="52"/>
  <c r="AW280" i="52"/>
  <c r="AU265" i="52"/>
  <c r="AU313" i="52" s="1"/>
  <c r="AU261" i="53"/>
  <c r="HQ52" i="53"/>
  <c r="AS303" i="52"/>
  <c r="AS311" i="52" s="1"/>
  <c r="AS307" i="53"/>
  <c r="AW278" i="52"/>
  <c r="AW279" i="52"/>
  <c r="AR303" i="52"/>
  <c r="AR311" i="52" s="1"/>
  <c r="AR307" i="53"/>
  <c r="AW281" i="52"/>
  <c r="AT253" i="52"/>
  <c r="AT257" i="52" s="1"/>
  <c r="AT249" i="53"/>
  <c r="HM51" i="53"/>
  <c r="AR294" i="52"/>
  <c r="AS315" i="52"/>
  <c r="AS292" i="52"/>
  <c r="AS290" i="52"/>
  <c r="AV286" i="52" a="1"/>
  <c r="AV286" i="52" s="1"/>
  <c r="AV287" i="52" s="1"/>
  <c r="HZ53" i="52" s="1"/>
  <c r="IA53" i="52" s="1"/>
  <c r="IB52" i="52"/>
  <c r="AU288" i="52"/>
  <c r="IA52" i="52"/>
  <c r="AV250" i="52" a="1"/>
  <c r="AV250" i="52" s="1"/>
  <c r="AV251" i="52" s="1"/>
  <c r="HN53" i="52" s="1"/>
  <c r="AV252" i="52" s="1"/>
  <c r="HP52" i="52"/>
  <c r="IE52" i="52"/>
  <c r="AU252" i="52"/>
  <c r="AV264" i="52"/>
  <c r="HS53" i="52"/>
  <c r="HT53" i="52"/>
  <c r="IF53" i="52"/>
  <c r="AW263" i="52"/>
  <c r="HR54" i="52" s="1"/>
  <c r="AX262" i="52" a="1"/>
  <c r="AX262" i="52" s="1"/>
  <c r="AZ275" i="52"/>
  <c r="BA274" i="52" a="1"/>
  <c r="BA274" i="52" s="1"/>
  <c r="HX56" i="52" l="1"/>
  <c r="HV57" i="52"/>
  <c r="HX57" i="52" s="1"/>
  <c r="HU55" i="53"/>
  <c r="AX273" i="53"/>
  <c r="HW56" i="52"/>
  <c r="IG56" i="52"/>
  <c r="AX279" i="52"/>
  <c r="AX302" i="52" s="1"/>
  <c r="AX310" i="52" s="1"/>
  <c r="AT303" i="52"/>
  <c r="AT311" i="52" s="1"/>
  <c r="AU268" i="52"/>
  <c r="AU266" i="52"/>
  <c r="AT294" i="52"/>
  <c r="AS294" i="52"/>
  <c r="AX314" i="52"/>
  <c r="AU267" i="52"/>
  <c r="AU305" i="53" s="1"/>
  <c r="AX278" i="52"/>
  <c r="AU269" i="52"/>
  <c r="AX280" i="52"/>
  <c r="AX282" i="52" s="1"/>
  <c r="AT305" i="53"/>
  <c r="AT270" i="52"/>
  <c r="AW282" i="52"/>
  <c r="AT312" i="52"/>
  <c r="AT256" i="52"/>
  <c r="AT258" i="52" s="1"/>
  <c r="AT254" i="52"/>
  <c r="AU289" i="52"/>
  <c r="AU315" i="52" s="1"/>
  <c r="AU285" i="53"/>
  <c r="HY52" i="53"/>
  <c r="AU253" i="52"/>
  <c r="AU312" i="52" s="1"/>
  <c r="AU249" i="53"/>
  <c r="HM52" i="53"/>
  <c r="AV253" i="52"/>
  <c r="AV255" i="52" s="1"/>
  <c r="AV249" i="53"/>
  <c r="HM53" i="53"/>
  <c r="AW302" i="52"/>
  <c r="AW310" i="52" s="1"/>
  <c r="AW306" i="53"/>
  <c r="AV265" i="52"/>
  <c r="AV267" i="52" s="1"/>
  <c r="AV261" i="53"/>
  <c r="HQ53" i="53"/>
  <c r="AT255" i="52"/>
  <c r="AY277" i="52"/>
  <c r="AY279" i="52" s="1"/>
  <c r="AY273" i="53"/>
  <c r="HU56" i="53"/>
  <c r="AV288" i="52"/>
  <c r="IH53" i="52"/>
  <c r="AW286" i="52" a="1"/>
  <c r="AW286" i="52" s="1"/>
  <c r="AW287" i="52" s="1"/>
  <c r="HZ54" i="52" s="1"/>
  <c r="IA54" i="52" s="1"/>
  <c r="IB53" i="52"/>
  <c r="HO53" i="52"/>
  <c r="HP53" i="52"/>
  <c r="IE53" i="52"/>
  <c r="AW250" i="52" a="1"/>
  <c r="AW250" i="52" s="1"/>
  <c r="AW251" i="52" s="1"/>
  <c r="HN54" i="52" s="1"/>
  <c r="AW252" i="52" s="1"/>
  <c r="BA275" i="52"/>
  <c r="BB274" i="52" a="1"/>
  <c r="BB274" i="52" s="1"/>
  <c r="BB275" i="52" s="1"/>
  <c r="AX263" i="52"/>
  <c r="HR55" i="52" s="1"/>
  <c r="AY262" i="52" a="1"/>
  <c r="AY262" i="52" s="1"/>
  <c r="AW264" i="52"/>
  <c r="HS54" i="52"/>
  <c r="HT54" i="52"/>
  <c r="IF54" i="52"/>
  <c r="AZ276" i="52" l="1"/>
  <c r="HU57" i="53" s="1"/>
  <c r="IG57" i="52"/>
  <c r="HV58" i="52"/>
  <c r="HV59" i="52" s="1"/>
  <c r="HW57" i="52"/>
  <c r="AX306" i="53"/>
  <c r="AU270" i="52"/>
  <c r="AV254" i="52"/>
  <c r="AV256" i="52"/>
  <c r="AU301" i="52"/>
  <c r="AU309" i="52" s="1"/>
  <c r="AV257" i="52"/>
  <c r="AV266" i="52"/>
  <c r="AV312" i="52"/>
  <c r="AV268" i="52"/>
  <c r="AV269" i="52"/>
  <c r="AV313" i="52"/>
  <c r="AU293" i="52"/>
  <c r="AU254" i="52"/>
  <c r="AY280" i="52"/>
  <c r="AY281" i="52"/>
  <c r="AY278" i="52"/>
  <c r="AY314" i="52"/>
  <c r="AU256" i="52"/>
  <c r="AW253" i="52"/>
  <c r="AW256" i="52" s="1"/>
  <c r="AW249" i="53"/>
  <c r="HM54" i="53"/>
  <c r="AU255" i="52"/>
  <c r="AU257" i="52"/>
  <c r="AV289" i="52"/>
  <c r="AV285" i="53"/>
  <c r="HY53" i="53"/>
  <c r="AV301" i="52"/>
  <c r="AV309" i="52" s="1"/>
  <c r="AV305" i="53"/>
  <c r="AT300" i="52"/>
  <c r="AT308" i="52" s="1"/>
  <c r="AT304" i="53"/>
  <c r="AV300" i="52"/>
  <c r="AV308" i="52" s="1"/>
  <c r="AV304" i="53"/>
  <c r="AY302" i="52"/>
  <c r="AY310" i="52" s="1"/>
  <c r="AY306" i="53"/>
  <c r="AW265" i="52"/>
  <c r="AW266" i="52" s="1"/>
  <c r="AW261" i="53"/>
  <c r="HQ54" i="53"/>
  <c r="AU292" i="52"/>
  <c r="AU291" i="52"/>
  <c r="AU290" i="52"/>
  <c r="IB54" i="52"/>
  <c r="AX286" i="52" a="1"/>
  <c r="AX286" i="52" s="1"/>
  <c r="AX287" i="52" s="1"/>
  <c r="HZ55" i="52" s="1"/>
  <c r="AX288" i="52" s="1"/>
  <c r="IH54" i="52"/>
  <c r="AW288" i="52"/>
  <c r="HO54" i="52"/>
  <c r="IE54" i="52"/>
  <c r="HP54" i="52"/>
  <c r="AX250" i="52" a="1"/>
  <c r="AX250" i="52" s="1"/>
  <c r="AX251" i="52" s="1"/>
  <c r="HN55" i="52" s="1"/>
  <c r="IE55" i="52" s="1"/>
  <c r="AX264" i="52"/>
  <c r="HS55" i="52"/>
  <c r="IF55" i="52"/>
  <c r="HT55" i="52"/>
  <c r="AY263" i="52"/>
  <c r="HR56" i="52" s="1"/>
  <c r="AZ262" i="52" a="1"/>
  <c r="AZ262" i="52" s="1"/>
  <c r="AZ273" i="53" l="1"/>
  <c r="AZ277" i="52"/>
  <c r="AZ278" i="52" s="1"/>
  <c r="AU258" i="52"/>
  <c r="HW58" i="52"/>
  <c r="HX58" i="52"/>
  <c r="IG58" i="52"/>
  <c r="BA276" i="52"/>
  <c r="BA277" i="52" s="1"/>
  <c r="BA278" i="52" s="1"/>
  <c r="BB276" i="52"/>
  <c r="BB277" i="52" s="1"/>
  <c r="BB314" i="52" s="1"/>
  <c r="HX59" i="52"/>
  <c r="HW59" i="52"/>
  <c r="IG59" i="52"/>
  <c r="AV270" i="52"/>
  <c r="AW269" i="52"/>
  <c r="AV258" i="52"/>
  <c r="AU294" i="52"/>
  <c r="AW267" i="52"/>
  <c r="AW301" i="52" s="1"/>
  <c r="AW309" i="52" s="1"/>
  <c r="AW268" i="52"/>
  <c r="AW313" i="52"/>
  <c r="AW255" i="52"/>
  <c r="AW300" i="52" s="1"/>
  <c r="AW308" i="52" s="1"/>
  <c r="AW257" i="52"/>
  <c r="AW258" i="52" s="1"/>
  <c r="AW254" i="52"/>
  <c r="AW312" i="52"/>
  <c r="AY282" i="52"/>
  <c r="AU300" i="52"/>
  <c r="AU308" i="52" s="1"/>
  <c r="AU304" i="53"/>
  <c r="AW289" i="52"/>
  <c r="AW285" i="53"/>
  <c r="HY54" i="53"/>
  <c r="AX265" i="52"/>
  <c r="AX313" i="52" s="1"/>
  <c r="AX261" i="53"/>
  <c r="HQ55" i="53"/>
  <c r="AX289" i="52"/>
  <c r="AX291" i="52" s="1"/>
  <c r="AX285" i="53"/>
  <c r="HY55" i="53"/>
  <c r="AU303" i="52"/>
  <c r="AU311" i="52" s="1"/>
  <c r="AU307" i="53"/>
  <c r="AV293" i="52"/>
  <c r="AV292" i="52"/>
  <c r="AV290" i="52"/>
  <c r="AV315" i="52"/>
  <c r="AV291" i="52"/>
  <c r="HP55" i="52"/>
  <c r="AX252" i="52"/>
  <c r="IH55" i="52"/>
  <c r="IB55" i="52"/>
  <c r="IA55" i="52"/>
  <c r="AY286" i="52" a="1"/>
  <c r="AY286" i="52" s="1"/>
  <c r="AY287" i="52" s="1"/>
  <c r="HZ56" i="52" s="1"/>
  <c r="IB56" i="52" s="1"/>
  <c r="HO55" i="52"/>
  <c r="AY250" i="52" a="1"/>
  <c r="AY250" i="52" s="1"/>
  <c r="AY251" i="52" s="1"/>
  <c r="HN56" i="52" s="1"/>
  <c r="IE56" i="52" s="1"/>
  <c r="AZ263" i="52"/>
  <c r="HR57" i="52" s="1"/>
  <c r="BA262" i="52" a="1"/>
  <c r="BA262" i="52" s="1"/>
  <c r="AY264" i="52"/>
  <c r="HS56" i="52"/>
  <c r="IF56" i="52"/>
  <c r="HT56" i="52"/>
  <c r="AZ314" i="52" l="1"/>
  <c r="AZ281" i="52"/>
  <c r="AZ280" i="52"/>
  <c r="AZ279" i="52"/>
  <c r="AZ306" i="53" s="1"/>
  <c r="HU59" i="53"/>
  <c r="HU58" i="53"/>
  <c r="BA273" i="53"/>
  <c r="BB273" i="53"/>
  <c r="AW305" i="53"/>
  <c r="AX268" i="52"/>
  <c r="AW270" i="52"/>
  <c r="AX269" i="52"/>
  <c r="AX267" i="52"/>
  <c r="AX305" i="53" s="1"/>
  <c r="BB281" i="52"/>
  <c r="AW304" i="53"/>
  <c r="BA314" i="52"/>
  <c r="AX292" i="52"/>
  <c r="AX293" i="52"/>
  <c r="AX290" i="52"/>
  <c r="AX266" i="52"/>
  <c r="AX315" i="52"/>
  <c r="BA279" i="52"/>
  <c r="BA302" i="52" s="1"/>
  <c r="BA310" i="52" s="1"/>
  <c r="BA280" i="52"/>
  <c r="BA281" i="52"/>
  <c r="BB280" i="52"/>
  <c r="BB278" i="52"/>
  <c r="BB279" i="52"/>
  <c r="BB302" i="52" s="1"/>
  <c r="BB310" i="52" s="1"/>
  <c r="AX303" i="52"/>
  <c r="AX311" i="52" s="1"/>
  <c r="AX307" i="53"/>
  <c r="AX253" i="52"/>
  <c r="AX249" i="53"/>
  <c r="HM55" i="53"/>
  <c r="AW315" i="52"/>
  <c r="AW291" i="52"/>
  <c r="AW290" i="52"/>
  <c r="AW293" i="52"/>
  <c r="AW292" i="52"/>
  <c r="AV303" i="52"/>
  <c r="AV311" i="52" s="1"/>
  <c r="AV307" i="53"/>
  <c r="AY265" i="52"/>
  <c r="AY268" i="52" s="1"/>
  <c r="AY261" i="53"/>
  <c r="HQ56" i="53"/>
  <c r="AV294" i="52"/>
  <c r="IH56" i="52"/>
  <c r="IA56" i="52"/>
  <c r="AY288" i="52"/>
  <c r="AZ286" i="52" a="1"/>
  <c r="AZ286" i="52" s="1"/>
  <c r="AZ287" i="52" s="1"/>
  <c r="HZ57" i="52" s="1"/>
  <c r="AZ288" i="52" s="1"/>
  <c r="HO56" i="52"/>
  <c r="AY252" i="52"/>
  <c r="HP56" i="52"/>
  <c r="AZ250" i="52" a="1"/>
  <c r="AZ250" i="52" s="1"/>
  <c r="AZ251" i="52" s="1"/>
  <c r="HN57" i="52" s="1"/>
  <c r="IE57" i="52" s="1"/>
  <c r="AZ264" i="52"/>
  <c r="HS57" i="52"/>
  <c r="HT57" i="52"/>
  <c r="IF57" i="52"/>
  <c r="BA263" i="52"/>
  <c r="HR58" i="52" s="1"/>
  <c r="BB262" i="52" a="1"/>
  <c r="BB262" i="52" s="1"/>
  <c r="BB263" i="52" s="1"/>
  <c r="AZ302" i="52" l="1"/>
  <c r="AZ310" i="52" s="1"/>
  <c r="AZ282" i="52"/>
  <c r="E274" i="53" a="1"/>
  <c r="E274" i="53" s="1"/>
  <c r="E275" i="53" s="1"/>
  <c r="HV10" i="53" s="1"/>
  <c r="AX270" i="52"/>
  <c r="AX301" i="52"/>
  <c r="AX309" i="52" s="1"/>
  <c r="BB282" i="52"/>
  <c r="AX294" i="52"/>
  <c r="AY267" i="52"/>
  <c r="AY305" i="53" s="1"/>
  <c r="BA306" i="53"/>
  <c r="AY269" i="52"/>
  <c r="AY270" i="52" s="1"/>
  <c r="BA282" i="52"/>
  <c r="AY313" i="52"/>
  <c r="BB306" i="53"/>
  <c r="AW294" i="52"/>
  <c r="AY266" i="52"/>
  <c r="AW303" i="52"/>
  <c r="AW311" i="52" s="1"/>
  <c r="AW307" i="53"/>
  <c r="AZ289" i="52"/>
  <c r="AZ291" i="52" s="1"/>
  <c r="AZ285" i="53"/>
  <c r="HY57" i="53"/>
  <c r="AY253" i="52"/>
  <c r="AY255" i="52" s="1"/>
  <c r="AY249" i="53"/>
  <c r="HM56" i="53"/>
  <c r="AZ265" i="52"/>
  <c r="AZ269" i="52" s="1"/>
  <c r="AZ261" i="53"/>
  <c r="HQ57" i="53"/>
  <c r="AY289" i="52"/>
  <c r="AY315" i="52" s="1"/>
  <c r="AY285" i="53"/>
  <c r="HY56" i="53"/>
  <c r="AX255" i="52"/>
  <c r="AX312" i="52"/>
  <c r="AX256" i="52"/>
  <c r="AX254" i="52"/>
  <c r="AX257" i="52"/>
  <c r="AZ252" i="52"/>
  <c r="HO57" i="52"/>
  <c r="HP57" i="52"/>
  <c r="IB57" i="52"/>
  <c r="IH57" i="52"/>
  <c r="BA286" i="52" a="1"/>
  <c r="BA286" i="52" s="1"/>
  <c r="BA287" i="52" s="1"/>
  <c r="HZ58" i="52" s="1"/>
  <c r="IB58" i="52" s="1"/>
  <c r="IA57" i="52"/>
  <c r="HR59" i="52"/>
  <c r="BB264" i="52" s="1"/>
  <c r="BA250" i="52" a="1"/>
  <c r="BA250" i="52" s="1"/>
  <c r="BA264" i="52"/>
  <c r="HS58" i="52"/>
  <c r="HT58" i="52"/>
  <c r="IF58" i="52"/>
  <c r="AY292" i="52" l="1"/>
  <c r="F274" i="53" a="1"/>
  <c r="F274" i="53" s="1"/>
  <c r="F275" i="53" s="1"/>
  <c r="HV11" i="53" s="1"/>
  <c r="IG11" i="53" s="1"/>
  <c r="AY301" i="52"/>
  <c r="AY309" i="52" s="1"/>
  <c r="AZ315" i="52"/>
  <c r="HT59" i="52"/>
  <c r="AZ292" i="52"/>
  <c r="AZ290" i="52"/>
  <c r="AZ313" i="52"/>
  <c r="AZ293" i="52"/>
  <c r="AZ268" i="52"/>
  <c r="AZ270" i="52" s="1"/>
  <c r="AZ266" i="52"/>
  <c r="AZ267" i="52"/>
  <c r="AZ301" i="52" s="1"/>
  <c r="AZ309" i="52" s="1"/>
  <c r="AY254" i="52"/>
  <c r="AY300" i="52"/>
  <c r="AY308" i="52" s="1"/>
  <c r="AY304" i="53"/>
  <c r="AZ303" i="52"/>
  <c r="AZ311" i="52" s="1"/>
  <c r="AZ307" i="53"/>
  <c r="AY291" i="52"/>
  <c r="AY293" i="52"/>
  <c r="AY290" i="52"/>
  <c r="AX258" i="52"/>
  <c r="BB265" i="52"/>
  <c r="BB268" i="52" s="1"/>
  <c r="BB261" i="53"/>
  <c r="HQ59" i="53"/>
  <c r="AY256" i="52"/>
  <c r="BA265" i="52"/>
  <c r="BA266" i="52" s="1"/>
  <c r="BA261" i="53"/>
  <c r="HQ58" i="53"/>
  <c r="AX300" i="52"/>
  <c r="AX308" i="52" s="1"/>
  <c r="AX304" i="53"/>
  <c r="AZ253" i="52"/>
  <c r="AZ249" i="53"/>
  <c r="HM57" i="53"/>
  <c r="AY312" i="52"/>
  <c r="AY257" i="52"/>
  <c r="IF59" i="52"/>
  <c r="E276" i="53"/>
  <c r="IG10" i="53"/>
  <c r="HX10" i="53"/>
  <c r="HW10" i="53"/>
  <c r="IH58" i="52"/>
  <c r="HS59" i="52"/>
  <c r="BA288" i="52"/>
  <c r="IA58" i="52"/>
  <c r="BB286" i="52" a="1"/>
  <c r="BB286" i="52" s="1"/>
  <c r="BB287" i="52" s="1"/>
  <c r="HZ59" i="52" s="1"/>
  <c r="BB250" i="52" a="1"/>
  <c r="BB250" i="52" s="1"/>
  <c r="BB251" i="52" s="1"/>
  <c r="HN59" i="52" s="1"/>
  <c r="BA251" i="52"/>
  <c r="HN58" i="52" s="1"/>
  <c r="AY294" i="52" l="1"/>
  <c r="G274" i="53" a="1"/>
  <c r="G274" i="53" s="1"/>
  <c r="G275" i="53" s="1"/>
  <c r="HV12" i="53" s="1"/>
  <c r="G276" i="53" s="1"/>
  <c r="HU12" i="54" s="1"/>
  <c r="HW11" i="53"/>
  <c r="AZ294" i="52"/>
  <c r="HX11" i="53"/>
  <c r="F276" i="53"/>
  <c r="F277" i="53" s="1"/>
  <c r="BA313" i="52"/>
  <c r="AZ305" i="53"/>
  <c r="E277" i="53"/>
  <c r="E278" i="53" s="1"/>
  <c r="E273" i="54"/>
  <c r="HU10" i="54"/>
  <c r="BB267" i="52"/>
  <c r="BB305" i="53" s="1"/>
  <c r="BB269" i="52"/>
  <c r="BB270" i="52" s="1"/>
  <c r="BB266" i="52"/>
  <c r="BB313" i="52"/>
  <c r="BA269" i="52"/>
  <c r="BA267" i="52"/>
  <c r="BA301" i="52" s="1"/>
  <c r="BA309" i="52" s="1"/>
  <c r="BA268" i="52"/>
  <c r="AY258" i="52"/>
  <c r="AY303" i="52"/>
  <c r="AY311" i="52" s="1"/>
  <c r="AY307" i="53"/>
  <c r="BA289" i="52"/>
  <c r="BA285" i="53"/>
  <c r="HY58" i="53"/>
  <c r="AZ254" i="52"/>
  <c r="AZ257" i="52"/>
  <c r="AZ256" i="52"/>
  <c r="AZ312" i="52"/>
  <c r="AZ255" i="52"/>
  <c r="E262" i="53" a="1"/>
  <c r="E262" i="53" s="1"/>
  <c r="IB59" i="52"/>
  <c r="IH59" i="52"/>
  <c r="BB288" i="52"/>
  <c r="IA59" i="52"/>
  <c r="BB252" i="52"/>
  <c r="IE59" i="52"/>
  <c r="HP59" i="52"/>
  <c r="HO59" i="52"/>
  <c r="IE58" i="52"/>
  <c r="HO58" i="52"/>
  <c r="BA252" i="52"/>
  <c r="HP58" i="52"/>
  <c r="H274" i="53" l="1" a="1"/>
  <c r="H274" i="53" s="1"/>
  <c r="H275" i="53" s="1"/>
  <c r="HV13" i="53" s="1"/>
  <c r="H276" i="53" s="1"/>
  <c r="HW12" i="53"/>
  <c r="HX12" i="53"/>
  <c r="G277" i="53"/>
  <c r="G278" i="53" s="1"/>
  <c r="G273" i="54"/>
  <c r="HU11" i="54"/>
  <c r="IG12" i="53"/>
  <c r="F280" i="53"/>
  <c r="F314" i="53"/>
  <c r="F281" i="53"/>
  <c r="F278" i="53"/>
  <c r="F273" i="54"/>
  <c r="F279" i="53"/>
  <c r="F306" i="54" s="1"/>
  <c r="BB301" i="52"/>
  <c r="BB309" i="52" s="1"/>
  <c r="BA270" i="52"/>
  <c r="E281" i="53"/>
  <c r="BA305" i="53"/>
  <c r="E279" i="53"/>
  <c r="E314" i="53"/>
  <c r="E280" i="53"/>
  <c r="AZ258" i="52"/>
  <c r="E263" i="53"/>
  <c r="HR10" i="53" s="1"/>
  <c r="F262" i="53" a="1"/>
  <c r="F262" i="53" s="1"/>
  <c r="F263" i="53" s="1"/>
  <c r="BA315" i="52"/>
  <c r="BA291" i="52"/>
  <c r="BA290" i="52"/>
  <c r="BA293" i="52"/>
  <c r="BA292" i="52"/>
  <c r="BB253" i="52"/>
  <c r="BB254" i="52" s="1"/>
  <c r="BB249" i="53"/>
  <c r="HM59" i="53"/>
  <c r="BA253" i="52"/>
  <c r="BA255" i="52" s="1"/>
  <c r="BA249" i="53"/>
  <c r="HM58" i="53"/>
  <c r="BB289" i="52"/>
  <c r="BB315" i="52" s="1"/>
  <c r="BB285" i="53"/>
  <c r="E286" i="53" s="1" a="1"/>
  <c r="E286" i="53" s="1"/>
  <c r="HY59" i="53"/>
  <c r="AZ300" i="52"/>
  <c r="AZ308" i="52" s="1"/>
  <c r="AZ304" i="53"/>
  <c r="I274" i="53" l="1" a="1"/>
  <c r="I274" i="53" s="1"/>
  <c r="J274" i="53" s="1" a="1"/>
  <c r="J274" i="53" s="1"/>
  <c r="J275" i="53" s="1"/>
  <c r="IG13" i="53"/>
  <c r="HW13" i="53"/>
  <c r="HX13" i="53"/>
  <c r="G281" i="53"/>
  <c r="G279" i="53"/>
  <c r="G302" i="53" s="1"/>
  <c r="G310" i="53" s="1"/>
  <c r="G314" i="53"/>
  <c r="G280" i="53"/>
  <c r="F302" i="53"/>
  <c r="F310" i="53" s="1"/>
  <c r="F282" i="53"/>
  <c r="F283" i="53" s="1"/>
  <c r="E282" i="53"/>
  <c r="E283" i="53" s="1"/>
  <c r="G297" i="52"/>
  <c r="H277" i="53"/>
  <c r="H280" i="53" s="1"/>
  <c r="H273" i="54"/>
  <c r="HU13" i="54"/>
  <c r="E302" i="53"/>
  <c r="E310" i="53" s="1"/>
  <c r="E306" i="54"/>
  <c r="BA257" i="52"/>
  <c r="BB257" i="52"/>
  <c r="BB255" i="52"/>
  <c r="BB304" i="53" s="1"/>
  <c r="BB293" i="52"/>
  <c r="BA294" i="52"/>
  <c r="BB256" i="52"/>
  <c r="BA312" i="52"/>
  <c r="BB312" i="52"/>
  <c r="BB290" i="52"/>
  <c r="BB291" i="52"/>
  <c r="BB303" i="52" s="1"/>
  <c r="G262" i="53" a="1"/>
  <c r="G262" i="53" s="1"/>
  <c r="G263" i="53" s="1"/>
  <c r="BB292" i="52"/>
  <c r="HR11" i="53"/>
  <c r="HT11" i="53" s="1"/>
  <c r="BA254" i="52"/>
  <c r="BA256" i="52"/>
  <c r="BA300" i="52"/>
  <c r="BA308" i="52" s="1"/>
  <c r="BA304" i="53"/>
  <c r="E250" i="53" a="1"/>
  <c r="E250" i="53" s="1"/>
  <c r="E287" i="53"/>
  <c r="HZ10" i="53" s="1"/>
  <c r="F286" i="53" a="1"/>
  <c r="F286" i="53" s="1"/>
  <c r="F287" i="53" s="1"/>
  <c r="BA303" i="52"/>
  <c r="BA311" i="52" s="1"/>
  <c r="BA307" i="53"/>
  <c r="E264" i="53"/>
  <c r="HS10" i="53"/>
  <c r="IF10" i="53"/>
  <c r="HT10" i="53"/>
  <c r="I275" i="53" l="1"/>
  <c r="HV14" i="53" s="1"/>
  <c r="I276" i="53" s="1"/>
  <c r="HU14" i="54" s="1"/>
  <c r="BA258" i="52"/>
  <c r="K274" i="53" a="1"/>
  <c r="K274" i="53" s="1"/>
  <c r="K275" i="53" s="1"/>
  <c r="G306" i="54"/>
  <c r="G282" i="53"/>
  <c r="G283" i="53" s="1"/>
  <c r="K297" i="52"/>
  <c r="X104" i="59" s="1"/>
  <c r="X105" i="59" s="1"/>
  <c r="X102" i="59"/>
  <c r="I297" i="52"/>
  <c r="X103" i="59" s="1"/>
  <c r="HR12" i="53"/>
  <c r="G264" i="53" s="1"/>
  <c r="G261" i="54" s="1"/>
  <c r="H279" i="53"/>
  <c r="H302" i="53" s="1"/>
  <c r="H310" i="53" s="1"/>
  <c r="H314" i="53"/>
  <c r="BB300" i="52"/>
  <c r="BB308" i="52" s="1"/>
  <c r="H278" i="53"/>
  <c r="H281" i="53"/>
  <c r="H282" i="53" s="1"/>
  <c r="H283" i="53" s="1"/>
  <c r="F264" i="53"/>
  <c r="F265" i="53" s="1"/>
  <c r="BB307" i="53"/>
  <c r="BB258" i="52"/>
  <c r="E265" i="53"/>
  <c r="E268" i="53" s="1"/>
  <c r="E261" i="54"/>
  <c r="HQ10" i="54"/>
  <c r="HZ11" i="53"/>
  <c r="IH11" i="53" s="1"/>
  <c r="BB311" i="52"/>
  <c r="G296" i="52"/>
  <c r="IF11" i="53"/>
  <c r="HS11" i="53"/>
  <c r="BB294" i="52"/>
  <c r="H262" i="53" a="1"/>
  <c r="H262" i="53" s="1"/>
  <c r="I262" i="53" s="1" a="1"/>
  <c r="I262" i="53" s="1"/>
  <c r="E251" i="53"/>
  <c r="HN10" i="53" s="1"/>
  <c r="F250" i="53" a="1"/>
  <c r="F250" i="53" s="1"/>
  <c r="F251" i="53" s="1"/>
  <c r="G286" i="53" a="1"/>
  <c r="G286" i="53" s="1"/>
  <c r="E288" i="53"/>
  <c r="IA10" i="53"/>
  <c r="IB10" i="53"/>
  <c r="IH10" i="53"/>
  <c r="I277" i="53" l="1"/>
  <c r="I279" i="53" s="1"/>
  <c r="I306" i="54" s="1"/>
  <c r="HW14" i="53"/>
  <c r="HX14" i="53"/>
  <c r="HV15" i="53"/>
  <c r="IG15" i="53" s="1"/>
  <c r="I273" i="54"/>
  <c r="IG14" i="53"/>
  <c r="L274" i="53" a="1"/>
  <c r="L274" i="53" s="1"/>
  <c r="M274" i="53" s="1" a="1"/>
  <c r="M274" i="53" s="1"/>
  <c r="M275" i="53" s="1"/>
  <c r="I296" i="52"/>
  <c r="P103" i="59" s="1"/>
  <c r="P102" i="59"/>
  <c r="E266" i="53"/>
  <c r="HT12" i="53"/>
  <c r="HS12" i="53"/>
  <c r="G265" i="53"/>
  <c r="G266" i="53" s="1"/>
  <c r="IA11" i="53"/>
  <c r="F288" i="53"/>
  <c r="F289" i="53" s="1"/>
  <c r="F315" i="53" s="1"/>
  <c r="HQ12" i="54"/>
  <c r="IF12" i="53"/>
  <c r="H306" i="54"/>
  <c r="E269" i="53"/>
  <c r="E270" i="53" s="1"/>
  <c r="E271" i="53" s="1"/>
  <c r="E313" i="53"/>
  <c r="E267" i="53"/>
  <c r="E301" i="53" s="1"/>
  <c r="E309" i="53" s="1"/>
  <c r="F267" i="53"/>
  <c r="F301" i="53" s="1"/>
  <c r="F309" i="53" s="1"/>
  <c r="F266" i="53"/>
  <c r="F313" i="53"/>
  <c r="F268" i="53"/>
  <c r="F269" i="53"/>
  <c r="HQ11" i="54"/>
  <c r="F261" i="54"/>
  <c r="E289" i="53"/>
  <c r="E293" i="53" s="1"/>
  <c r="E285" i="54"/>
  <c r="HY10" i="54"/>
  <c r="IB11" i="53"/>
  <c r="K296" i="52"/>
  <c r="P104" i="59" s="1"/>
  <c r="P105" i="59" s="1"/>
  <c r="HN11" i="53"/>
  <c r="F252" i="53" s="1"/>
  <c r="H263" i="53"/>
  <c r="HR13" i="53" s="1"/>
  <c r="IF13" i="53" s="1"/>
  <c r="I263" i="53"/>
  <c r="J262" i="53" a="1"/>
  <c r="J262" i="53" s="1"/>
  <c r="K262" i="53" s="1" a="1"/>
  <c r="K262" i="53" s="1"/>
  <c r="G250" i="53" a="1"/>
  <c r="G250" i="53" s="1"/>
  <c r="G251" i="53" s="1"/>
  <c r="H286" i="53" a="1"/>
  <c r="H286" i="53" s="1"/>
  <c r="I286" i="53" s="1" a="1"/>
  <c r="I286" i="53" s="1"/>
  <c r="I287" i="53" s="1"/>
  <c r="E252" i="53"/>
  <c r="IE10" i="53"/>
  <c r="HP10" i="53"/>
  <c r="HO10" i="53"/>
  <c r="G287" i="53"/>
  <c r="HZ12" i="53" s="1"/>
  <c r="I278" i="53" l="1"/>
  <c r="I314" i="53"/>
  <c r="I280" i="53"/>
  <c r="HV16" i="53"/>
  <c r="HX16" i="53" s="1"/>
  <c r="I302" i="53"/>
  <c r="I310" i="53" s="1"/>
  <c r="HX15" i="53"/>
  <c r="I281" i="53"/>
  <c r="HW15" i="53"/>
  <c r="J276" i="53"/>
  <c r="J273" i="54" s="1"/>
  <c r="L275" i="53"/>
  <c r="N274" i="53" a="1"/>
  <c r="N274" i="53" s="1"/>
  <c r="N275" i="53" s="1"/>
  <c r="G313" i="53"/>
  <c r="G268" i="53"/>
  <c r="G267" i="53"/>
  <c r="G301" i="53" s="1"/>
  <c r="G309" i="53" s="1"/>
  <c r="G269" i="53"/>
  <c r="HY11" i="54"/>
  <c r="F285" i="54"/>
  <c r="E292" i="53"/>
  <c r="E294" i="53" s="1"/>
  <c r="E295" i="53" s="1"/>
  <c r="E315" i="53"/>
  <c r="E305" i="54"/>
  <c r="F292" i="53"/>
  <c r="F270" i="53"/>
  <c r="F271" i="53" s="1"/>
  <c r="E290" i="53"/>
  <c r="E291" i="53"/>
  <c r="E303" i="53" s="1"/>
  <c r="E311" i="53" s="1"/>
  <c r="F290" i="53"/>
  <c r="F293" i="53"/>
  <c r="F305" i="54"/>
  <c r="F291" i="53"/>
  <c r="F303" i="53" s="1"/>
  <c r="F311" i="53" s="1"/>
  <c r="F253" i="53"/>
  <c r="F249" i="54"/>
  <c r="HM11" i="54"/>
  <c r="HT13" i="53"/>
  <c r="HS13" i="53"/>
  <c r="E253" i="53"/>
  <c r="E299" i="53" s="1"/>
  <c r="E249" i="54"/>
  <c r="HM10" i="54"/>
  <c r="HR14" i="53"/>
  <c r="HS14" i="53" s="1"/>
  <c r="J263" i="53"/>
  <c r="HO11" i="53"/>
  <c r="H264" i="53"/>
  <c r="HP11" i="53"/>
  <c r="IE11" i="53"/>
  <c r="HN12" i="53"/>
  <c r="H250" i="53" a="1"/>
  <c r="H250" i="53" s="1"/>
  <c r="H251" i="53" s="1"/>
  <c r="K263" i="53"/>
  <c r="L262" i="53" a="1"/>
  <c r="L262" i="53" s="1"/>
  <c r="L263" i="53" s="1"/>
  <c r="J286" i="53" a="1"/>
  <c r="J286" i="53" s="1"/>
  <c r="J287" i="53" s="1"/>
  <c r="G288" i="53"/>
  <c r="IH12" i="53"/>
  <c r="IB12" i="53"/>
  <c r="IA12" i="53"/>
  <c r="H287" i="53"/>
  <c r="HZ13" i="53" s="1"/>
  <c r="HZ14" i="53" s="1"/>
  <c r="I282" i="53" l="1"/>
  <c r="I283" i="53" s="1"/>
  <c r="J277" i="53"/>
  <c r="J314" i="53" s="1"/>
  <c r="HW16" i="53"/>
  <c r="K276" i="53"/>
  <c r="K277" i="53" s="1"/>
  <c r="K279" i="53" s="1"/>
  <c r="K302" i="53" s="1"/>
  <c r="K310" i="53" s="1"/>
  <c r="IG16" i="53"/>
  <c r="HV17" i="53"/>
  <c r="HV18" i="53" s="1"/>
  <c r="HX18" i="53" s="1"/>
  <c r="HU15" i="54"/>
  <c r="O274" i="53" a="1"/>
  <c r="O274" i="53" s="1"/>
  <c r="O275" i="53" s="1"/>
  <c r="E256" i="53"/>
  <c r="E257" i="53"/>
  <c r="E254" i="53"/>
  <c r="E255" i="53"/>
  <c r="E300" i="53" s="1"/>
  <c r="E308" i="53" s="1"/>
  <c r="AC1" i="59"/>
  <c r="F312" i="53"/>
  <c r="AG1" i="59"/>
  <c r="G270" i="53"/>
  <c r="G271" i="53" s="1"/>
  <c r="G305" i="54"/>
  <c r="F294" i="53"/>
  <c r="F295" i="53" s="1"/>
  <c r="HR15" i="53"/>
  <c r="IF15" i="53" s="1"/>
  <c r="HN13" i="53"/>
  <c r="IE13" i="53" s="1"/>
  <c r="E312" i="53"/>
  <c r="F307" i="54"/>
  <c r="F255" i="53"/>
  <c r="F304" i="54" s="1"/>
  <c r="E307" i="54"/>
  <c r="F257" i="53"/>
  <c r="HT14" i="53"/>
  <c r="F256" i="53"/>
  <c r="IF14" i="53"/>
  <c r="F254" i="53"/>
  <c r="F299" i="53"/>
  <c r="G289" i="53"/>
  <c r="G315" i="53" s="1"/>
  <c r="G285" i="54"/>
  <c r="HY12" i="54"/>
  <c r="H265" i="53"/>
  <c r="H267" i="53" s="1"/>
  <c r="H261" i="54"/>
  <c r="HQ13" i="54"/>
  <c r="I264" i="53"/>
  <c r="M262" i="53" a="1"/>
  <c r="M262" i="53" s="1"/>
  <c r="M263" i="53" s="1"/>
  <c r="K286" i="53" a="1"/>
  <c r="K286" i="53" s="1"/>
  <c r="K287" i="53" s="1"/>
  <c r="I250" i="53" a="1"/>
  <c r="I250" i="53" s="1"/>
  <c r="J250" i="53" s="1" a="1"/>
  <c r="J250" i="53" s="1"/>
  <c r="J251" i="53" s="1"/>
  <c r="G252" i="53"/>
  <c r="IE12" i="53"/>
  <c r="HO12" i="53"/>
  <c r="HP12" i="53"/>
  <c r="I288" i="53"/>
  <c r="IA14" i="53"/>
  <c r="IH14" i="53"/>
  <c r="IB14" i="53"/>
  <c r="H288" i="53"/>
  <c r="IA13" i="53"/>
  <c r="IB13" i="53"/>
  <c r="IH13" i="53"/>
  <c r="HZ15" i="53"/>
  <c r="K280" i="53" l="1"/>
  <c r="K281" i="53"/>
  <c r="K273" i="54"/>
  <c r="J281" i="53"/>
  <c r="J280" i="53"/>
  <c r="J278" i="53"/>
  <c r="J279" i="53"/>
  <c r="J306" i="54" s="1"/>
  <c r="IG18" i="53"/>
  <c r="K314" i="53"/>
  <c r="IG17" i="53"/>
  <c r="K278" i="53"/>
  <c r="HU16" i="54"/>
  <c r="HV19" i="53"/>
  <c r="IG19" i="53" s="1"/>
  <c r="HW17" i="53"/>
  <c r="HX17" i="53"/>
  <c r="HW18" i="53"/>
  <c r="L276" i="53"/>
  <c r="L277" i="53" s="1"/>
  <c r="L279" i="53" s="1"/>
  <c r="L306" i="54" s="1"/>
  <c r="M276" i="53"/>
  <c r="HU18" i="54" s="1"/>
  <c r="P274" i="53" a="1"/>
  <c r="P274" i="53" s="1"/>
  <c r="P275" i="53" s="1"/>
  <c r="E258" i="53"/>
  <c r="E259" i="53" s="1"/>
  <c r="E304" i="54"/>
  <c r="AG402" i="59"/>
  <c r="AG400" i="59"/>
  <c r="AG398" i="59"/>
  <c r="AG405" i="59"/>
  <c r="AG403" i="59"/>
  <c r="AG401" i="59"/>
  <c r="AG404" i="59"/>
  <c r="AG396" i="59"/>
  <c r="AG399" i="59"/>
  <c r="AG397" i="59"/>
  <c r="AG334" i="59"/>
  <c r="AG330" i="59"/>
  <c r="AG335" i="59"/>
  <c r="AG326" i="59"/>
  <c r="AG337" i="59"/>
  <c r="AG336" i="59"/>
  <c r="AG395" i="59"/>
  <c r="AG328" i="59"/>
  <c r="AG324" i="59"/>
  <c r="AG313" i="59"/>
  <c r="AG316" i="59"/>
  <c r="AG322" i="59"/>
  <c r="AG314" i="59"/>
  <c r="AG312" i="59"/>
  <c r="AG310" i="59"/>
  <c r="AG332" i="59"/>
  <c r="AG315" i="59"/>
  <c r="AG304" i="59"/>
  <c r="AG311" i="59"/>
  <c r="AG309" i="59"/>
  <c r="AG307" i="59"/>
  <c r="AG305" i="59"/>
  <c r="AG302" i="59"/>
  <c r="AG300" i="59"/>
  <c r="AG303" i="59"/>
  <c r="AG301" i="59"/>
  <c r="AG299" i="59"/>
  <c r="AG297" i="59"/>
  <c r="AG295" i="59"/>
  <c r="AG308" i="59"/>
  <c r="AG306" i="59"/>
  <c r="AG298" i="59"/>
  <c r="AG291" i="59"/>
  <c r="AG289" i="59"/>
  <c r="AG287" i="59"/>
  <c r="AG296" i="59"/>
  <c r="AG285" i="59"/>
  <c r="AG283" i="59"/>
  <c r="AG281" i="59"/>
  <c r="AG279" i="59"/>
  <c r="AG277" i="59"/>
  <c r="AG275" i="59"/>
  <c r="AG273" i="59"/>
  <c r="AG292" i="59"/>
  <c r="AG290" i="59"/>
  <c r="AG288" i="59"/>
  <c r="AG286" i="59"/>
  <c r="AG294" i="59"/>
  <c r="AG282" i="59"/>
  <c r="AG280" i="59"/>
  <c r="AG274" i="59"/>
  <c r="AG293" i="59"/>
  <c r="AG270" i="59"/>
  <c r="AG268" i="59"/>
  <c r="AG278" i="59"/>
  <c r="AG272" i="59"/>
  <c r="AG284" i="59"/>
  <c r="AG276" i="59"/>
  <c r="AG267" i="59"/>
  <c r="AG271" i="59"/>
  <c r="AG266" i="59"/>
  <c r="AG264" i="59"/>
  <c r="AG262" i="59"/>
  <c r="AG260" i="59"/>
  <c r="AG258" i="59"/>
  <c r="AG216" i="59"/>
  <c r="AG214" i="59"/>
  <c r="AG265" i="59"/>
  <c r="AG263" i="59"/>
  <c r="AG261" i="59"/>
  <c r="AG259" i="59"/>
  <c r="AG210" i="59"/>
  <c r="AG208" i="59"/>
  <c r="AG206" i="59"/>
  <c r="AG269" i="59"/>
  <c r="AG211" i="59"/>
  <c r="AG218" i="59"/>
  <c r="AG215" i="59"/>
  <c r="AG212" i="59"/>
  <c r="AG213" i="59"/>
  <c r="AG198" i="59"/>
  <c r="AG196" i="59"/>
  <c r="AG194" i="59"/>
  <c r="AG192" i="59"/>
  <c r="AG209" i="59"/>
  <c r="AG205" i="59"/>
  <c r="AG197" i="59"/>
  <c r="AG195" i="59"/>
  <c r="AG193" i="59"/>
  <c r="AG191" i="59"/>
  <c r="AG189" i="59"/>
  <c r="AG187" i="59"/>
  <c r="AG217" i="59"/>
  <c r="AG204" i="59"/>
  <c r="AG199" i="59"/>
  <c r="AG201" i="59"/>
  <c r="AG183" i="59"/>
  <c r="AG181" i="59"/>
  <c r="AG179" i="59"/>
  <c r="AG203" i="59"/>
  <c r="AG185" i="59"/>
  <c r="AG186" i="59"/>
  <c r="AG184" i="59"/>
  <c r="AG207" i="59"/>
  <c r="AG200" i="59"/>
  <c r="AG190" i="59"/>
  <c r="AG202" i="59"/>
  <c r="AG188" i="59"/>
  <c r="AG180" i="59"/>
  <c r="AG182" i="59"/>
  <c r="AG173" i="59"/>
  <c r="AG174" i="59"/>
  <c r="AG177" i="59"/>
  <c r="AG178" i="59"/>
  <c r="AG175" i="59"/>
  <c r="AG176" i="59"/>
  <c r="AG86" i="59"/>
  <c r="AG85" i="59"/>
  <c r="AG104" i="59"/>
  <c r="AG89" i="59"/>
  <c r="AG103" i="59"/>
  <c r="AG87" i="59"/>
  <c r="AG172" i="59"/>
  <c r="AG90" i="59"/>
  <c r="AG171" i="59"/>
  <c r="AG102" i="59"/>
  <c r="AG84" i="59"/>
  <c r="AG88" i="59"/>
  <c r="AG80" i="59"/>
  <c r="AG79" i="59"/>
  <c r="AG76" i="59"/>
  <c r="AG75" i="59"/>
  <c r="AG73" i="59"/>
  <c r="AG64" i="59"/>
  <c r="AG71" i="59"/>
  <c r="AG60" i="59"/>
  <c r="AG69" i="59"/>
  <c r="AG67" i="59"/>
  <c r="AG82" i="59"/>
  <c r="AG81" i="59"/>
  <c r="AG78" i="59"/>
  <c r="AG77" i="59"/>
  <c r="AG74" i="59"/>
  <c r="AG65" i="59"/>
  <c r="AG63" i="59"/>
  <c r="AG61" i="59"/>
  <c r="AG72" i="59"/>
  <c r="AG59" i="59"/>
  <c r="AG70" i="59"/>
  <c r="AG68" i="59"/>
  <c r="AG83" i="59"/>
  <c r="AG43" i="59"/>
  <c r="AG41" i="59"/>
  <c r="AG39" i="59"/>
  <c r="AG37" i="59"/>
  <c r="AG66" i="59"/>
  <c r="AG34" i="59"/>
  <c r="AG32" i="59"/>
  <c r="AG54" i="59"/>
  <c r="AG52" i="59"/>
  <c r="AG50" i="59"/>
  <c r="AG48" i="59"/>
  <c r="AG46" i="59"/>
  <c r="AG44" i="59"/>
  <c r="AG58" i="59"/>
  <c r="AG62" i="59"/>
  <c r="AG55" i="59"/>
  <c r="AG36" i="59"/>
  <c r="AG57" i="59"/>
  <c r="AG56" i="59"/>
  <c r="AG53" i="59"/>
  <c r="AG49" i="59"/>
  <c r="AG47" i="59"/>
  <c r="AG45" i="59"/>
  <c r="AG42" i="59"/>
  <c r="AG40" i="59"/>
  <c r="AG35" i="59"/>
  <c r="AG30" i="59"/>
  <c r="AG28" i="59"/>
  <c r="AG26" i="59"/>
  <c r="AG24" i="59"/>
  <c r="AG22" i="59"/>
  <c r="AG20" i="59"/>
  <c r="AG18" i="59"/>
  <c r="AG16" i="59"/>
  <c r="AG14" i="59"/>
  <c r="AG12" i="59"/>
  <c r="AG10" i="59"/>
  <c r="AG51" i="59"/>
  <c r="AG38" i="59"/>
  <c r="AG33" i="59"/>
  <c r="AG31" i="59"/>
  <c r="AG29" i="59"/>
  <c r="AG27" i="59"/>
  <c r="AG25" i="59"/>
  <c r="AG23" i="59"/>
  <c r="AG21" i="59"/>
  <c r="AG19" i="59"/>
  <c r="AG17" i="59"/>
  <c r="AG15" i="59"/>
  <c r="AG13" i="59"/>
  <c r="AG11" i="59"/>
  <c r="AG9" i="59"/>
  <c r="AC403" i="59"/>
  <c r="AC401" i="59"/>
  <c r="AC399" i="59"/>
  <c r="AC397" i="59"/>
  <c r="AC404" i="59"/>
  <c r="AC402" i="59"/>
  <c r="AC405" i="59"/>
  <c r="AC400" i="59"/>
  <c r="AC395" i="59"/>
  <c r="AC337" i="59"/>
  <c r="AC332" i="59"/>
  <c r="AC336" i="59"/>
  <c r="AC396" i="59"/>
  <c r="AC328" i="59"/>
  <c r="AC398" i="59"/>
  <c r="AC335" i="59"/>
  <c r="AC326" i="59"/>
  <c r="AC330" i="59"/>
  <c r="AC322" i="59"/>
  <c r="AC314" i="59"/>
  <c r="AC334" i="59"/>
  <c r="AC324" i="59"/>
  <c r="AC313" i="59"/>
  <c r="AC311" i="59"/>
  <c r="AC316" i="59"/>
  <c r="AC310" i="59"/>
  <c r="AC308" i="59"/>
  <c r="AC306" i="59"/>
  <c r="AC303" i="59"/>
  <c r="AC301" i="59"/>
  <c r="AC304" i="59"/>
  <c r="AC307" i="59"/>
  <c r="AC315" i="59"/>
  <c r="AC312" i="59"/>
  <c r="AC305" i="59"/>
  <c r="AC300" i="59"/>
  <c r="AC298" i="59"/>
  <c r="AC296" i="59"/>
  <c r="AC294" i="59"/>
  <c r="AC309" i="59"/>
  <c r="AC302" i="59"/>
  <c r="AC299" i="59"/>
  <c r="AC292" i="59"/>
  <c r="AC290" i="59"/>
  <c r="AC288" i="59"/>
  <c r="AC286" i="59"/>
  <c r="AC284" i="59"/>
  <c r="AC282" i="59"/>
  <c r="AC280" i="59"/>
  <c r="AC278" i="59"/>
  <c r="AC276" i="59"/>
  <c r="AC274" i="59"/>
  <c r="AC272" i="59"/>
  <c r="AC295" i="59"/>
  <c r="AC293" i="59"/>
  <c r="AC291" i="59"/>
  <c r="AC289" i="59"/>
  <c r="AC287" i="59"/>
  <c r="AC297" i="59"/>
  <c r="AC277" i="59"/>
  <c r="AC275" i="59"/>
  <c r="AC283" i="59"/>
  <c r="AC273" i="59"/>
  <c r="AC271" i="59"/>
  <c r="AC269" i="59"/>
  <c r="AC267" i="59"/>
  <c r="AC285" i="59"/>
  <c r="AC281" i="59"/>
  <c r="AC279" i="59"/>
  <c r="AC265" i="59"/>
  <c r="AC263" i="59"/>
  <c r="AC261" i="59"/>
  <c r="AC259" i="59"/>
  <c r="AC217" i="59"/>
  <c r="AC270" i="59"/>
  <c r="AC268" i="59"/>
  <c r="AC218" i="59"/>
  <c r="AC215" i="59"/>
  <c r="AC266" i="59"/>
  <c r="AC264" i="59"/>
  <c r="AC262" i="59"/>
  <c r="AC260" i="59"/>
  <c r="AC258" i="59"/>
  <c r="AC214" i="59"/>
  <c r="AC216" i="59"/>
  <c r="AC211" i="59"/>
  <c r="AC209" i="59"/>
  <c r="AC207" i="59"/>
  <c r="AC213" i="59"/>
  <c r="AC212" i="59"/>
  <c r="AC197" i="59"/>
  <c r="AC195" i="59"/>
  <c r="AC193" i="59"/>
  <c r="AC204" i="59"/>
  <c r="AC208" i="59"/>
  <c r="AC198" i="59"/>
  <c r="AC196" i="59"/>
  <c r="AC194" i="59"/>
  <c r="AC192" i="59"/>
  <c r="AC190" i="59"/>
  <c r="AC188" i="59"/>
  <c r="AC182" i="59"/>
  <c r="AC180" i="59"/>
  <c r="AC199" i="59"/>
  <c r="AC201" i="59"/>
  <c r="AC210" i="59"/>
  <c r="AC205" i="59"/>
  <c r="AC203" i="59"/>
  <c r="AC200" i="59"/>
  <c r="AC191" i="59"/>
  <c r="AC185" i="59"/>
  <c r="AC183" i="59"/>
  <c r="AC181" i="59"/>
  <c r="AC202" i="59"/>
  <c r="AC206" i="59"/>
  <c r="AC187" i="59"/>
  <c r="AC175" i="59"/>
  <c r="AC172" i="59"/>
  <c r="AC179" i="59"/>
  <c r="AC176" i="59"/>
  <c r="AC173" i="59"/>
  <c r="AC186" i="59"/>
  <c r="AC177" i="59"/>
  <c r="AC174" i="59"/>
  <c r="AC184" i="59"/>
  <c r="AC189" i="59"/>
  <c r="AC178" i="59"/>
  <c r="AC171" i="59"/>
  <c r="AC102" i="59"/>
  <c r="AC90" i="59"/>
  <c r="AC104" i="59"/>
  <c r="AC86" i="59"/>
  <c r="AC85" i="59"/>
  <c r="AC89" i="59"/>
  <c r="AC103" i="59"/>
  <c r="AC82" i="59"/>
  <c r="AC81" i="59"/>
  <c r="AC78" i="59"/>
  <c r="AC77" i="59"/>
  <c r="AC74" i="59"/>
  <c r="AC65" i="59"/>
  <c r="AC72" i="59"/>
  <c r="AC70" i="59"/>
  <c r="AC68" i="59"/>
  <c r="AC84" i="59"/>
  <c r="AC83" i="59"/>
  <c r="AC66" i="59"/>
  <c r="AC88" i="59"/>
  <c r="AC87" i="59"/>
  <c r="AC80" i="59"/>
  <c r="AC79" i="59"/>
  <c r="AC76" i="59"/>
  <c r="AC75" i="59"/>
  <c r="AC73" i="59"/>
  <c r="AC64" i="59"/>
  <c r="AC62" i="59"/>
  <c r="AC71" i="59"/>
  <c r="AC60" i="59"/>
  <c r="AC69" i="59"/>
  <c r="AC67" i="59"/>
  <c r="AC61" i="59"/>
  <c r="AC42" i="59"/>
  <c r="AC40" i="59"/>
  <c r="AC38" i="59"/>
  <c r="AC55" i="59"/>
  <c r="AC56" i="59"/>
  <c r="AC36" i="59"/>
  <c r="AC35" i="59"/>
  <c r="AC33" i="59"/>
  <c r="AC63" i="59"/>
  <c r="AC59" i="59"/>
  <c r="AC57" i="59"/>
  <c r="AC53" i="59"/>
  <c r="AC51" i="59"/>
  <c r="AC49" i="59"/>
  <c r="AC47" i="59"/>
  <c r="AC45" i="59"/>
  <c r="AC58" i="59"/>
  <c r="AC54" i="59"/>
  <c r="AC52" i="59"/>
  <c r="AC48" i="59"/>
  <c r="AC46" i="59"/>
  <c r="AC44" i="59"/>
  <c r="AC43" i="59"/>
  <c r="AC41" i="59"/>
  <c r="AC39" i="59"/>
  <c r="AC34" i="59"/>
  <c r="AC31" i="59"/>
  <c r="AC29" i="59"/>
  <c r="AC27" i="59"/>
  <c r="AC25" i="59"/>
  <c r="AC23" i="59"/>
  <c r="AC21" i="59"/>
  <c r="AC19" i="59"/>
  <c r="AC17" i="59"/>
  <c r="AC15" i="59"/>
  <c r="AC13" i="59"/>
  <c r="AC11" i="59"/>
  <c r="AC9" i="59"/>
  <c r="AC50" i="59"/>
  <c r="AC37" i="59"/>
  <c r="AC32" i="59"/>
  <c r="AC30" i="59"/>
  <c r="AC28" i="59"/>
  <c r="AC26" i="59"/>
  <c r="AC24" i="59"/>
  <c r="AC22" i="59"/>
  <c r="AC20" i="59"/>
  <c r="AC18" i="59"/>
  <c r="AC16" i="59"/>
  <c r="AC14" i="59"/>
  <c r="AC12" i="59"/>
  <c r="AC10" i="59"/>
  <c r="HX19" i="53"/>
  <c r="HS15" i="53"/>
  <c r="J282" i="53"/>
  <c r="J283" i="53" s="1"/>
  <c r="J264" i="53"/>
  <c r="J261" i="54" s="1"/>
  <c r="HO13" i="53"/>
  <c r="HR16" i="53"/>
  <c r="HR17" i="53" s="1"/>
  <c r="L264" i="53" s="1"/>
  <c r="HT15" i="53"/>
  <c r="HP13" i="53"/>
  <c r="H252" i="53"/>
  <c r="H253" i="53" s="1"/>
  <c r="AO1" i="59" s="1"/>
  <c r="L273" i="54"/>
  <c r="K306" i="54"/>
  <c r="F300" i="53"/>
  <c r="F308" i="53" s="1"/>
  <c r="K282" i="53"/>
  <c r="K283" i="53" s="1"/>
  <c r="HW19" i="53"/>
  <c r="N276" i="53"/>
  <c r="N277" i="53" s="1"/>
  <c r="F258" i="53"/>
  <c r="F259" i="53" s="1"/>
  <c r="HV20" i="53"/>
  <c r="G291" i="53"/>
  <c r="G303" i="53" s="1"/>
  <c r="G311" i="53" s="1"/>
  <c r="G290" i="53"/>
  <c r="G293" i="53"/>
  <c r="G292" i="53"/>
  <c r="H269" i="53"/>
  <c r="H268" i="53"/>
  <c r="H313" i="53"/>
  <c r="H266" i="53"/>
  <c r="I289" i="53"/>
  <c r="I315" i="53" s="1"/>
  <c r="I285" i="54"/>
  <c r="HY14" i="54"/>
  <c r="G253" i="53"/>
  <c r="G249" i="54"/>
  <c r="HM12" i="54"/>
  <c r="I265" i="53"/>
  <c r="I269" i="53" s="1"/>
  <c r="I261" i="54"/>
  <c r="HQ14" i="54"/>
  <c r="H301" i="53"/>
  <c r="H309" i="53" s="1"/>
  <c r="H305" i="54"/>
  <c r="H289" i="53"/>
  <c r="H293" i="53" s="1"/>
  <c r="H285" i="54"/>
  <c r="HY13" i="54"/>
  <c r="L286" i="53" a="1"/>
  <c r="L286" i="53" s="1"/>
  <c r="L287" i="53" s="1"/>
  <c r="N262" i="53" a="1"/>
  <c r="N262" i="53" s="1"/>
  <c r="N263" i="53" s="1"/>
  <c r="K250" i="53" a="1"/>
  <c r="K250" i="53" s="1"/>
  <c r="K251" i="53" s="1"/>
  <c r="I251" i="53"/>
  <c r="HN14" i="53" s="1"/>
  <c r="IE14" i="53" s="1"/>
  <c r="J288" i="53"/>
  <c r="IH15" i="53"/>
  <c r="IB15" i="53"/>
  <c r="IA15" i="53"/>
  <c r="HZ16" i="53"/>
  <c r="J302" i="53" l="1"/>
  <c r="J310" i="53" s="1"/>
  <c r="L302" i="53"/>
  <c r="L310" i="53" s="1"/>
  <c r="HU17" i="54"/>
  <c r="L280" i="53"/>
  <c r="L314" i="53"/>
  <c r="L281" i="53"/>
  <c r="L278" i="53"/>
  <c r="M277" i="53"/>
  <c r="M280" i="53" s="1"/>
  <c r="M273" i="54"/>
  <c r="Q274" i="53" a="1"/>
  <c r="Q274" i="53" s="1"/>
  <c r="Q275" i="53" s="1"/>
  <c r="HV21" i="53"/>
  <c r="P276" i="53" s="1"/>
  <c r="HU21" i="54" s="1"/>
  <c r="AG92" i="59"/>
  <c r="AG340" i="59"/>
  <c r="G299" i="53"/>
  <c r="AK1" i="59"/>
  <c r="AC340" i="59"/>
  <c r="AC342" i="59"/>
  <c r="AG93" i="59"/>
  <c r="AG251" i="59"/>
  <c r="AG254" i="59" s="1"/>
  <c r="AG255" i="59" s="1"/>
  <c r="N273" i="54"/>
  <c r="AC428" i="59"/>
  <c r="AC430" i="59" s="1"/>
  <c r="AC431" i="59" s="1"/>
  <c r="AC98" i="59" s="1"/>
  <c r="AG342" i="59"/>
  <c r="AC93" i="59"/>
  <c r="AC251" i="59"/>
  <c r="AC254" i="59" s="1"/>
  <c r="AC255" i="59" s="1"/>
  <c r="AG91" i="59"/>
  <c r="AC91" i="59"/>
  <c r="AO402" i="59"/>
  <c r="AO400" i="59"/>
  <c r="AO398" i="59"/>
  <c r="AO405" i="59"/>
  <c r="AO403" i="59"/>
  <c r="AO401" i="59"/>
  <c r="AO404" i="59"/>
  <c r="AO399" i="59"/>
  <c r="AO396" i="59"/>
  <c r="AO334" i="59"/>
  <c r="AO330" i="59"/>
  <c r="AO335" i="59"/>
  <c r="AO326" i="59"/>
  <c r="AO397" i="59"/>
  <c r="AO395" i="59"/>
  <c r="AO337" i="59"/>
  <c r="AO336" i="59"/>
  <c r="AO328" i="59"/>
  <c r="AO324" i="59"/>
  <c r="AO313" i="59"/>
  <c r="AO332" i="59"/>
  <c r="AO316" i="59"/>
  <c r="AO322" i="59"/>
  <c r="AO314" i="59"/>
  <c r="AO312" i="59"/>
  <c r="AO310" i="59"/>
  <c r="AO315" i="59"/>
  <c r="AO304" i="59"/>
  <c r="AO311" i="59"/>
  <c r="AO309" i="59"/>
  <c r="AO307" i="59"/>
  <c r="AO305" i="59"/>
  <c r="AO302" i="59"/>
  <c r="AO300" i="59"/>
  <c r="AO308" i="59"/>
  <c r="AO299" i="59"/>
  <c r="AO297" i="59"/>
  <c r="AO295" i="59"/>
  <c r="AO306" i="59"/>
  <c r="AO303" i="59"/>
  <c r="AO301" i="59"/>
  <c r="AO298" i="59"/>
  <c r="AO291" i="59"/>
  <c r="AO289" i="59"/>
  <c r="AO287" i="59"/>
  <c r="AO294" i="59"/>
  <c r="AO285" i="59"/>
  <c r="AO283" i="59"/>
  <c r="AO281" i="59"/>
  <c r="AO279" i="59"/>
  <c r="AO277" i="59"/>
  <c r="AO275" i="59"/>
  <c r="AO273" i="59"/>
  <c r="AO296" i="59"/>
  <c r="AO292" i="59"/>
  <c r="AO290" i="59"/>
  <c r="AO288" i="59"/>
  <c r="AO286" i="59"/>
  <c r="AO280" i="59"/>
  <c r="AO293" i="59"/>
  <c r="AO278" i="59"/>
  <c r="AO270" i="59"/>
  <c r="AO268" i="59"/>
  <c r="AO284" i="59"/>
  <c r="AO276" i="59"/>
  <c r="AO282" i="59"/>
  <c r="AO274" i="59"/>
  <c r="AO272" i="59"/>
  <c r="AO267" i="59"/>
  <c r="AO266" i="59"/>
  <c r="AO264" i="59"/>
  <c r="AO262" i="59"/>
  <c r="AO260" i="59"/>
  <c r="AO258" i="59"/>
  <c r="AO269" i="59"/>
  <c r="AO216" i="59"/>
  <c r="AO214" i="59"/>
  <c r="AO265" i="59"/>
  <c r="AO263" i="59"/>
  <c r="AO261" i="59"/>
  <c r="AO259" i="59"/>
  <c r="AO271" i="59"/>
  <c r="AO217" i="59"/>
  <c r="AO210" i="59"/>
  <c r="AO208" i="59"/>
  <c r="AO206" i="59"/>
  <c r="AO218" i="59"/>
  <c r="AO215" i="59"/>
  <c r="AO211" i="59"/>
  <c r="AO198" i="59"/>
  <c r="AO196" i="59"/>
  <c r="AO194" i="59"/>
  <c r="AO192" i="59"/>
  <c r="AO205" i="59"/>
  <c r="AO197" i="59"/>
  <c r="AO195" i="59"/>
  <c r="AO193" i="59"/>
  <c r="AO191" i="59"/>
  <c r="AO189" i="59"/>
  <c r="AO187" i="59"/>
  <c r="AO212" i="59"/>
  <c r="AO209" i="59"/>
  <c r="AO188" i="59"/>
  <c r="AO213" i="59"/>
  <c r="AO200" i="59"/>
  <c r="AO181" i="59"/>
  <c r="AO179" i="59"/>
  <c r="AO202" i="59"/>
  <c r="AO207" i="59"/>
  <c r="AO185" i="59"/>
  <c r="AO184" i="59"/>
  <c r="AO199" i="59"/>
  <c r="AO186" i="59"/>
  <c r="AO180" i="59"/>
  <c r="AO204" i="59"/>
  <c r="AO201" i="59"/>
  <c r="AO203" i="59"/>
  <c r="AO190" i="59"/>
  <c r="AO182" i="59"/>
  <c r="AO173" i="59"/>
  <c r="AO174" i="59"/>
  <c r="AO177" i="59"/>
  <c r="AO178" i="59"/>
  <c r="AO172" i="59"/>
  <c r="AO175" i="59"/>
  <c r="AO183" i="59"/>
  <c r="AO176" i="59"/>
  <c r="AO102" i="59"/>
  <c r="AO86" i="59"/>
  <c r="AO85" i="59"/>
  <c r="AO171" i="59"/>
  <c r="AO89" i="59"/>
  <c r="AO104" i="59"/>
  <c r="AO87" i="59"/>
  <c r="AO90" i="59"/>
  <c r="AO103" i="59"/>
  <c r="AO84" i="59"/>
  <c r="AO88" i="59"/>
  <c r="AO80" i="59"/>
  <c r="AO79" i="59"/>
  <c r="AO76" i="59"/>
  <c r="AO75" i="59"/>
  <c r="AO73" i="59"/>
  <c r="AO64" i="59"/>
  <c r="AO71" i="59"/>
  <c r="AO60" i="59"/>
  <c r="AO69" i="59"/>
  <c r="AO67" i="59"/>
  <c r="AO82" i="59"/>
  <c r="AO81" i="59"/>
  <c r="AO78" i="59"/>
  <c r="AO77" i="59"/>
  <c r="AO74" i="59"/>
  <c r="AO65" i="59"/>
  <c r="AO63" i="59"/>
  <c r="AO61" i="59"/>
  <c r="AO72" i="59"/>
  <c r="AO59" i="59"/>
  <c r="AO70" i="59"/>
  <c r="AO68" i="59"/>
  <c r="AO83" i="59"/>
  <c r="AO66" i="59"/>
  <c r="AO56" i="59"/>
  <c r="AO43" i="59"/>
  <c r="AO41" i="59"/>
  <c r="AO39" i="59"/>
  <c r="AO37" i="59"/>
  <c r="AO57" i="59"/>
  <c r="AO34" i="59"/>
  <c r="AO32" i="59"/>
  <c r="AO62" i="59"/>
  <c r="AO52" i="59"/>
  <c r="AO50" i="59"/>
  <c r="AO48" i="59"/>
  <c r="AO46" i="59"/>
  <c r="AO44" i="59"/>
  <c r="AO54" i="59"/>
  <c r="AO55" i="59"/>
  <c r="AO36" i="59"/>
  <c r="AO58" i="59"/>
  <c r="AO53" i="59"/>
  <c r="AO49" i="59"/>
  <c r="AO38" i="59"/>
  <c r="AO30" i="59"/>
  <c r="AO28" i="59"/>
  <c r="AO26" i="59"/>
  <c r="AO24" i="59"/>
  <c r="AO22" i="59"/>
  <c r="AO20" i="59"/>
  <c r="AO18" i="59"/>
  <c r="AO16" i="59"/>
  <c r="AO14" i="59"/>
  <c r="AO12" i="59"/>
  <c r="AO10" i="59"/>
  <c r="AO51" i="59"/>
  <c r="AO35" i="59"/>
  <c r="AO31" i="59"/>
  <c r="AO29" i="59"/>
  <c r="AO27" i="59"/>
  <c r="AO25" i="59"/>
  <c r="AO23" i="59"/>
  <c r="AO21" i="59"/>
  <c r="AO19" i="59"/>
  <c r="AO17" i="59"/>
  <c r="AO15" i="59"/>
  <c r="AO13" i="59"/>
  <c r="AO11" i="59"/>
  <c r="AO9" i="59"/>
  <c r="AO47" i="59"/>
  <c r="AO45" i="59"/>
  <c r="AO42" i="59"/>
  <c r="AO40" i="59"/>
  <c r="AO33" i="59"/>
  <c r="AC92" i="59"/>
  <c r="AC341" i="59"/>
  <c r="AG341" i="59"/>
  <c r="AG428" i="59"/>
  <c r="AG430" i="59" s="1"/>
  <c r="AG431" i="59" s="1"/>
  <c r="AG98" i="59" s="1"/>
  <c r="J265" i="53"/>
  <c r="J269" i="53" s="1"/>
  <c r="HQ15" i="54"/>
  <c r="H290" i="53"/>
  <c r="HR18" i="53"/>
  <c r="IF18" i="53" s="1"/>
  <c r="HT16" i="53"/>
  <c r="IF17" i="53"/>
  <c r="IF16" i="53"/>
  <c r="HT17" i="53"/>
  <c r="HS16" i="53"/>
  <c r="HS17" i="53"/>
  <c r="K264" i="53"/>
  <c r="K265" i="53" s="1"/>
  <c r="H249" i="54"/>
  <c r="HM13" i="54"/>
  <c r="H254" i="53"/>
  <c r="H255" i="53"/>
  <c r="H304" i="54" s="1"/>
  <c r="HU19" i="54"/>
  <c r="H292" i="53"/>
  <c r="H294" i="53" s="1"/>
  <c r="H295" i="53" s="1"/>
  <c r="G294" i="53"/>
  <c r="G295" i="53" s="1"/>
  <c r="H291" i="53"/>
  <c r="H307" i="54" s="1"/>
  <c r="I290" i="53"/>
  <c r="I293" i="53"/>
  <c r="H315" i="53"/>
  <c r="G256" i="53"/>
  <c r="G255" i="53"/>
  <c r="G300" i="53" s="1"/>
  <c r="G308" i="53" s="1"/>
  <c r="G312" i="53"/>
  <c r="N279" i="53"/>
  <c r="N306" i="54" s="1"/>
  <c r="N281" i="53"/>
  <c r="HW20" i="53"/>
  <c r="IG20" i="53"/>
  <c r="HX20" i="53"/>
  <c r="O276" i="53"/>
  <c r="H256" i="53"/>
  <c r="H299" i="53"/>
  <c r="H257" i="53"/>
  <c r="G307" i="54"/>
  <c r="I291" i="53"/>
  <c r="I303" i="53" s="1"/>
  <c r="I311" i="53" s="1"/>
  <c r="H312" i="53"/>
  <c r="I292" i="53"/>
  <c r="G254" i="53"/>
  <c r="G257" i="53"/>
  <c r="H270" i="53"/>
  <c r="H271" i="53" s="1"/>
  <c r="I267" i="53"/>
  <c r="I268" i="53"/>
  <c r="I270" i="53" s="1"/>
  <c r="I271" i="53" s="1"/>
  <c r="I313" i="53"/>
  <c r="I266" i="53"/>
  <c r="L265" i="53"/>
  <c r="L268" i="53" s="1"/>
  <c r="L261" i="54"/>
  <c r="HQ17" i="54"/>
  <c r="J289" i="53"/>
  <c r="J315" i="53" s="1"/>
  <c r="J285" i="54"/>
  <c r="HY15" i="54"/>
  <c r="HO14" i="53"/>
  <c r="N314" i="53"/>
  <c r="N280" i="53"/>
  <c r="N278" i="53"/>
  <c r="M286" i="53" a="1"/>
  <c r="M286" i="53" s="1"/>
  <c r="M287" i="53" s="1"/>
  <c r="I252" i="53"/>
  <c r="O262" i="53" a="1"/>
  <c r="O262" i="53" s="1"/>
  <c r="O263" i="53" s="1"/>
  <c r="HN15" i="53"/>
  <c r="IE15" i="53" s="1"/>
  <c r="HP14" i="53"/>
  <c r="L250" i="53" a="1"/>
  <c r="L250" i="53" s="1"/>
  <c r="L251" i="53" s="1"/>
  <c r="HZ17" i="53"/>
  <c r="IA17" i="53" s="1"/>
  <c r="K288" i="53"/>
  <c r="IA16" i="53"/>
  <c r="IB16" i="53"/>
  <c r="IH16" i="53"/>
  <c r="L282" i="53" l="1"/>
  <c r="L283" i="53" s="1"/>
  <c r="M281" i="53"/>
  <c r="M282" i="53" s="1"/>
  <c r="M283" i="53" s="1"/>
  <c r="M279" i="53"/>
  <c r="M306" i="54" s="1"/>
  <c r="M314" i="53"/>
  <c r="M278" i="53"/>
  <c r="HX21" i="53"/>
  <c r="IG21" i="53"/>
  <c r="HW21" i="53"/>
  <c r="HV22" i="53"/>
  <c r="IG22" i="53" s="1"/>
  <c r="AG343" i="59"/>
  <c r="AG344" i="59" s="1"/>
  <c r="AG97" i="59" s="1"/>
  <c r="R274" i="53" a="1"/>
  <c r="R274" i="53" s="1"/>
  <c r="R275" i="53" s="1"/>
  <c r="HS18" i="53"/>
  <c r="J293" i="53"/>
  <c r="I294" i="53"/>
  <c r="I295" i="53" s="1"/>
  <c r="H303" i="53"/>
  <c r="H311" i="53" s="1"/>
  <c r="HT18" i="53"/>
  <c r="M264" i="53"/>
  <c r="M265" i="53" s="1"/>
  <c r="M266" i="53" s="1"/>
  <c r="HR19" i="53"/>
  <c r="HS19" i="53" s="1"/>
  <c r="AC94" i="59"/>
  <c r="AC96" i="59" s="1"/>
  <c r="J313" i="53"/>
  <c r="AG94" i="59"/>
  <c r="AG95" i="59" s="1"/>
  <c r="J268" i="53"/>
  <c r="J270" i="53" s="1"/>
  <c r="J271" i="53" s="1"/>
  <c r="AO91" i="59"/>
  <c r="AO92" i="59"/>
  <c r="AO93" i="59"/>
  <c r="AO341" i="59"/>
  <c r="AO342" i="59"/>
  <c r="AO428" i="59"/>
  <c r="AO430" i="59" s="1"/>
  <c r="AO431" i="59" s="1"/>
  <c r="AO98" i="59" s="1"/>
  <c r="AO251" i="59"/>
  <c r="AO254" i="59" s="1"/>
  <c r="AO255" i="59" s="1"/>
  <c r="AC343" i="59"/>
  <c r="AC344" i="59" s="1"/>
  <c r="AC97" i="59" s="1"/>
  <c r="AK403" i="59"/>
  <c r="AK401" i="59"/>
  <c r="AK399" i="59"/>
  <c r="AK397" i="59"/>
  <c r="AK404" i="59"/>
  <c r="AK402" i="59"/>
  <c r="AK405" i="59"/>
  <c r="AK395" i="59"/>
  <c r="AK398" i="59"/>
  <c r="AK400" i="59"/>
  <c r="AK396" i="59"/>
  <c r="AK337" i="59"/>
  <c r="AK332" i="59"/>
  <c r="AK336" i="59"/>
  <c r="AK328" i="59"/>
  <c r="AK335" i="59"/>
  <c r="AK326" i="59"/>
  <c r="AK322" i="59"/>
  <c r="AK314" i="59"/>
  <c r="AK324" i="59"/>
  <c r="AK313" i="59"/>
  <c r="AK311" i="59"/>
  <c r="AK330" i="59"/>
  <c r="AK316" i="59"/>
  <c r="AK334" i="59"/>
  <c r="AK312" i="59"/>
  <c r="AK315" i="59"/>
  <c r="AK310" i="59"/>
  <c r="AK308" i="59"/>
  <c r="AK306" i="59"/>
  <c r="AK303" i="59"/>
  <c r="AK301" i="59"/>
  <c r="AK305" i="59"/>
  <c r="AK302" i="59"/>
  <c r="AK298" i="59"/>
  <c r="AK296" i="59"/>
  <c r="AK294" i="59"/>
  <c r="AK309" i="59"/>
  <c r="AK304" i="59"/>
  <c r="AK307" i="59"/>
  <c r="AK299" i="59"/>
  <c r="AK297" i="59"/>
  <c r="AK292" i="59"/>
  <c r="AK290" i="59"/>
  <c r="AK288" i="59"/>
  <c r="AK286" i="59"/>
  <c r="AK284" i="59"/>
  <c r="AK282" i="59"/>
  <c r="AK280" i="59"/>
  <c r="AK278" i="59"/>
  <c r="AK276" i="59"/>
  <c r="AK274" i="59"/>
  <c r="AK272" i="59"/>
  <c r="AK293" i="59"/>
  <c r="AK291" i="59"/>
  <c r="AK289" i="59"/>
  <c r="AK287" i="59"/>
  <c r="AK300" i="59"/>
  <c r="AK295" i="59"/>
  <c r="AK283" i="59"/>
  <c r="AK285" i="59"/>
  <c r="AK281" i="59"/>
  <c r="AK271" i="59"/>
  <c r="AK269" i="59"/>
  <c r="AK267" i="59"/>
  <c r="AK279" i="59"/>
  <c r="AK275" i="59"/>
  <c r="AK273" i="59"/>
  <c r="AK277" i="59"/>
  <c r="AK268" i="59"/>
  <c r="AK270" i="59"/>
  <c r="AK265" i="59"/>
  <c r="AK263" i="59"/>
  <c r="AK261" i="59"/>
  <c r="AK259" i="59"/>
  <c r="AK217" i="59"/>
  <c r="AK218" i="59"/>
  <c r="AK215" i="59"/>
  <c r="AK266" i="59"/>
  <c r="AK264" i="59"/>
  <c r="AK262" i="59"/>
  <c r="AK260" i="59"/>
  <c r="AK258" i="59"/>
  <c r="AK213" i="59"/>
  <c r="AK211" i="59"/>
  <c r="AK209" i="59"/>
  <c r="AK207" i="59"/>
  <c r="AK214" i="59"/>
  <c r="AK212" i="59"/>
  <c r="AK216" i="59"/>
  <c r="AK210" i="59"/>
  <c r="AK208" i="59"/>
  <c r="AK197" i="59"/>
  <c r="AK195" i="59"/>
  <c r="AK193" i="59"/>
  <c r="AK204" i="59"/>
  <c r="AK198" i="59"/>
  <c r="AK196" i="59"/>
  <c r="AK194" i="59"/>
  <c r="AK192" i="59"/>
  <c r="AK190" i="59"/>
  <c r="AK188" i="59"/>
  <c r="AK206" i="59"/>
  <c r="AK201" i="59"/>
  <c r="AK191" i="59"/>
  <c r="AK186" i="59"/>
  <c r="AK203" i="59"/>
  <c r="AK189" i="59"/>
  <c r="AK180" i="59"/>
  <c r="AK205" i="59"/>
  <c r="AK200" i="59"/>
  <c r="AK187" i="59"/>
  <c r="AK202" i="59"/>
  <c r="AK181" i="59"/>
  <c r="AK199" i="59"/>
  <c r="AK185" i="59"/>
  <c r="AK184" i="59"/>
  <c r="AK183" i="59"/>
  <c r="AK178" i="59"/>
  <c r="AK175" i="59"/>
  <c r="AK172" i="59"/>
  <c r="AK176" i="59"/>
  <c r="AK179" i="59"/>
  <c r="AK177" i="59"/>
  <c r="AK174" i="59"/>
  <c r="AK182" i="59"/>
  <c r="AK103" i="59"/>
  <c r="AK90" i="59"/>
  <c r="AK102" i="59"/>
  <c r="AK171" i="59"/>
  <c r="AK86" i="59"/>
  <c r="AK85" i="59"/>
  <c r="AK173" i="59"/>
  <c r="AK89" i="59"/>
  <c r="AK104" i="59"/>
  <c r="AK82" i="59"/>
  <c r="AK81" i="59"/>
  <c r="AK78" i="59"/>
  <c r="AK77" i="59"/>
  <c r="AK74" i="59"/>
  <c r="AK65" i="59"/>
  <c r="AK72" i="59"/>
  <c r="AK88" i="59"/>
  <c r="AK87" i="59"/>
  <c r="AK70" i="59"/>
  <c r="AK68" i="59"/>
  <c r="AK83" i="59"/>
  <c r="AK66" i="59"/>
  <c r="AK80" i="59"/>
  <c r="AK79" i="59"/>
  <c r="AK76" i="59"/>
  <c r="AK75" i="59"/>
  <c r="AK73" i="59"/>
  <c r="AK64" i="59"/>
  <c r="AK62" i="59"/>
  <c r="AK84" i="59"/>
  <c r="AK71" i="59"/>
  <c r="AK60" i="59"/>
  <c r="AK69" i="59"/>
  <c r="AK67" i="59"/>
  <c r="AK58" i="59"/>
  <c r="AK54" i="59"/>
  <c r="AK42" i="59"/>
  <c r="AK40" i="59"/>
  <c r="AK38" i="59"/>
  <c r="AK63" i="59"/>
  <c r="AK55" i="59"/>
  <c r="AK36" i="59"/>
  <c r="AK35" i="59"/>
  <c r="AK33" i="59"/>
  <c r="AK56" i="59"/>
  <c r="AK53" i="59"/>
  <c r="AK51" i="59"/>
  <c r="AK49" i="59"/>
  <c r="AK47" i="59"/>
  <c r="AK45" i="59"/>
  <c r="AK61" i="59"/>
  <c r="AK57" i="59"/>
  <c r="AK59" i="59"/>
  <c r="AK46" i="59"/>
  <c r="AK44" i="59"/>
  <c r="AK43" i="59"/>
  <c r="AK41" i="59"/>
  <c r="AK39" i="59"/>
  <c r="AK52" i="59"/>
  <c r="AK48" i="59"/>
  <c r="AK31" i="59"/>
  <c r="AK29" i="59"/>
  <c r="AK27" i="59"/>
  <c r="AK25" i="59"/>
  <c r="AK23" i="59"/>
  <c r="AK21" i="59"/>
  <c r="AK19" i="59"/>
  <c r="AK17" i="59"/>
  <c r="AK15" i="59"/>
  <c r="AK13" i="59"/>
  <c r="AK11" i="59"/>
  <c r="AK9" i="59"/>
  <c r="AK37" i="59"/>
  <c r="AK34" i="59"/>
  <c r="AK50" i="59"/>
  <c r="AK30" i="59"/>
  <c r="AK28" i="59"/>
  <c r="AK26" i="59"/>
  <c r="AK24" i="59"/>
  <c r="AK22" i="59"/>
  <c r="AK20" i="59"/>
  <c r="AK18" i="59"/>
  <c r="AK16" i="59"/>
  <c r="AK14" i="59"/>
  <c r="AK12" i="59"/>
  <c r="AK10" i="59"/>
  <c r="AK32" i="59"/>
  <c r="AO340" i="59"/>
  <c r="J267" i="53"/>
  <c r="J301" i="53" s="1"/>
  <c r="J309" i="53" s="1"/>
  <c r="J266" i="53"/>
  <c r="H300" i="53"/>
  <c r="H308" i="53" s="1"/>
  <c r="J291" i="53"/>
  <c r="J303" i="53" s="1"/>
  <c r="J311" i="53" s="1"/>
  <c r="K261" i="54"/>
  <c r="J292" i="53"/>
  <c r="J294" i="53" s="1"/>
  <c r="J295" i="53" s="1"/>
  <c r="N302" i="53"/>
  <c r="N310" i="53" s="1"/>
  <c r="K269" i="53"/>
  <c r="K267" i="53"/>
  <c r="K301" i="53" s="1"/>
  <c r="K309" i="53" s="1"/>
  <c r="K268" i="53"/>
  <c r="HQ16" i="54"/>
  <c r="P273" i="54"/>
  <c r="K313" i="53"/>
  <c r="HN16" i="53"/>
  <c r="HO16" i="53" s="1"/>
  <c r="G258" i="53"/>
  <c r="G259" i="53" s="1"/>
  <c r="P277" i="53"/>
  <c r="P280" i="53" s="1"/>
  <c r="HZ18" i="53"/>
  <c r="IH18" i="53" s="1"/>
  <c r="J290" i="53"/>
  <c r="G304" i="54"/>
  <c r="K266" i="53"/>
  <c r="H258" i="53"/>
  <c r="H259" i="53" s="1"/>
  <c r="O277" i="53"/>
  <c r="O273" i="54"/>
  <c r="HU20" i="54"/>
  <c r="N282" i="53"/>
  <c r="N283" i="53" s="1"/>
  <c r="I307" i="54"/>
  <c r="J252" i="53"/>
  <c r="J253" i="53" s="1"/>
  <c r="AW1" i="59" s="1"/>
  <c r="L313" i="53"/>
  <c r="L266" i="53"/>
  <c r="L269" i="53"/>
  <c r="L270" i="53" s="1"/>
  <c r="L271" i="53" s="1"/>
  <c r="L267" i="53"/>
  <c r="L301" i="53" s="1"/>
  <c r="L309" i="53" s="1"/>
  <c r="HP15" i="53"/>
  <c r="I253" i="53"/>
  <c r="AS1" i="59" s="1"/>
  <c r="I249" i="54"/>
  <c r="HM14" i="54"/>
  <c r="N286" i="53" a="1"/>
  <c r="N286" i="53" s="1"/>
  <c r="N287" i="53" s="1"/>
  <c r="K289" i="53"/>
  <c r="K315" i="53" s="1"/>
  <c r="K285" i="54"/>
  <c r="HY16" i="54"/>
  <c r="I301" i="53"/>
  <c r="I309" i="53" s="1"/>
  <c r="I305" i="54"/>
  <c r="IH17" i="53"/>
  <c r="HO15" i="53"/>
  <c r="P262" i="53" a="1"/>
  <c r="P262" i="53" s="1"/>
  <c r="P263" i="53" s="1"/>
  <c r="IB17" i="53"/>
  <c r="L288" i="53"/>
  <c r="M250" i="53" a="1"/>
  <c r="M250" i="53" s="1"/>
  <c r="HW22" i="53" l="1"/>
  <c r="HV23" i="53"/>
  <c r="HZ19" i="53"/>
  <c r="HX22" i="53"/>
  <c r="Q276" i="53"/>
  <c r="HU22" i="54" s="1"/>
  <c r="M302" i="53"/>
  <c r="M310" i="53" s="1"/>
  <c r="N264" i="53"/>
  <c r="N265" i="53" s="1"/>
  <c r="N266" i="53" s="1"/>
  <c r="HQ18" i="54"/>
  <c r="S274" i="53" a="1"/>
  <c r="S274" i="53" s="1"/>
  <c r="IF19" i="53"/>
  <c r="M261" i="54"/>
  <c r="HR20" i="53"/>
  <c r="HT20" i="53" s="1"/>
  <c r="HT19" i="53"/>
  <c r="IE16" i="53"/>
  <c r="K270" i="53"/>
  <c r="K271" i="53" s="1"/>
  <c r="AO343" i="59"/>
  <c r="AO344" i="59" s="1"/>
  <c r="AO97" i="59" s="1"/>
  <c r="AC95" i="59"/>
  <c r="J307" i="54"/>
  <c r="AG96" i="59"/>
  <c r="AG99" i="59" s="1"/>
  <c r="AG105" i="59" s="1"/>
  <c r="AG107" i="59" s="1"/>
  <c r="AO94" i="59"/>
  <c r="AO96" i="59" s="1"/>
  <c r="K252" i="53"/>
  <c r="K253" i="53" s="1"/>
  <c r="BA1" i="59" s="1"/>
  <c r="AC99" i="59"/>
  <c r="AC105" i="59" s="1"/>
  <c r="AD106" i="59" s="1"/>
  <c r="AK92" i="59"/>
  <c r="AK93" i="59"/>
  <c r="AK251" i="59"/>
  <c r="AK254" i="59" s="1"/>
  <c r="AK255" i="59" s="1"/>
  <c r="AK342" i="59"/>
  <c r="HP16" i="53"/>
  <c r="HN17" i="53"/>
  <c r="IE17" i="53" s="1"/>
  <c r="AS403" i="59"/>
  <c r="AS401" i="59"/>
  <c r="AS399" i="59"/>
  <c r="AS397" i="59"/>
  <c r="AS404" i="59"/>
  <c r="AS402" i="59"/>
  <c r="AS405" i="59"/>
  <c r="AS398" i="59"/>
  <c r="AS395" i="59"/>
  <c r="AS400" i="59"/>
  <c r="AS332" i="59"/>
  <c r="AS337" i="59"/>
  <c r="AS336" i="59"/>
  <c r="AS328" i="59"/>
  <c r="AS396" i="59"/>
  <c r="AS335" i="59"/>
  <c r="AS326" i="59"/>
  <c r="AS322" i="59"/>
  <c r="AS314" i="59"/>
  <c r="AS330" i="59"/>
  <c r="AS324" i="59"/>
  <c r="AS313" i="59"/>
  <c r="AS311" i="59"/>
  <c r="AS334" i="59"/>
  <c r="AS316" i="59"/>
  <c r="AS315" i="59"/>
  <c r="AS312" i="59"/>
  <c r="AS308" i="59"/>
  <c r="AS306" i="59"/>
  <c r="AS303" i="59"/>
  <c r="AS301" i="59"/>
  <c r="AS310" i="59"/>
  <c r="AS304" i="59"/>
  <c r="AS309" i="59"/>
  <c r="AS298" i="59"/>
  <c r="AS296" i="59"/>
  <c r="AS294" i="59"/>
  <c r="AS307" i="59"/>
  <c r="AS302" i="59"/>
  <c r="AS300" i="59"/>
  <c r="AS305" i="59"/>
  <c r="AS299" i="59"/>
  <c r="AS292" i="59"/>
  <c r="AS290" i="59"/>
  <c r="AS288" i="59"/>
  <c r="AS286" i="59"/>
  <c r="AS284" i="59"/>
  <c r="AS282" i="59"/>
  <c r="AS280" i="59"/>
  <c r="AS278" i="59"/>
  <c r="AS276" i="59"/>
  <c r="AS274" i="59"/>
  <c r="AS272" i="59"/>
  <c r="AS297" i="59"/>
  <c r="AS293" i="59"/>
  <c r="AS291" i="59"/>
  <c r="AS289" i="59"/>
  <c r="AS287" i="59"/>
  <c r="AS285" i="59"/>
  <c r="AS281" i="59"/>
  <c r="AS273" i="59"/>
  <c r="AS279" i="59"/>
  <c r="AS275" i="59"/>
  <c r="AS271" i="59"/>
  <c r="AS269" i="59"/>
  <c r="AS267" i="59"/>
  <c r="AS277" i="59"/>
  <c r="AS295" i="59"/>
  <c r="AS283" i="59"/>
  <c r="AS265" i="59"/>
  <c r="AS263" i="59"/>
  <c r="AS261" i="59"/>
  <c r="AS259" i="59"/>
  <c r="AS268" i="59"/>
  <c r="AS217" i="59"/>
  <c r="AS218" i="59"/>
  <c r="AS215" i="59"/>
  <c r="AS270" i="59"/>
  <c r="AS266" i="59"/>
  <c r="AS264" i="59"/>
  <c r="AS262" i="59"/>
  <c r="AS260" i="59"/>
  <c r="AS258" i="59"/>
  <c r="AS212" i="59"/>
  <c r="AS209" i="59"/>
  <c r="AS207" i="59"/>
  <c r="AS213" i="59"/>
  <c r="AS216" i="59"/>
  <c r="AS214" i="59"/>
  <c r="AS211" i="59"/>
  <c r="AS206" i="59"/>
  <c r="AS197" i="59"/>
  <c r="AS195" i="59"/>
  <c r="AS193" i="59"/>
  <c r="AS208" i="59"/>
  <c r="AS204" i="59"/>
  <c r="AS198" i="59"/>
  <c r="AS196" i="59"/>
  <c r="AS194" i="59"/>
  <c r="AS192" i="59"/>
  <c r="AS190" i="59"/>
  <c r="AS188" i="59"/>
  <c r="AS205" i="59"/>
  <c r="AS202" i="59"/>
  <c r="AS184" i="59"/>
  <c r="AS185" i="59"/>
  <c r="AS180" i="59"/>
  <c r="AS210" i="59"/>
  <c r="AS186" i="59"/>
  <c r="AS191" i="59"/>
  <c r="AS182" i="59"/>
  <c r="AS199" i="59"/>
  <c r="AS189" i="59"/>
  <c r="AS201" i="59"/>
  <c r="AS187" i="59"/>
  <c r="AS181" i="59"/>
  <c r="AS203" i="59"/>
  <c r="AS200" i="59"/>
  <c r="AS183" i="59"/>
  <c r="AS178" i="59"/>
  <c r="AS175" i="59"/>
  <c r="AS172" i="59"/>
  <c r="AS176" i="59"/>
  <c r="AS173" i="59"/>
  <c r="AS179" i="59"/>
  <c r="AS177" i="59"/>
  <c r="AS171" i="59"/>
  <c r="AS174" i="59"/>
  <c r="AS104" i="59"/>
  <c r="AS90" i="59"/>
  <c r="AS103" i="59"/>
  <c r="AS102" i="59"/>
  <c r="AS86" i="59"/>
  <c r="AS85" i="59"/>
  <c r="AS89" i="59"/>
  <c r="AS88" i="59"/>
  <c r="AS87" i="59"/>
  <c r="AS82" i="59"/>
  <c r="AS81" i="59"/>
  <c r="AS78" i="59"/>
  <c r="AS77" i="59"/>
  <c r="AS74" i="59"/>
  <c r="AS65" i="59"/>
  <c r="AS72" i="59"/>
  <c r="AS70" i="59"/>
  <c r="AS68" i="59"/>
  <c r="AS83" i="59"/>
  <c r="AS66" i="59"/>
  <c r="AS80" i="59"/>
  <c r="AS79" i="59"/>
  <c r="AS76" i="59"/>
  <c r="AS75" i="59"/>
  <c r="AS73" i="59"/>
  <c r="AS64" i="59"/>
  <c r="AS62" i="59"/>
  <c r="AS71" i="59"/>
  <c r="AS60" i="59"/>
  <c r="AS69" i="59"/>
  <c r="AS67" i="59"/>
  <c r="AS84" i="59"/>
  <c r="AS42" i="59"/>
  <c r="AS40" i="59"/>
  <c r="AS38" i="59"/>
  <c r="AS54" i="59"/>
  <c r="AS61" i="59"/>
  <c r="AS36" i="59"/>
  <c r="AS35" i="59"/>
  <c r="AS33" i="59"/>
  <c r="AS59" i="59"/>
  <c r="AS58" i="59"/>
  <c r="AS55" i="59"/>
  <c r="AS53" i="59"/>
  <c r="AS51" i="59"/>
  <c r="AS49" i="59"/>
  <c r="AS47" i="59"/>
  <c r="AS45" i="59"/>
  <c r="AS56" i="59"/>
  <c r="AS63" i="59"/>
  <c r="AS57" i="59"/>
  <c r="AS52" i="59"/>
  <c r="AS48" i="59"/>
  <c r="AS37" i="59"/>
  <c r="AS32" i="59"/>
  <c r="AS31" i="59"/>
  <c r="AS29" i="59"/>
  <c r="AS27" i="59"/>
  <c r="AS25" i="59"/>
  <c r="AS23" i="59"/>
  <c r="AS21" i="59"/>
  <c r="AS19" i="59"/>
  <c r="AS17" i="59"/>
  <c r="AS15" i="59"/>
  <c r="AS13" i="59"/>
  <c r="AS11" i="59"/>
  <c r="AS9" i="59"/>
  <c r="AS50" i="59"/>
  <c r="AS46" i="59"/>
  <c r="AS44" i="59"/>
  <c r="AS43" i="59"/>
  <c r="AS41" i="59"/>
  <c r="AS39" i="59"/>
  <c r="AS34" i="59"/>
  <c r="AS30" i="59"/>
  <c r="AS28" i="59"/>
  <c r="AS26" i="59"/>
  <c r="AS24" i="59"/>
  <c r="AS22" i="59"/>
  <c r="AS20" i="59"/>
  <c r="AS18" i="59"/>
  <c r="AS16" i="59"/>
  <c r="AS14" i="59"/>
  <c r="AS12" i="59"/>
  <c r="AS10" i="59"/>
  <c r="AK428" i="59"/>
  <c r="AK430" i="59" s="1"/>
  <c r="AK431" i="59" s="1"/>
  <c r="AK98" i="59" s="1"/>
  <c r="AK91" i="59"/>
  <c r="AK341" i="59"/>
  <c r="AW402" i="59"/>
  <c r="AW400" i="59"/>
  <c r="AW398" i="59"/>
  <c r="AW396" i="59"/>
  <c r="AW405" i="59"/>
  <c r="AW403" i="59"/>
  <c r="AW401" i="59"/>
  <c r="AW399" i="59"/>
  <c r="AW397" i="59"/>
  <c r="AW334" i="59"/>
  <c r="AW330" i="59"/>
  <c r="AW395" i="59"/>
  <c r="AW335" i="59"/>
  <c r="AW326" i="59"/>
  <c r="AW404" i="59"/>
  <c r="AW336" i="59"/>
  <c r="AW337" i="59"/>
  <c r="AW328" i="59"/>
  <c r="AW324" i="59"/>
  <c r="AW313" i="59"/>
  <c r="AW316" i="59"/>
  <c r="AW322" i="59"/>
  <c r="AW314" i="59"/>
  <c r="AW312" i="59"/>
  <c r="AW310" i="59"/>
  <c r="AW332" i="59"/>
  <c r="AW315" i="59"/>
  <c r="AW304" i="59"/>
  <c r="AW309" i="59"/>
  <c r="AW307" i="59"/>
  <c r="AW305" i="59"/>
  <c r="AW302" i="59"/>
  <c r="AW300" i="59"/>
  <c r="AW311" i="59"/>
  <c r="AW308" i="59"/>
  <c r="AW303" i="59"/>
  <c r="AW306" i="59"/>
  <c r="AW299" i="59"/>
  <c r="AW297" i="59"/>
  <c r="AW295" i="59"/>
  <c r="AW301" i="59"/>
  <c r="AW298" i="59"/>
  <c r="AW291" i="59"/>
  <c r="AW289" i="59"/>
  <c r="AW287" i="59"/>
  <c r="AW285" i="59"/>
  <c r="AW283" i="59"/>
  <c r="AW281" i="59"/>
  <c r="AW279" i="59"/>
  <c r="AW277" i="59"/>
  <c r="AW275" i="59"/>
  <c r="AW273" i="59"/>
  <c r="AW294" i="59"/>
  <c r="AW292" i="59"/>
  <c r="AW290" i="59"/>
  <c r="AW288" i="59"/>
  <c r="AW286" i="59"/>
  <c r="AW296" i="59"/>
  <c r="AW278" i="59"/>
  <c r="AW284" i="59"/>
  <c r="AW276" i="59"/>
  <c r="AW274" i="59"/>
  <c r="AW270" i="59"/>
  <c r="AW268" i="59"/>
  <c r="AW282" i="59"/>
  <c r="AW280" i="59"/>
  <c r="AW272" i="59"/>
  <c r="AW269" i="59"/>
  <c r="AW267" i="59"/>
  <c r="AW266" i="59"/>
  <c r="AW264" i="59"/>
  <c r="AW262" i="59"/>
  <c r="AW260" i="59"/>
  <c r="AW258" i="59"/>
  <c r="AW293" i="59"/>
  <c r="AW271" i="59"/>
  <c r="AW216" i="59"/>
  <c r="AW214" i="59"/>
  <c r="AW265" i="59"/>
  <c r="AW263" i="59"/>
  <c r="AW261" i="59"/>
  <c r="AW259" i="59"/>
  <c r="AW210" i="59"/>
  <c r="AW208" i="59"/>
  <c r="AW206" i="59"/>
  <c r="AW218" i="59"/>
  <c r="AW215" i="59"/>
  <c r="AW212" i="59"/>
  <c r="AW211" i="59"/>
  <c r="AW209" i="59"/>
  <c r="AW198" i="59"/>
  <c r="AW196" i="59"/>
  <c r="AW194" i="59"/>
  <c r="AW192" i="59"/>
  <c r="AW207" i="59"/>
  <c r="AW205" i="59"/>
  <c r="AW217" i="59"/>
  <c r="AW197" i="59"/>
  <c r="AW195" i="59"/>
  <c r="AW193" i="59"/>
  <c r="AW191" i="59"/>
  <c r="AW189" i="59"/>
  <c r="AW187" i="59"/>
  <c r="AW213" i="59"/>
  <c r="AW181" i="59"/>
  <c r="AW179" i="59"/>
  <c r="AW199" i="59"/>
  <c r="AW190" i="59"/>
  <c r="AW201" i="59"/>
  <c r="AW188" i="59"/>
  <c r="AW183" i="59"/>
  <c r="AW204" i="59"/>
  <c r="AW203" i="59"/>
  <c r="AW184" i="59"/>
  <c r="AW180" i="59"/>
  <c r="AW200" i="59"/>
  <c r="AW202" i="59"/>
  <c r="AW186" i="59"/>
  <c r="AW185" i="59"/>
  <c r="AW176" i="59"/>
  <c r="AW173" i="59"/>
  <c r="AW182" i="59"/>
  <c r="AW174" i="59"/>
  <c r="AW177" i="59"/>
  <c r="AW178" i="59"/>
  <c r="AW172" i="59"/>
  <c r="AW103" i="59"/>
  <c r="AW86" i="59"/>
  <c r="AW85" i="59"/>
  <c r="AW102" i="59"/>
  <c r="AW89" i="59"/>
  <c r="AW87" i="59"/>
  <c r="AW175" i="59"/>
  <c r="AW90" i="59"/>
  <c r="AW171" i="59"/>
  <c r="AW104" i="59"/>
  <c r="AW84" i="59"/>
  <c r="AW88" i="59"/>
  <c r="AW80" i="59"/>
  <c r="AW79" i="59"/>
  <c r="AW76" i="59"/>
  <c r="AW75" i="59"/>
  <c r="AW73" i="59"/>
  <c r="AW64" i="59"/>
  <c r="AW71" i="59"/>
  <c r="AW60" i="59"/>
  <c r="AW69" i="59"/>
  <c r="AW67" i="59"/>
  <c r="AW82" i="59"/>
  <c r="AW81" i="59"/>
  <c r="AW78" i="59"/>
  <c r="AW77" i="59"/>
  <c r="AW74" i="59"/>
  <c r="AW65" i="59"/>
  <c r="AW63" i="59"/>
  <c r="AW61" i="59"/>
  <c r="AW72" i="59"/>
  <c r="AW59" i="59"/>
  <c r="AW70" i="59"/>
  <c r="AW68" i="59"/>
  <c r="AW83" i="59"/>
  <c r="AW43" i="59"/>
  <c r="AW41" i="59"/>
  <c r="AW39" i="59"/>
  <c r="AW37" i="59"/>
  <c r="AW62" i="59"/>
  <c r="AW56" i="59"/>
  <c r="AW58" i="59"/>
  <c r="AW34" i="59"/>
  <c r="AW32" i="59"/>
  <c r="AW57" i="59"/>
  <c r="AW52" i="59"/>
  <c r="AW50" i="59"/>
  <c r="AW48" i="59"/>
  <c r="AW46" i="59"/>
  <c r="AW44" i="59"/>
  <c r="AW54" i="59"/>
  <c r="AW36" i="59"/>
  <c r="AW66" i="59"/>
  <c r="AW55" i="59"/>
  <c r="AW53" i="59"/>
  <c r="AW35" i="59"/>
  <c r="AW33" i="59"/>
  <c r="AW30" i="59"/>
  <c r="AW28" i="59"/>
  <c r="AW26" i="59"/>
  <c r="AW24" i="59"/>
  <c r="AW22" i="59"/>
  <c r="AW20" i="59"/>
  <c r="AW18" i="59"/>
  <c r="AW16" i="59"/>
  <c r="AW14" i="59"/>
  <c r="AW12" i="59"/>
  <c r="AW10" i="59"/>
  <c r="AW51" i="59"/>
  <c r="AW47" i="59"/>
  <c r="AW45" i="59"/>
  <c r="AW42" i="59"/>
  <c r="AW40" i="59"/>
  <c r="AW31" i="59"/>
  <c r="AW29" i="59"/>
  <c r="AW27" i="59"/>
  <c r="AW25" i="59"/>
  <c r="AW23" i="59"/>
  <c r="AW21" i="59"/>
  <c r="AW19" i="59"/>
  <c r="AW17" i="59"/>
  <c r="AW15" i="59"/>
  <c r="AW13" i="59"/>
  <c r="AW11" i="59"/>
  <c r="AW9" i="59"/>
  <c r="AW49" i="59"/>
  <c r="AW38" i="59"/>
  <c r="J305" i="54"/>
  <c r="AK340" i="59"/>
  <c r="IA18" i="53"/>
  <c r="K305" i="54"/>
  <c r="P278" i="53"/>
  <c r="M268" i="53"/>
  <c r="HM15" i="54"/>
  <c r="P314" i="53"/>
  <c r="K290" i="53"/>
  <c r="Q273" i="54"/>
  <c r="Q277" i="53"/>
  <c r="Q280" i="53" s="1"/>
  <c r="L305" i="54"/>
  <c r="M269" i="53"/>
  <c r="P279" i="53"/>
  <c r="M313" i="53"/>
  <c r="IB18" i="53"/>
  <c r="P281" i="53"/>
  <c r="P282" i="53" s="1"/>
  <c r="P283" i="53" s="1"/>
  <c r="M288" i="53"/>
  <c r="M289" i="53" s="1"/>
  <c r="M315" i="53" s="1"/>
  <c r="K292" i="53"/>
  <c r="K293" i="53"/>
  <c r="K291" i="53"/>
  <c r="K303" i="53" s="1"/>
  <c r="K311" i="53" s="1"/>
  <c r="O314" i="53"/>
  <c r="O279" i="53"/>
  <c r="O278" i="53"/>
  <c r="O280" i="53"/>
  <c r="O281" i="53"/>
  <c r="J312" i="53"/>
  <c r="J299" i="53"/>
  <c r="J256" i="53"/>
  <c r="J255" i="53"/>
  <c r="J300" i="53" s="1"/>
  <c r="J308" i="53" s="1"/>
  <c r="J254" i="53"/>
  <c r="J257" i="53"/>
  <c r="M267" i="53"/>
  <c r="M301" i="53" s="1"/>
  <c r="M309" i="53" s="1"/>
  <c r="J249" i="54"/>
  <c r="L289" i="53"/>
  <c r="L285" i="54"/>
  <c r="HY17" i="54"/>
  <c r="I255" i="53"/>
  <c r="I254" i="53"/>
  <c r="I257" i="53"/>
  <c r="I312" i="53"/>
  <c r="I299" i="53"/>
  <c r="I256" i="53"/>
  <c r="O286" i="53" a="1"/>
  <c r="O286" i="53" s="1"/>
  <c r="O287" i="53" s="1"/>
  <c r="HZ20" i="53" s="1"/>
  <c r="Q262" i="53" a="1"/>
  <c r="Q262" i="53" s="1"/>
  <c r="Q263" i="53" s="1"/>
  <c r="M251" i="53"/>
  <c r="N250" i="53" a="1"/>
  <c r="N250" i="53" s="1"/>
  <c r="S275" i="53"/>
  <c r="HV24" i="53" s="1"/>
  <c r="T274" i="53" a="1"/>
  <c r="T274" i="53" s="1"/>
  <c r="T275" i="53" s="1"/>
  <c r="IG23" i="53"/>
  <c r="HW23" i="53"/>
  <c r="HX23" i="53"/>
  <c r="R276" i="53"/>
  <c r="O264" i="53"/>
  <c r="HS20" i="53"/>
  <c r="N288" i="53"/>
  <c r="IA19" i="53"/>
  <c r="IB19" i="53"/>
  <c r="IH19" i="53"/>
  <c r="HR21" i="53"/>
  <c r="HQ19" i="54" l="1"/>
  <c r="N261" i="54"/>
  <c r="IF20" i="53"/>
  <c r="Q279" i="53"/>
  <c r="AO95" i="59"/>
  <c r="AH106" i="59"/>
  <c r="HM16" i="54"/>
  <c r="K249" i="54"/>
  <c r="AO99" i="59"/>
  <c r="AO105" i="59" s="1"/>
  <c r="AP106" i="59" s="1"/>
  <c r="AC107" i="59"/>
  <c r="AK343" i="59"/>
  <c r="AK344" i="59" s="1"/>
  <c r="AK97" i="59" s="1"/>
  <c r="HV25" i="53"/>
  <c r="T276" i="53" s="1"/>
  <c r="AK94" i="59"/>
  <c r="AK95" i="59" s="1"/>
  <c r="L252" i="53"/>
  <c r="L253" i="53" s="1"/>
  <c r="HO17" i="53"/>
  <c r="Q281" i="53"/>
  <c r="Q282" i="53" s="1"/>
  <c r="Q283" i="53" s="1"/>
  <c r="K294" i="53"/>
  <c r="K295" i="53" s="1"/>
  <c r="AW340" i="59"/>
  <c r="HN18" i="53"/>
  <c r="HP17" i="53"/>
  <c r="AS93" i="59"/>
  <c r="AS342" i="59"/>
  <c r="Q314" i="53"/>
  <c r="AW341" i="59"/>
  <c r="AS341" i="59"/>
  <c r="AW428" i="59"/>
  <c r="AW430" i="59" s="1"/>
  <c r="AW431" i="59" s="1"/>
  <c r="AW98" i="59" s="1"/>
  <c r="AW91" i="59"/>
  <c r="AW92" i="59"/>
  <c r="AS91" i="59"/>
  <c r="AS92" i="59"/>
  <c r="AS340" i="59"/>
  <c r="AS428" i="59"/>
  <c r="AS430" i="59" s="1"/>
  <c r="AS431" i="59" s="1"/>
  <c r="AS98" i="59" s="1"/>
  <c r="AW93" i="59"/>
  <c r="AW251" i="59"/>
  <c r="AW254" i="59" s="1"/>
  <c r="AW255" i="59" s="1"/>
  <c r="AS251" i="59"/>
  <c r="AS254" i="59" s="1"/>
  <c r="AS255" i="59" s="1"/>
  <c r="BA403" i="59"/>
  <c r="BA401" i="59"/>
  <c r="BA399" i="59"/>
  <c r="BA397" i="59"/>
  <c r="BA404" i="59"/>
  <c r="BA402" i="59"/>
  <c r="BA405" i="59"/>
  <c r="BA398" i="59"/>
  <c r="BA396" i="59"/>
  <c r="BA400" i="59"/>
  <c r="BA395" i="59"/>
  <c r="BA332" i="59"/>
  <c r="BA336" i="59"/>
  <c r="BA337" i="59"/>
  <c r="BA328" i="59"/>
  <c r="BA335" i="59"/>
  <c r="BA326" i="59"/>
  <c r="BA322" i="59"/>
  <c r="BA314" i="59"/>
  <c r="BA334" i="59"/>
  <c r="BA324" i="59"/>
  <c r="BA313" i="59"/>
  <c r="BA311" i="59"/>
  <c r="BA316" i="59"/>
  <c r="BA330" i="59"/>
  <c r="BA308" i="59"/>
  <c r="BA306" i="59"/>
  <c r="BA303" i="59"/>
  <c r="BA301" i="59"/>
  <c r="BA309" i="59"/>
  <c r="BA302" i="59"/>
  <c r="BA315" i="59"/>
  <c r="BA307" i="59"/>
  <c r="BA298" i="59"/>
  <c r="BA296" i="59"/>
  <c r="BA294" i="59"/>
  <c r="BA305" i="59"/>
  <c r="BA312" i="59"/>
  <c r="BA310" i="59"/>
  <c r="BA300" i="59"/>
  <c r="BA304" i="59"/>
  <c r="BA299" i="59"/>
  <c r="BA292" i="59"/>
  <c r="BA290" i="59"/>
  <c r="BA288" i="59"/>
  <c r="BA286" i="59"/>
  <c r="BA295" i="59"/>
  <c r="BA284" i="59"/>
  <c r="BA282" i="59"/>
  <c r="BA280" i="59"/>
  <c r="BA278" i="59"/>
  <c r="BA276" i="59"/>
  <c r="BA274" i="59"/>
  <c r="BA272" i="59"/>
  <c r="BA293" i="59"/>
  <c r="BA291" i="59"/>
  <c r="BA289" i="59"/>
  <c r="BA287" i="59"/>
  <c r="BA279" i="59"/>
  <c r="BA277" i="59"/>
  <c r="BA273" i="59"/>
  <c r="BA271" i="59"/>
  <c r="BA269" i="59"/>
  <c r="BA267" i="59"/>
  <c r="BA297" i="59"/>
  <c r="BA283" i="59"/>
  <c r="BA285" i="59"/>
  <c r="BA281" i="59"/>
  <c r="BA265" i="59"/>
  <c r="BA263" i="59"/>
  <c r="BA261" i="59"/>
  <c r="BA259" i="59"/>
  <c r="BA270" i="59"/>
  <c r="BA217" i="59"/>
  <c r="BA218" i="59"/>
  <c r="BA215" i="59"/>
  <c r="BA275" i="59"/>
  <c r="BA268" i="59"/>
  <c r="BA266" i="59"/>
  <c r="BA264" i="59"/>
  <c r="BA262" i="59"/>
  <c r="BA260" i="59"/>
  <c r="BA258" i="59"/>
  <c r="BA213" i="59"/>
  <c r="BA209" i="59"/>
  <c r="BA207" i="59"/>
  <c r="BA216" i="59"/>
  <c r="BA212" i="59"/>
  <c r="BA211" i="59"/>
  <c r="BA214" i="59"/>
  <c r="BA210" i="59"/>
  <c r="BA197" i="59"/>
  <c r="BA195" i="59"/>
  <c r="BA193" i="59"/>
  <c r="BA206" i="59"/>
  <c r="BA204" i="59"/>
  <c r="BA198" i="59"/>
  <c r="BA196" i="59"/>
  <c r="BA194" i="59"/>
  <c r="BA192" i="59"/>
  <c r="BA190" i="59"/>
  <c r="BA188" i="59"/>
  <c r="BA208" i="59"/>
  <c r="BA187" i="59"/>
  <c r="BA183" i="59"/>
  <c r="BA199" i="59"/>
  <c r="BA180" i="59"/>
  <c r="BA201" i="59"/>
  <c r="BA184" i="59"/>
  <c r="BA203" i="59"/>
  <c r="BA185" i="59"/>
  <c r="BA200" i="59"/>
  <c r="BA186" i="59"/>
  <c r="BA182" i="59"/>
  <c r="BA202" i="59"/>
  <c r="BA181" i="59"/>
  <c r="BA205" i="59"/>
  <c r="BA191" i="59"/>
  <c r="BA189" i="59"/>
  <c r="BA179" i="59"/>
  <c r="BA177" i="59"/>
  <c r="BA174" i="59"/>
  <c r="BA178" i="59"/>
  <c r="BA175" i="59"/>
  <c r="BA172" i="59"/>
  <c r="BA176" i="59"/>
  <c r="BA173" i="59"/>
  <c r="BA90" i="59"/>
  <c r="BA104" i="59"/>
  <c r="BA171" i="59"/>
  <c r="BA103" i="59"/>
  <c r="BA86" i="59"/>
  <c r="BA85" i="59"/>
  <c r="BA89" i="59"/>
  <c r="BA102" i="59"/>
  <c r="BA82" i="59"/>
  <c r="BA81" i="59"/>
  <c r="BA78" i="59"/>
  <c r="BA77" i="59"/>
  <c r="BA74" i="59"/>
  <c r="BA65" i="59"/>
  <c r="BA84" i="59"/>
  <c r="BA72" i="59"/>
  <c r="BA70" i="59"/>
  <c r="BA68" i="59"/>
  <c r="BA83" i="59"/>
  <c r="BA66" i="59"/>
  <c r="BA80" i="59"/>
  <c r="BA79" i="59"/>
  <c r="BA76" i="59"/>
  <c r="BA75" i="59"/>
  <c r="BA73" i="59"/>
  <c r="BA64" i="59"/>
  <c r="BA62" i="59"/>
  <c r="BA71" i="59"/>
  <c r="BA60" i="59"/>
  <c r="BA88" i="59"/>
  <c r="BA87" i="59"/>
  <c r="BA69" i="59"/>
  <c r="BA67" i="59"/>
  <c r="BA42" i="59"/>
  <c r="BA40" i="59"/>
  <c r="BA38" i="59"/>
  <c r="BA57" i="59"/>
  <c r="BA54" i="59"/>
  <c r="BA36" i="59"/>
  <c r="BA35" i="59"/>
  <c r="BA33" i="59"/>
  <c r="BA53" i="59"/>
  <c r="BA51" i="59"/>
  <c r="BA49" i="59"/>
  <c r="BA47" i="59"/>
  <c r="BA45" i="59"/>
  <c r="BA55" i="59"/>
  <c r="BA63" i="59"/>
  <c r="BA56" i="59"/>
  <c r="BA58" i="59"/>
  <c r="BA61" i="59"/>
  <c r="BA59" i="59"/>
  <c r="BA34" i="59"/>
  <c r="BA32" i="59"/>
  <c r="BA31" i="59"/>
  <c r="BA29" i="59"/>
  <c r="BA27" i="59"/>
  <c r="BA25" i="59"/>
  <c r="BA23" i="59"/>
  <c r="BA21" i="59"/>
  <c r="BA19" i="59"/>
  <c r="BA17" i="59"/>
  <c r="BA15" i="59"/>
  <c r="BA13" i="59"/>
  <c r="BA11" i="59"/>
  <c r="BA9" i="59"/>
  <c r="BA50" i="59"/>
  <c r="BA46" i="59"/>
  <c r="BA44" i="59"/>
  <c r="BA43" i="59"/>
  <c r="BA41" i="59"/>
  <c r="BA39" i="59"/>
  <c r="BA37" i="59"/>
  <c r="BA30" i="59"/>
  <c r="BA28" i="59"/>
  <c r="BA26" i="59"/>
  <c r="BA24" i="59"/>
  <c r="BA22" i="59"/>
  <c r="BA20" i="59"/>
  <c r="BA18" i="59"/>
  <c r="BA16" i="59"/>
  <c r="BA14" i="59"/>
  <c r="BA12" i="59"/>
  <c r="BA10" i="59"/>
  <c r="BA52" i="59"/>
  <c r="BA48" i="59"/>
  <c r="AW342" i="59"/>
  <c r="Q278" i="53"/>
  <c r="J258" i="53"/>
  <c r="J259" i="53" s="1"/>
  <c r="M270" i="53"/>
  <c r="M271" i="53" s="1"/>
  <c r="N269" i="53"/>
  <c r="M285" i="54"/>
  <c r="HY18" i="54"/>
  <c r="N313" i="53"/>
  <c r="M305" i="54"/>
  <c r="N267" i="53"/>
  <c r="N301" i="53" s="1"/>
  <c r="N309" i="53" s="1"/>
  <c r="K307" i="54"/>
  <c r="P302" i="53"/>
  <c r="P310" i="53" s="1"/>
  <c r="P306" i="54"/>
  <c r="O282" i="53"/>
  <c r="O283" i="53" s="1"/>
  <c r="O302" i="53"/>
  <c r="O310" i="53" s="1"/>
  <c r="O306" i="54"/>
  <c r="N268" i="53"/>
  <c r="J304" i="54"/>
  <c r="P286" i="53" a="1"/>
  <c r="P286" i="53" s="1"/>
  <c r="Q286" i="53" s="1" a="1"/>
  <c r="Q286" i="53" s="1"/>
  <c r="I258" i="53"/>
  <c r="I259" i="53" s="1"/>
  <c r="M292" i="53"/>
  <c r="M291" i="53"/>
  <c r="M293" i="53"/>
  <c r="M290" i="53"/>
  <c r="I300" i="53"/>
  <c r="I308" i="53" s="1"/>
  <c r="I304" i="54"/>
  <c r="K255" i="53"/>
  <c r="K299" i="53"/>
  <c r="K254" i="53"/>
  <c r="K257" i="53"/>
  <c r="K256" i="53"/>
  <c r="K312" i="53"/>
  <c r="Q302" i="53"/>
  <c r="Q310" i="53" s="1"/>
  <c r="Q306" i="54"/>
  <c r="N289" i="53"/>
  <c r="N315" i="53" s="1"/>
  <c r="N285" i="54"/>
  <c r="HY19" i="54"/>
  <c r="T277" i="53"/>
  <c r="T281" i="53" s="1"/>
  <c r="T273" i="54"/>
  <c r="HU25" i="54"/>
  <c r="R277" i="53"/>
  <c r="R280" i="53" s="1"/>
  <c r="R273" i="54"/>
  <c r="HU23" i="54"/>
  <c r="O265" i="53"/>
  <c r="O313" i="53" s="1"/>
  <c r="O261" i="54"/>
  <c r="HQ20" i="54"/>
  <c r="L293" i="53"/>
  <c r="L292" i="53"/>
  <c r="L291" i="53"/>
  <c r="L290" i="53"/>
  <c r="L315" i="53"/>
  <c r="R262" i="53" a="1"/>
  <c r="R262" i="53" s="1"/>
  <c r="R263" i="53" s="1"/>
  <c r="IG25" i="53"/>
  <c r="HW25" i="53"/>
  <c r="O250" i="53" a="1"/>
  <c r="O250" i="53" s="1"/>
  <c r="O251" i="53" s="1"/>
  <c r="N251" i="53"/>
  <c r="HN19" i="53" s="1"/>
  <c r="IE18" i="53"/>
  <c r="M252" i="53"/>
  <c r="HO18" i="53"/>
  <c r="HP18" i="53"/>
  <c r="HX25" i="53"/>
  <c r="U274" i="53" a="1"/>
  <c r="U274" i="53" s="1"/>
  <c r="U275" i="53" s="1"/>
  <c r="HV26" i="53" s="1"/>
  <c r="S276" i="53"/>
  <c r="HW24" i="53"/>
  <c r="HX24" i="53"/>
  <c r="IG24" i="53"/>
  <c r="P264" i="53"/>
  <c r="HS21" i="53"/>
  <c r="IF21" i="53"/>
  <c r="HT21" i="53"/>
  <c r="O288" i="53"/>
  <c r="IA20" i="53"/>
  <c r="IH20" i="53"/>
  <c r="IB20" i="53"/>
  <c r="HR22" i="53"/>
  <c r="AW343" i="59" l="1"/>
  <c r="AW344" i="59" s="1"/>
  <c r="AW97" i="59" s="1"/>
  <c r="AK96" i="59"/>
  <c r="AK99" i="59" s="1"/>
  <c r="AK105" i="59" s="1"/>
  <c r="AL106" i="59" s="1"/>
  <c r="HM17" i="54"/>
  <c r="L249" i="54"/>
  <c r="AO107" i="59"/>
  <c r="AS343" i="59"/>
  <c r="AS344" i="59" s="1"/>
  <c r="AS97" i="59" s="1"/>
  <c r="BA340" i="59"/>
  <c r="BA341" i="59"/>
  <c r="BA428" i="59"/>
  <c r="BA430" i="59" s="1"/>
  <c r="BA431" i="59" s="1"/>
  <c r="BA98" i="59" s="1"/>
  <c r="L254" i="53"/>
  <c r="BE1" i="59"/>
  <c r="BA251" i="59"/>
  <c r="BA254" i="59" s="1"/>
  <c r="BA255" i="59" s="1"/>
  <c r="BA342" i="59"/>
  <c r="AW94" i="59"/>
  <c r="BA91" i="59"/>
  <c r="BA93" i="59"/>
  <c r="BA92" i="59"/>
  <c r="AS94" i="59"/>
  <c r="N270" i="53"/>
  <c r="N271" i="53" s="1"/>
  <c r="N291" i="53"/>
  <c r="N307" i="54" s="1"/>
  <c r="N290" i="53"/>
  <c r="N293" i="53"/>
  <c r="HN20" i="53"/>
  <c r="HO20" i="53" s="1"/>
  <c r="N305" i="54"/>
  <c r="O266" i="53"/>
  <c r="O268" i="53"/>
  <c r="T279" i="53"/>
  <c r="T302" i="53" s="1"/>
  <c r="T310" i="53" s="1"/>
  <c r="T278" i="53"/>
  <c r="T314" i="53"/>
  <c r="O269" i="53"/>
  <c r="O267" i="53"/>
  <c r="O305" i="54" s="1"/>
  <c r="R314" i="53"/>
  <c r="P287" i="53"/>
  <c r="HZ21" i="53" s="1"/>
  <c r="IH21" i="53" s="1"/>
  <c r="R281" i="53"/>
  <c r="R282" i="53" s="1"/>
  <c r="R283" i="53" s="1"/>
  <c r="K258" i="53"/>
  <c r="K259" i="53" s="1"/>
  <c r="T280" i="53"/>
  <c r="T282" i="53" s="1"/>
  <c r="T283" i="53" s="1"/>
  <c r="N292" i="53"/>
  <c r="M294" i="53"/>
  <c r="M295" i="53" s="1"/>
  <c r="R278" i="53"/>
  <c r="R279" i="53"/>
  <c r="R302" i="53" s="1"/>
  <c r="R310" i="53" s="1"/>
  <c r="L255" i="53"/>
  <c r="L300" i="53" s="1"/>
  <c r="L308" i="53" s="1"/>
  <c r="L299" i="53"/>
  <c r="P265" i="53"/>
  <c r="P313" i="53" s="1"/>
  <c r="P261" i="54"/>
  <c r="HQ21" i="54"/>
  <c r="L312" i="53"/>
  <c r="L256" i="53"/>
  <c r="L257" i="53"/>
  <c r="S277" i="53"/>
  <c r="S279" i="53" s="1"/>
  <c r="S273" i="54"/>
  <c r="HU24" i="54"/>
  <c r="O289" i="53"/>
  <c r="O291" i="53" s="1"/>
  <c r="O285" i="54"/>
  <c r="HY20" i="54"/>
  <c r="M253" i="53"/>
  <c r="M249" i="54"/>
  <c r="HM18" i="54"/>
  <c r="L303" i="53"/>
  <c r="L311" i="53" s="1"/>
  <c r="L307" i="54"/>
  <c r="M303" i="53"/>
  <c r="M311" i="53" s="1"/>
  <c r="M307" i="54"/>
  <c r="L294" i="53"/>
  <c r="L295" i="53" s="1"/>
  <c r="K300" i="53"/>
  <c r="K308" i="53" s="1"/>
  <c r="K304" i="54"/>
  <c r="S262" i="53" a="1"/>
  <c r="S262" i="53" s="1"/>
  <c r="S263" i="53" s="1"/>
  <c r="IE19" i="53"/>
  <c r="HP19" i="53"/>
  <c r="HO19" i="53"/>
  <c r="N252" i="53"/>
  <c r="P250" i="53" a="1"/>
  <c r="P250" i="53" s="1"/>
  <c r="P251" i="53" s="1"/>
  <c r="HN21" i="53" s="1"/>
  <c r="P252" i="53" s="1"/>
  <c r="V274" i="53" a="1"/>
  <c r="V274" i="53" s="1"/>
  <c r="V275" i="53" s="1"/>
  <c r="HV27" i="53" s="1"/>
  <c r="HW26" i="53"/>
  <c r="IG26" i="53"/>
  <c r="U276" i="53"/>
  <c r="HX26" i="53"/>
  <c r="Q287" i="53"/>
  <c r="R286" i="53" a="1"/>
  <c r="R286" i="53" s="1"/>
  <c r="Q264" i="53"/>
  <c r="IF22" i="53"/>
  <c r="HT22" i="53"/>
  <c r="HS22" i="53"/>
  <c r="HR23" i="53"/>
  <c r="IB21" i="53" l="1"/>
  <c r="AK107" i="59"/>
  <c r="O270" i="53"/>
  <c r="O271" i="53" s="1"/>
  <c r="M254" i="53"/>
  <c r="BI1" i="59"/>
  <c r="BE402" i="59"/>
  <c r="BE400" i="59"/>
  <c r="BE398" i="59"/>
  <c r="BE396" i="59"/>
  <c r="BE405" i="59"/>
  <c r="BE403" i="59"/>
  <c r="BE401" i="59"/>
  <c r="BE404" i="59"/>
  <c r="BE337" i="59"/>
  <c r="BE334" i="59"/>
  <c r="BE399" i="59"/>
  <c r="BE395" i="59"/>
  <c r="BE397" i="59"/>
  <c r="BE330" i="59"/>
  <c r="BE335" i="59"/>
  <c r="BE326" i="59"/>
  <c r="BE336" i="59"/>
  <c r="BE328" i="59"/>
  <c r="BE313" i="59"/>
  <c r="BE324" i="59"/>
  <c r="BE316" i="59"/>
  <c r="BE332" i="59"/>
  <c r="BE322" i="59"/>
  <c r="BE314" i="59"/>
  <c r="BE312" i="59"/>
  <c r="BE310" i="59"/>
  <c r="BE315" i="59"/>
  <c r="BE304" i="59"/>
  <c r="BE309" i="59"/>
  <c r="BE307" i="59"/>
  <c r="BE305" i="59"/>
  <c r="BE302" i="59"/>
  <c r="BE300" i="59"/>
  <c r="BE306" i="59"/>
  <c r="BE301" i="59"/>
  <c r="BE311" i="59"/>
  <c r="BE299" i="59"/>
  <c r="BE297" i="59"/>
  <c r="BE295" i="59"/>
  <c r="BE303" i="59"/>
  <c r="BE308" i="59"/>
  <c r="BE298" i="59"/>
  <c r="BE291" i="59"/>
  <c r="BE289" i="59"/>
  <c r="BE287" i="59"/>
  <c r="BE285" i="59"/>
  <c r="BE283" i="59"/>
  <c r="BE281" i="59"/>
  <c r="BE279" i="59"/>
  <c r="BE277" i="59"/>
  <c r="BE275" i="59"/>
  <c r="BE273" i="59"/>
  <c r="BE292" i="59"/>
  <c r="BE290" i="59"/>
  <c r="BE288" i="59"/>
  <c r="BE286" i="59"/>
  <c r="BE294" i="59"/>
  <c r="BE284" i="59"/>
  <c r="BE276" i="59"/>
  <c r="BE272" i="59"/>
  <c r="BE282" i="59"/>
  <c r="BE270" i="59"/>
  <c r="BE268" i="59"/>
  <c r="BE296" i="59"/>
  <c r="BE280" i="59"/>
  <c r="BE293" i="59"/>
  <c r="BE278" i="59"/>
  <c r="BE274" i="59"/>
  <c r="BE266" i="59"/>
  <c r="BE264" i="59"/>
  <c r="BE262" i="59"/>
  <c r="BE260" i="59"/>
  <c r="BE258" i="59"/>
  <c r="BE271" i="59"/>
  <c r="BE267" i="59"/>
  <c r="BE216" i="59"/>
  <c r="BE214" i="59"/>
  <c r="BE269" i="59"/>
  <c r="BE265" i="59"/>
  <c r="BE263" i="59"/>
  <c r="BE261" i="59"/>
  <c r="BE259" i="59"/>
  <c r="BE212" i="59"/>
  <c r="BE211" i="59"/>
  <c r="BE218" i="59"/>
  <c r="BE215" i="59"/>
  <c r="BE210" i="59"/>
  <c r="BE208" i="59"/>
  <c r="BE206" i="59"/>
  <c r="BE217" i="59"/>
  <c r="BE198" i="59"/>
  <c r="BE196" i="59"/>
  <c r="BE194" i="59"/>
  <c r="BE192" i="59"/>
  <c r="BE205" i="59"/>
  <c r="BE213" i="59"/>
  <c r="BE207" i="59"/>
  <c r="BE197" i="59"/>
  <c r="BE195" i="59"/>
  <c r="BE193" i="59"/>
  <c r="BE191" i="59"/>
  <c r="BE189" i="59"/>
  <c r="BE187" i="59"/>
  <c r="BE209" i="59"/>
  <c r="BE201" i="59"/>
  <c r="BE185" i="59"/>
  <c r="BE203" i="59"/>
  <c r="BE186" i="59"/>
  <c r="BE182" i="59"/>
  <c r="BE181" i="59"/>
  <c r="BE179" i="59"/>
  <c r="BE204" i="59"/>
  <c r="BE200" i="59"/>
  <c r="BE202" i="59"/>
  <c r="BE183" i="59"/>
  <c r="BE190" i="59"/>
  <c r="BE180" i="59"/>
  <c r="BE199" i="59"/>
  <c r="BE184" i="59"/>
  <c r="BE175" i="59"/>
  <c r="BE188" i="59"/>
  <c r="BE176" i="59"/>
  <c r="BE173" i="59"/>
  <c r="BE177" i="59"/>
  <c r="BE178" i="59"/>
  <c r="BE104" i="59"/>
  <c r="BE86" i="59"/>
  <c r="BE85" i="59"/>
  <c r="BE171" i="59"/>
  <c r="BE103" i="59"/>
  <c r="BE89" i="59"/>
  <c r="BE102" i="59"/>
  <c r="BE87" i="59"/>
  <c r="BE90" i="59"/>
  <c r="BE174" i="59"/>
  <c r="BE172" i="59"/>
  <c r="BE84" i="59"/>
  <c r="BE88" i="59"/>
  <c r="BE80" i="59"/>
  <c r="BE79" i="59"/>
  <c r="BE76" i="59"/>
  <c r="BE75" i="59"/>
  <c r="BE73" i="59"/>
  <c r="BE64" i="59"/>
  <c r="BE71" i="59"/>
  <c r="BE60" i="59"/>
  <c r="BE69" i="59"/>
  <c r="BE67" i="59"/>
  <c r="BE82" i="59"/>
  <c r="BE81" i="59"/>
  <c r="BE78" i="59"/>
  <c r="BE77" i="59"/>
  <c r="BE74" i="59"/>
  <c r="BE65" i="59"/>
  <c r="BE63" i="59"/>
  <c r="BE61" i="59"/>
  <c r="BE72" i="59"/>
  <c r="BE59" i="59"/>
  <c r="BE70" i="59"/>
  <c r="BE68" i="59"/>
  <c r="BE83" i="59"/>
  <c r="BE55" i="59"/>
  <c r="BE43" i="59"/>
  <c r="BE41" i="59"/>
  <c r="BE39" i="59"/>
  <c r="BE37" i="59"/>
  <c r="BE56" i="59"/>
  <c r="BE34" i="59"/>
  <c r="BE32" i="59"/>
  <c r="BE52" i="59"/>
  <c r="BE50" i="59"/>
  <c r="BE48" i="59"/>
  <c r="BE46" i="59"/>
  <c r="BE44" i="59"/>
  <c r="BE58" i="59"/>
  <c r="BE57" i="59"/>
  <c r="BE66" i="59"/>
  <c r="BE54" i="59"/>
  <c r="BE36" i="59"/>
  <c r="BE62" i="59"/>
  <c r="BE53" i="59"/>
  <c r="BE33" i="59"/>
  <c r="BE51" i="59"/>
  <c r="BE30" i="59"/>
  <c r="BE28" i="59"/>
  <c r="BE26" i="59"/>
  <c r="BE24" i="59"/>
  <c r="BE22" i="59"/>
  <c r="BE20" i="59"/>
  <c r="BE18" i="59"/>
  <c r="BE16" i="59"/>
  <c r="BE14" i="59"/>
  <c r="BE12" i="59"/>
  <c r="BE10" i="59"/>
  <c r="BE47" i="59"/>
  <c r="BE45" i="59"/>
  <c r="BE42" i="59"/>
  <c r="BE40" i="59"/>
  <c r="BE35" i="59"/>
  <c r="BE38" i="59"/>
  <c r="BE49" i="59"/>
  <c r="BE31" i="59"/>
  <c r="BE29" i="59"/>
  <c r="BE27" i="59"/>
  <c r="BE25" i="59"/>
  <c r="BE23" i="59"/>
  <c r="BE21" i="59"/>
  <c r="BE19" i="59"/>
  <c r="BE17" i="59"/>
  <c r="BE15" i="59"/>
  <c r="BE13" i="59"/>
  <c r="BE11" i="59"/>
  <c r="BE9" i="59"/>
  <c r="BA94" i="59"/>
  <c r="AW96" i="59"/>
  <c r="AW99" i="59" s="1"/>
  <c r="AW105" i="59" s="1"/>
  <c r="AW95" i="59"/>
  <c r="BA343" i="59"/>
  <c r="BA344" i="59" s="1"/>
  <c r="BA97" i="59" s="1"/>
  <c r="AS96" i="59"/>
  <c r="AS99" i="59" s="1"/>
  <c r="AS105" i="59" s="1"/>
  <c r="AS95" i="59"/>
  <c r="N303" i="53"/>
  <c r="N311" i="53" s="1"/>
  <c r="N294" i="53"/>
  <c r="N295" i="53" s="1"/>
  <c r="P288" i="53"/>
  <c r="P289" i="53" s="1"/>
  <c r="P293" i="53" s="1"/>
  <c r="HZ22" i="53"/>
  <c r="IA22" i="53" s="1"/>
  <c r="O290" i="53"/>
  <c r="O292" i="53"/>
  <c r="O293" i="53"/>
  <c r="IE20" i="53"/>
  <c r="IA21" i="53"/>
  <c r="O252" i="53"/>
  <c r="O253" i="53" s="1"/>
  <c r="O254" i="53" s="1"/>
  <c r="O315" i="53"/>
  <c r="HP20" i="53"/>
  <c r="T306" i="54"/>
  <c r="S314" i="53"/>
  <c r="O301" i="53"/>
  <c r="O309" i="53" s="1"/>
  <c r="P268" i="53"/>
  <c r="P267" i="53"/>
  <c r="P301" i="53" s="1"/>
  <c r="P309" i="53" s="1"/>
  <c r="S280" i="53"/>
  <c r="P266" i="53"/>
  <c r="S278" i="53"/>
  <c r="S281" i="53"/>
  <c r="L304" i="54"/>
  <c r="P269" i="53"/>
  <c r="M299" i="53"/>
  <c r="R306" i="54"/>
  <c r="M257" i="53"/>
  <c r="M312" i="53"/>
  <c r="M256" i="53"/>
  <c r="L258" i="53"/>
  <c r="L259" i="53" s="1"/>
  <c r="M255" i="53"/>
  <c r="M300" i="53" s="1"/>
  <c r="M308" i="53" s="1"/>
  <c r="Q265" i="53"/>
  <c r="Q313" i="53" s="1"/>
  <c r="Q261" i="54"/>
  <c r="HQ22" i="54"/>
  <c r="S302" i="53"/>
  <c r="S310" i="53" s="1"/>
  <c r="S306" i="54"/>
  <c r="P253" i="53"/>
  <c r="P312" i="53" s="1"/>
  <c r="P249" i="54"/>
  <c r="HM21" i="54"/>
  <c r="U277" i="53"/>
  <c r="U314" i="53" s="1"/>
  <c r="U273" i="54"/>
  <c r="HU26" i="54"/>
  <c r="O303" i="53"/>
  <c r="O311" i="53" s="1"/>
  <c r="O307" i="54"/>
  <c r="N253" i="53"/>
  <c r="N249" i="54"/>
  <c r="HM19" i="54"/>
  <c r="T262" i="53" a="1"/>
  <c r="T262" i="53" s="1"/>
  <c r="T263" i="53" s="1"/>
  <c r="HP21" i="53"/>
  <c r="IE21" i="53"/>
  <c r="HO21" i="53"/>
  <c r="Q250" i="53" a="1"/>
  <c r="Q250" i="53" s="1"/>
  <c r="W274" i="53" a="1"/>
  <c r="W274" i="53" s="1"/>
  <c r="W275" i="53" s="1"/>
  <c r="HV28" i="53" s="1"/>
  <c r="HR24" i="53"/>
  <c r="IF24" i="53" s="1"/>
  <c r="IG27" i="53"/>
  <c r="HW27" i="53"/>
  <c r="V276" i="53"/>
  <c r="HX27" i="53"/>
  <c r="R287" i="53"/>
  <c r="S286" i="53" a="1"/>
  <c r="S286" i="53" s="1"/>
  <c r="R264" i="53"/>
  <c r="HS23" i="53"/>
  <c r="HT23" i="53"/>
  <c r="IF23" i="53"/>
  <c r="Q288" i="53" l="1"/>
  <c r="HY21" i="54"/>
  <c r="Q269" i="53"/>
  <c r="O294" i="53"/>
  <c r="O295" i="53" s="1"/>
  <c r="HZ23" i="53"/>
  <c r="IB23" i="53" s="1"/>
  <c r="P285" i="54"/>
  <c r="BA96" i="59"/>
  <c r="BA99" i="59" s="1"/>
  <c r="BA105" i="59" s="1"/>
  <c r="BA95" i="59"/>
  <c r="BE91" i="59"/>
  <c r="IH22" i="53"/>
  <c r="BE428" i="59"/>
  <c r="BE430" i="59" s="1"/>
  <c r="BE431" i="59" s="1"/>
  <c r="BE98" i="59" s="1"/>
  <c r="IB22" i="53"/>
  <c r="N312" i="53"/>
  <c r="BM1" i="59"/>
  <c r="AS107" i="59"/>
  <c r="AT106" i="59"/>
  <c r="BE341" i="59"/>
  <c r="BE251" i="59"/>
  <c r="BE254" i="59" s="1"/>
  <c r="BE255" i="59" s="1"/>
  <c r="BE340" i="59"/>
  <c r="BE92" i="59"/>
  <c r="BE93" i="59"/>
  <c r="BI403" i="59"/>
  <c r="BI401" i="59"/>
  <c r="BI399" i="59"/>
  <c r="BI397" i="59"/>
  <c r="BI404" i="59"/>
  <c r="BI402" i="59"/>
  <c r="BI405" i="59"/>
  <c r="BI400" i="59"/>
  <c r="BI395" i="59"/>
  <c r="BI398" i="59"/>
  <c r="BI332" i="59"/>
  <c r="BI336" i="59"/>
  <c r="BI328" i="59"/>
  <c r="BI396" i="59"/>
  <c r="BI335" i="59"/>
  <c r="BI326" i="59"/>
  <c r="BI337" i="59"/>
  <c r="BI322" i="59"/>
  <c r="BI314" i="59"/>
  <c r="BI334" i="59"/>
  <c r="BI330" i="59"/>
  <c r="BI313" i="59"/>
  <c r="BI311" i="59"/>
  <c r="BI324" i="59"/>
  <c r="BI316" i="59"/>
  <c r="BI310" i="59"/>
  <c r="BI308" i="59"/>
  <c r="BI306" i="59"/>
  <c r="BI303" i="59"/>
  <c r="BI301" i="59"/>
  <c r="BI315" i="59"/>
  <c r="BI307" i="59"/>
  <c r="BI305" i="59"/>
  <c r="BI298" i="59"/>
  <c r="BI296" i="59"/>
  <c r="BI294" i="59"/>
  <c r="BI304" i="59"/>
  <c r="BI312" i="59"/>
  <c r="BI302" i="59"/>
  <c r="BI309" i="59"/>
  <c r="BI300" i="59"/>
  <c r="BI299" i="59"/>
  <c r="BI292" i="59"/>
  <c r="BI290" i="59"/>
  <c r="BI288" i="59"/>
  <c r="BI286" i="59"/>
  <c r="BI297" i="59"/>
  <c r="BI284" i="59"/>
  <c r="BI282" i="59"/>
  <c r="BI280" i="59"/>
  <c r="BI278" i="59"/>
  <c r="BI276" i="59"/>
  <c r="BI274" i="59"/>
  <c r="BI272" i="59"/>
  <c r="BI295" i="59"/>
  <c r="BI293" i="59"/>
  <c r="BI291" i="59"/>
  <c r="BI289" i="59"/>
  <c r="BI287" i="59"/>
  <c r="BI277" i="59"/>
  <c r="BI283" i="59"/>
  <c r="BI271" i="59"/>
  <c r="BI269" i="59"/>
  <c r="BI267" i="59"/>
  <c r="BI285" i="59"/>
  <c r="BI281" i="59"/>
  <c r="BI275" i="59"/>
  <c r="BI279" i="59"/>
  <c r="BI273" i="59"/>
  <c r="BI270" i="59"/>
  <c r="BI268" i="59"/>
  <c r="BI265" i="59"/>
  <c r="BI263" i="59"/>
  <c r="BI261" i="59"/>
  <c r="BI259" i="59"/>
  <c r="BI217" i="59"/>
  <c r="BI218" i="59"/>
  <c r="BI215" i="59"/>
  <c r="BI266" i="59"/>
  <c r="BI264" i="59"/>
  <c r="BI262" i="59"/>
  <c r="BI260" i="59"/>
  <c r="BI258" i="59"/>
  <c r="BI216" i="59"/>
  <c r="BI209" i="59"/>
  <c r="BI207" i="59"/>
  <c r="BI214" i="59"/>
  <c r="BI213" i="59"/>
  <c r="BI211" i="59"/>
  <c r="BI208" i="59"/>
  <c r="BI197" i="59"/>
  <c r="BI195" i="59"/>
  <c r="BI193" i="59"/>
  <c r="BI212" i="59"/>
  <c r="BI204" i="59"/>
  <c r="BI198" i="59"/>
  <c r="BI196" i="59"/>
  <c r="BI194" i="59"/>
  <c r="BI192" i="59"/>
  <c r="BI190" i="59"/>
  <c r="BI188" i="59"/>
  <c r="BI210" i="59"/>
  <c r="BI203" i="59"/>
  <c r="BI206" i="59"/>
  <c r="BI200" i="59"/>
  <c r="BI191" i="59"/>
  <c r="BI183" i="59"/>
  <c r="BI180" i="59"/>
  <c r="BI202" i="59"/>
  <c r="BI189" i="59"/>
  <c r="BI187" i="59"/>
  <c r="BI205" i="59"/>
  <c r="BI184" i="59"/>
  <c r="BI185" i="59"/>
  <c r="BI182" i="59"/>
  <c r="BI181" i="59"/>
  <c r="BI199" i="59"/>
  <c r="BI201" i="59"/>
  <c r="BI177" i="59"/>
  <c r="BI174" i="59"/>
  <c r="BI186" i="59"/>
  <c r="BI179" i="59"/>
  <c r="BI178" i="59"/>
  <c r="BI176" i="59"/>
  <c r="BI171" i="59"/>
  <c r="BI173" i="59"/>
  <c r="BI102" i="59"/>
  <c r="BI90" i="59"/>
  <c r="BI175" i="59"/>
  <c r="BI172" i="59"/>
  <c r="BI104" i="59"/>
  <c r="BI86" i="59"/>
  <c r="BI85" i="59"/>
  <c r="BI89" i="59"/>
  <c r="BI103" i="59"/>
  <c r="BI82" i="59"/>
  <c r="BI81" i="59"/>
  <c r="BI78" i="59"/>
  <c r="BI77" i="59"/>
  <c r="BI74" i="59"/>
  <c r="BI65" i="59"/>
  <c r="BI72" i="59"/>
  <c r="BI59" i="59"/>
  <c r="BI70" i="59"/>
  <c r="BI68" i="59"/>
  <c r="BI84" i="59"/>
  <c r="BI83" i="59"/>
  <c r="BI66" i="59"/>
  <c r="BI88" i="59"/>
  <c r="BI87" i="59"/>
  <c r="BI80" i="59"/>
  <c r="BI79" i="59"/>
  <c r="BI76" i="59"/>
  <c r="BI75" i="59"/>
  <c r="BI73" i="59"/>
  <c r="BI64" i="59"/>
  <c r="BI62" i="59"/>
  <c r="BI71" i="59"/>
  <c r="BI60" i="59"/>
  <c r="BI69" i="59"/>
  <c r="BI67" i="59"/>
  <c r="BI42" i="59"/>
  <c r="BI40" i="59"/>
  <c r="BI38" i="59"/>
  <c r="BI58" i="59"/>
  <c r="BI36" i="59"/>
  <c r="BI35" i="59"/>
  <c r="BI33" i="59"/>
  <c r="BI63" i="59"/>
  <c r="BI57" i="59"/>
  <c r="BI54" i="59"/>
  <c r="BI53" i="59"/>
  <c r="BI51" i="59"/>
  <c r="BI49" i="59"/>
  <c r="BI47" i="59"/>
  <c r="BI45" i="59"/>
  <c r="BI61" i="59"/>
  <c r="BI55" i="59"/>
  <c r="BI56" i="59"/>
  <c r="BI50" i="59"/>
  <c r="BI46" i="59"/>
  <c r="BI44" i="59"/>
  <c r="BI43" i="59"/>
  <c r="BI41" i="59"/>
  <c r="BI39" i="59"/>
  <c r="BI37" i="59"/>
  <c r="BI34" i="59"/>
  <c r="BI32" i="59"/>
  <c r="BI31" i="59"/>
  <c r="BI29" i="59"/>
  <c r="BI27" i="59"/>
  <c r="BI25" i="59"/>
  <c r="BI23" i="59"/>
  <c r="BI21" i="59"/>
  <c r="BI19" i="59"/>
  <c r="BI17" i="59"/>
  <c r="BI15" i="59"/>
  <c r="BI13" i="59"/>
  <c r="BI11" i="59"/>
  <c r="BI9" i="59"/>
  <c r="BI52" i="59"/>
  <c r="BI48" i="59"/>
  <c r="BI30" i="59"/>
  <c r="BI28" i="59"/>
  <c r="BI26" i="59"/>
  <c r="BI24" i="59"/>
  <c r="BI22" i="59"/>
  <c r="BI20" i="59"/>
  <c r="BI18" i="59"/>
  <c r="BI16" i="59"/>
  <c r="BI14" i="59"/>
  <c r="BI12" i="59"/>
  <c r="BI10" i="59"/>
  <c r="AX106" i="59"/>
  <c r="AW107" i="59"/>
  <c r="BE342" i="59"/>
  <c r="HM20" i="54"/>
  <c r="P305" i="54"/>
  <c r="O249" i="54"/>
  <c r="S282" i="53"/>
  <c r="S283" i="53" s="1"/>
  <c r="N257" i="53"/>
  <c r="P256" i="53"/>
  <c r="N299" i="53"/>
  <c r="P292" i="53"/>
  <c r="P294" i="53" s="1"/>
  <c r="P295" i="53" s="1"/>
  <c r="N256" i="53"/>
  <c r="P270" i="53"/>
  <c r="P271" i="53" s="1"/>
  <c r="P255" i="53"/>
  <c r="P300" i="53" s="1"/>
  <c r="P308" i="53" s="1"/>
  <c r="P257" i="53"/>
  <c r="P299" i="53"/>
  <c r="Q266" i="53"/>
  <c r="P290" i="53"/>
  <c r="N255" i="53"/>
  <c r="N304" i="54" s="1"/>
  <c r="N254" i="53"/>
  <c r="Q267" i="53"/>
  <c r="Q301" i="53" s="1"/>
  <c r="Q309" i="53" s="1"/>
  <c r="Q268" i="53"/>
  <c r="O299" i="53"/>
  <c r="U281" i="53"/>
  <c r="O255" i="53"/>
  <c r="O304" i="54" s="1"/>
  <c r="HS24" i="53"/>
  <c r="O312" i="53"/>
  <c r="M258" i="53"/>
  <c r="M259" i="53" s="1"/>
  <c r="O257" i="53"/>
  <c r="O256" i="53"/>
  <c r="P315" i="53"/>
  <c r="P254" i="53"/>
  <c r="P291" i="53"/>
  <c r="P303" i="53" s="1"/>
  <c r="P311" i="53" s="1"/>
  <c r="HR25" i="53"/>
  <c r="HS25" i="53" s="1"/>
  <c r="X274" i="53" a="1"/>
  <c r="X274" i="53" s="1"/>
  <c r="X275" i="53" s="1"/>
  <c r="HV29" i="53" s="1"/>
  <c r="HW29" i="53" s="1"/>
  <c r="U278" i="53"/>
  <c r="HT24" i="53"/>
  <c r="U279" i="53"/>
  <c r="U302" i="53" s="1"/>
  <c r="U310" i="53" s="1"/>
  <c r="S264" i="53"/>
  <c r="S261" i="54" s="1"/>
  <c r="U280" i="53"/>
  <c r="U282" i="53" s="1"/>
  <c r="U283" i="53" s="1"/>
  <c r="M304" i="54"/>
  <c r="Q289" i="53"/>
  <c r="Q315" i="53" s="1"/>
  <c r="Q285" i="54"/>
  <c r="HY22" i="54"/>
  <c r="R265" i="53"/>
  <c r="R269" i="53" s="1"/>
  <c r="R261" i="54"/>
  <c r="HQ23" i="54"/>
  <c r="V277" i="53"/>
  <c r="V279" i="53" s="1"/>
  <c r="V273" i="54"/>
  <c r="HU27" i="54"/>
  <c r="U262" i="53" a="1"/>
  <c r="U262" i="53" s="1"/>
  <c r="V262" i="53" s="1" a="1"/>
  <c r="V262" i="53" s="1"/>
  <c r="R250" i="53" a="1"/>
  <c r="R250" i="53" s="1"/>
  <c r="R251" i="53" s="1"/>
  <c r="Q251" i="53"/>
  <c r="HN22" i="53" s="1"/>
  <c r="W276" i="53"/>
  <c r="IG28" i="53"/>
  <c r="HW28" i="53"/>
  <c r="HX28" i="53"/>
  <c r="S287" i="53"/>
  <c r="HZ24" i="53" s="1"/>
  <c r="T286" i="53" a="1"/>
  <c r="T286" i="53" s="1"/>
  <c r="R288" i="53"/>
  <c r="IA23" i="53"/>
  <c r="IH23" i="53" l="1"/>
  <c r="Q270" i="53"/>
  <c r="Q271" i="53" s="1"/>
  <c r="BI342" i="59"/>
  <c r="BI91" i="59"/>
  <c r="BI251" i="59"/>
  <c r="BI254" i="59" s="1"/>
  <c r="BI255" i="59" s="1"/>
  <c r="BE94" i="59"/>
  <c r="BI341" i="59"/>
  <c r="BI340" i="59"/>
  <c r="BI92" i="59"/>
  <c r="BE343" i="59"/>
  <c r="BE344" i="59" s="1"/>
  <c r="BE97" i="59" s="1"/>
  <c r="BM402" i="59"/>
  <c r="U402" i="59" s="1"/>
  <c r="M402" i="59" s="1"/>
  <c r="BM400" i="59"/>
  <c r="U400" i="59" s="1"/>
  <c r="M400" i="59" s="1"/>
  <c r="BM398" i="59"/>
  <c r="U398" i="59" s="1"/>
  <c r="M398" i="59" s="1"/>
  <c r="BM396" i="59"/>
  <c r="U396" i="59" s="1"/>
  <c r="M396" i="59" s="1"/>
  <c r="BM405" i="59"/>
  <c r="U405" i="59" s="1"/>
  <c r="M405" i="59" s="1"/>
  <c r="BM403" i="59"/>
  <c r="U403" i="59" s="1"/>
  <c r="M403" i="59" s="1"/>
  <c r="BM401" i="59"/>
  <c r="U401" i="59" s="1"/>
  <c r="M401" i="59" s="1"/>
  <c r="BM397" i="59"/>
  <c r="U397" i="59" s="1"/>
  <c r="M397" i="59" s="1"/>
  <c r="BM404" i="59"/>
  <c r="U404" i="59" s="1"/>
  <c r="M404" i="59" s="1"/>
  <c r="BM399" i="59"/>
  <c r="U399" i="59" s="1"/>
  <c r="M399" i="59" s="1"/>
  <c r="BM334" i="59"/>
  <c r="U334" i="59" s="1"/>
  <c r="M334" i="59" s="1"/>
  <c r="BM337" i="59"/>
  <c r="U337" i="59" s="1"/>
  <c r="M337" i="59" s="1"/>
  <c r="BM330" i="59"/>
  <c r="U330" i="59" s="1"/>
  <c r="M330" i="59" s="1"/>
  <c r="BM335" i="59"/>
  <c r="U335" i="59" s="1"/>
  <c r="M335" i="59" s="1"/>
  <c r="BM326" i="59"/>
  <c r="U326" i="59" s="1"/>
  <c r="M326" i="59" s="1"/>
  <c r="BM336" i="59"/>
  <c r="U336" i="59" s="1"/>
  <c r="M336" i="59" s="1"/>
  <c r="BM395" i="59"/>
  <c r="BM328" i="59"/>
  <c r="U328" i="59" s="1"/>
  <c r="M328" i="59" s="1"/>
  <c r="BM313" i="59"/>
  <c r="U313" i="59" s="1"/>
  <c r="M313" i="59" s="1"/>
  <c r="BM332" i="59"/>
  <c r="U332" i="59" s="1"/>
  <c r="M332" i="59" s="1"/>
  <c r="BM324" i="59"/>
  <c r="U324" i="59" s="1"/>
  <c r="M324" i="59" s="1"/>
  <c r="BM316" i="59"/>
  <c r="U316" i="59" s="1"/>
  <c r="M316" i="59" s="1"/>
  <c r="BM322" i="59"/>
  <c r="BM314" i="59"/>
  <c r="U314" i="59" s="1"/>
  <c r="M314" i="59" s="1"/>
  <c r="BM312" i="59"/>
  <c r="U312" i="59" s="1"/>
  <c r="M312" i="59" s="1"/>
  <c r="BM310" i="59"/>
  <c r="U310" i="59" s="1"/>
  <c r="M310" i="59" s="1"/>
  <c r="BM315" i="59"/>
  <c r="U315" i="59" s="1"/>
  <c r="M315" i="59" s="1"/>
  <c r="BM311" i="59"/>
  <c r="U311" i="59" s="1"/>
  <c r="M311" i="59" s="1"/>
  <c r="BM304" i="59"/>
  <c r="U304" i="59" s="1"/>
  <c r="M304" i="59" s="1"/>
  <c r="BM309" i="59"/>
  <c r="U309" i="59" s="1"/>
  <c r="M309" i="59" s="1"/>
  <c r="BM307" i="59"/>
  <c r="U307" i="59" s="1"/>
  <c r="M307" i="59" s="1"/>
  <c r="BM305" i="59"/>
  <c r="U305" i="59" s="1"/>
  <c r="M305" i="59" s="1"/>
  <c r="BM302" i="59"/>
  <c r="U302" i="59" s="1"/>
  <c r="M302" i="59" s="1"/>
  <c r="BM300" i="59"/>
  <c r="U300" i="59" s="1"/>
  <c r="M300" i="59" s="1"/>
  <c r="BM303" i="59"/>
  <c r="U303" i="59" s="1"/>
  <c r="M303" i="59" s="1"/>
  <c r="BM301" i="59"/>
  <c r="U301" i="59" s="1"/>
  <c r="M301" i="59" s="1"/>
  <c r="BM299" i="59"/>
  <c r="U299" i="59" s="1"/>
  <c r="M299" i="59" s="1"/>
  <c r="BM297" i="59"/>
  <c r="U297" i="59" s="1"/>
  <c r="M297" i="59" s="1"/>
  <c r="BM295" i="59"/>
  <c r="U295" i="59" s="1"/>
  <c r="M295" i="59" s="1"/>
  <c r="BM293" i="59"/>
  <c r="U293" i="59" s="1"/>
  <c r="M293" i="59" s="1"/>
  <c r="BM308" i="59"/>
  <c r="U308" i="59" s="1"/>
  <c r="M308" i="59" s="1"/>
  <c r="BM306" i="59"/>
  <c r="BM298" i="59"/>
  <c r="U298" i="59" s="1"/>
  <c r="M298" i="59" s="1"/>
  <c r="BM291" i="59"/>
  <c r="U291" i="59" s="1"/>
  <c r="M291" i="59" s="1"/>
  <c r="BM289" i="59"/>
  <c r="U289" i="59" s="1"/>
  <c r="M289" i="59" s="1"/>
  <c r="BM287" i="59"/>
  <c r="U287" i="59" s="1"/>
  <c r="M287" i="59" s="1"/>
  <c r="BM296" i="59"/>
  <c r="U296" i="59" s="1"/>
  <c r="M296" i="59" s="1"/>
  <c r="BM285" i="59"/>
  <c r="U285" i="59" s="1"/>
  <c r="M285" i="59" s="1"/>
  <c r="BM283" i="59"/>
  <c r="U283" i="59" s="1"/>
  <c r="M283" i="59" s="1"/>
  <c r="BM281" i="59"/>
  <c r="U281" i="59" s="1"/>
  <c r="M281" i="59" s="1"/>
  <c r="BM279" i="59"/>
  <c r="U279" i="59" s="1"/>
  <c r="M279" i="59" s="1"/>
  <c r="BM277" i="59"/>
  <c r="U277" i="59" s="1"/>
  <c r="M277" i="59" s="1"/>
  <c r="BM275" i="59"/>
  <c r="U275" i="59" s="1"/>
  <c r="M275" i="59" s="1"/>
  <c r="BM273" i="59"/>
  <c r="U273" i="59" s="1"/>
  <c r="M273" i="59" s="1"/>
  <c r="BM292" i="59"/>
  <c r="U292" i="59" s="1"/>
  <c r="M292" i="59" s="1"/>
  <c r="BM290" i="59"/>
  <c r="U290" i="59" s="1"/>
  <c r="M290" i="59" s="1"/>
  <c r="BM288" i="59"/>
  <c r="U288" i="59" s="1"/>
  <c r="M288" i="59" s="1"/>
  <c r="BM286" i="59"/>
  <c r="U286" i="59" s="1"/>
  <c r="M286" i="59" s="1"/>
  <c r="BM282" i="59"/>
  <c r="U282" i="59" s="1"/>
  <c r="M282" i="59" s="1"/>
  <c r="BM294" i="59"/>
  <c r="U294" i="59" s="1"/>
  <c r="M294" i="59" s="1"/>
  <c r="BM280" i="59"/>
  <c r="U280" i="59" s="1"/>
  <c r="M280" i="59" s="1"/>
  <c r="BM274" i="59"/>
  <c r="U274" i="59" s="1"/>
  <c r="M274" i="59" s="1"/>
  <c r="BM270" i="59"/>
  <c r="U270" i="59" s="1"/>
  <c r="M270" i="59" s="1"/>
  <c r="BM268" i="59"/>
  <c r="U268" i="59" s="1"/>
  <c r="M268" i="59" s="1"/>
  <c r="BM278" i="59"/>
  <c r="U278" i="59" s="1"/>
  <c r="M278" i="59" s="1"/>
  <c r="BM284" i="59"/>
  <c r="U284" i="59" s="1"/>
  <c r="M284" i="59" s="1"/>
  <c r="BM276" i="59"/>
  <c r="U276" i="59" s="1"/>
  <c r="M276" i="59" s="1"/>
  <c r="BM271" i="59"/>
  <c r="U271" i="59" s="1"/>
  <c r="M271" i="59" s="1"/>
  <c r="BM266" i="59"/>
  <c r="U266" i="59" s="1"/>
  <c r="M266" i="59" s="1"/>
  <c r="BM264" i="59"/>
  <c r="U264" i="59" s="1"/>
  <c r="M264" i="59" s="1"/>
  <c r="BM262" i="59"/>
  <c r="U262" i="59" s="1"/>
  <c r="M262" i="59" s="1"/>
  <c r="BM260" i="59"/>
  <c r="U260" i="59" s="1"/>
  <c r="M260" i="59" s="1"/>
  <c r="BM258" i="59"/>
  <c r="BM269" i="59"/>
  <c r="U269" i="59" s="1"/>
  <c r="M269" i="59" s="1"/>
  <c r="BM267" i="59"/>
  <c r="U267" i="59" s="1"/>
  <c r="M267" i="59" s="1"/>
  <c r="BM272" i="59"/>
  <c r="U272" i="59" s="1"/>
  <c r="M272" i="59" s="1"/>
  <c r="BM216" i="59"/>
  <c r="U216" i="59" s="1"/>
  <c r="M216" i="59" s="1"/>
  <c r="BM214" i="59"/>
  <c r="U214" i="59" s="1"/>
  <c r="M214" i="59" s="1"/>
  <c r="BM265" i="59"/>
  <c r="U265" i="59" s="1"/>
  <c r="M265" i="59" s="1"/>
  <c r="BM263" i="59"/>
  <c r="U263" i="59" s="1"/>
  <c r="M263" i="59" s="1"/>
  <c r="BM261" i="59"/>
  <c r="U261" i="59" s="1"/>
  <c r="M261" i="59" s="1"/>
  <c r="BM259" i="59"/>
  <c r="U259" i="59" s="1"/>
  <c r="M259" i="59" s="1"/>
  <c r="BM211" i="59"/>
  <c r="U211" i="59" s="1"/>
  <c r="M211" i="59" s="1"/>
  <c r="BM210" i="59"/>
  <c r="U210" i="59" s="1"/>
  <c r="M210" i="59" s="1"/>
  <c r="BM208" i="59"/>
  <c r="U208" i="59" s="1"/>
  <c r="M208" i="59" s="1"/>
  <c r="BM206" i="59"/>
  <c r="U206" i="59" s="1"/>
  <c r="M206" i="59" s="1"/>
  <c r="BM212" i="59"/>
  <c r="U212" i="59" s="1"/>
  <c r="M212" i="59" s="1"/>
  <c r="BM218" i="59"/>
  <c r="U218" i="59" s="1"/>
  <c r="M218" i="59" s="1"/>
  <c r="BM215" i="59"/>
  <c r="U215" i="59" s="1"/>
  <c r="M215" i="59" s="1"/>
  <c r="BM207" i="59"/>
  <c r="U207" i="59" s="1"/>
  <c r="M207" i="59" s="1"/>
  <c r="BM198" i="59"/>
  <c r="U198" i="59" s="1"/>
  <c r="M198" i="59" s="1"/>
  <c r="BM196" i="59"/>
  <c r="U196" i="59" s="1"/>
  <c r="M196" i="59" s="1"/>
  <c r="BM194" i="59"/>
  <c r="U194" i="59" s="1"/>
  <c r="M194" i="59" s="1"/>
  <c r="BM192" i="59"/>
  <c r="U192" i="59" s="1"/>
  <c r="M192" i="59" s="1"/>
  <c r="BM197" i="59"/>
  <c r="U197" i="59" s="1"/>
  <c r="M197" i="59" s="1"/>
  <c r="BM195" i="59"/>
  <c r="U195" i="59" s="1"/>
  <c r="M195" i="59" s="1"/>
  <c r="BM193" i="59"/>
  <c r="U193" i="59" s="1"/>
  <c r="M193" i="59" s="1"/>
  <c r="BM191" i="59"/>
  <c r="U191" i="59" s="1"/>
  <c r="M191" i="59" s="1"/>
  <c r="BM189" i="59"/>
  <c r="U189" i="59" s="1"/>
  <c r="M189" i="59" s="1"/>
  <c r="BM187" i="59"/>
  <c r="U187" i="59" s="1"/>
  <c r="M187" i="59" s="1"/>
  <c r="BM213" i="59"/>
  <c r="U213" i="59" s="1"/>
  <c r="M213" i="59" s="1"/>
  <c r="BM204" i="59"/>
  <c r="U204" i="59" s="1"/>
  <c r="M204" i="59" s="1"/>
  <c r="BM200" i="59"/>
  <c r="U200" i="59" s="1"/>
  <c r="M200" i="59" s="1"/>
  <c r="BM190" i="59"/>
  <c r="U190" i="59" s="1"/>
  <c r="M190" i="59" s="1"/>
  <c r="BM202" i="59"/>
  <c r="U202" i="59" s="1"/>
  <c r="M202" i="59" s="1"/>
  <c r="BM188" i="59"/>
  <c r="U188" i="59" s="1"/>
  <c r="M188" i="59" s="1"/>
  <c r="BM184" i="59"/>
  <c r="U184" i="59" s="1"/>
  <c r="M184" i="59" s="1"/>
  <c r="BM181" i="59"/>
  <c r="U181" i="59" s="1"/>
  <c r="M181" i="59" s="1"/>
  <c r="BM179" i="59"/>
  <c r="U179" i="59" s="1"/>
  <c r="M179" i="59" s="1"/>
  <c r="BM185" i="59"/>
  <c r="U185" i="59" s="1"/>
  <c r="M185" i="59" s="1"/>
  <c r="BM205" i="59"/>
  <c r="U205" i="59" s="1"/>
  <c r="M205" i="59" s="1"/>
  <c r="BM186" i="59"/>
  <c r="U186" i="59" s="1"/>
  <c r="M186" i="59" s="1"/>
  <c r="BM217" i="59"/>
  <c r="U217" i="59" s="1"/>
  <c r="M217" i="59" s="1"/>
  <c r="BM199" i="59"/>
  <c r="U199" i="59" s="1"/>
  <c r="M199" i="59" s="1"/>
  <c r="BM201" i="59"/>
  <c r="U201" i="59" s="1"/>
  <c r="M201" i="59" s="1"/>
  <c r="BM183" i="59"/>
  <c r="U183" i="59" s="1"/>
  <c r="M183" i="59" s="1"/>
  <c r="BM180" i="59"/>
  <c r="U180" i="59" s="1"/>
  <c r="M180" i="59" s="1"/>
  <c r="BM203" i="59"/>
  <c r="U203" i="59" s="1"/>
  <c r="M203" i="59" s="1"/>
  <c r="BM209" i="59"/>
  <c r="U209" i="59" s="1"/>
  <c r="M209" i="59" s="1"/>
  <c r="BM172" i="59"/>
  <c r="U172" i="59" s="1"/>
  <c r="M172" i="59" s="1"/>
  <c r="BM175" i="59"/>
  <c r="U175" i="59" s="1"/>
  <c r="M175" i="59" s="1"/>
  <c r="BM176" i="59"/>
  <c r="U176" i="59" s="1"/>
  <c r="M176" i="59" s="1"/>
  <c r="BM174" i="59"/>
  <c r="U174" i="59" s="1"/>
  <c r="M174" i="59" s="1"/>
  <c r="BM182" i="59"/>
  <c r="U182" i="59" s="1"/>
  <c r="M182" i="59" s="1"/>
  <c r="BM177" i="59"/>
  <c r="U177" i="59" s="1"/>
  <c r="M177" i="59" s="1"/>
  <c r="BM178" i="59"/>
  <c r="U178" i="59" s="1"/>
  <c r="M178" i="59" s="1"/>
  <c r="BM173" i="59"/>
  <c r="U173" i="59" s="1"/>
  <c r="M173" i="59" s="1"/>
  <c r="BM86" i="59"/>
  <c r="U86" i="59" s="1"/>
  <c r="M86" i="59" s="1"/>
  <c r="BM85" i="59"/>
  <c r="U85" i="59" s="1"/>
  <c r="M85" i="59" s="1"/>
  <c r="BM104" i="59"/>
  <c r="BM89" i="59"/>
  <c r="U89" i="59" s="1"/>
  <c r="M89" i="59" s="1"/>
  <c r="BM103" i="59"/>
  <c r="BM87" i="59"/>
  <c r="U87" i="59" s="1"/>
  <c r="M87" i="59" s="1"/>
  <c r="BM90" i="59"/>
  <c r="U90" i="59" s="1"/>
  <c r="M90" i="59" s="1"/>
  <c r="BM102" i="59"/>
  <c r="BM84" i="59"/>
  <c r="U84" i="59" s="1"/>
  <c r="M84" i="59" s="1"/>
  <c r="BM171" i="59"/>
  <c r="BM88" i="59"/>
  <c r="U88" i="59" s="1"/>
  <c r="M88" i="59" s="1"/>
  <c r="BM80" i="59"/>
  <c r="U80" i="59" s="1"/>
  <c r="M80" i="59" s="1"/>
  <c r="BM79" i="59"/>
  <c r="U79" i="59" s="1"/>
  <c r="M79" i="59" s="1"/>
  <c r="BM76" i="59"/>
  <c r="U76" i="59" s="1"/>
  <c r="M76" i="59" s="1"/>
  <c r="BM75" i="59"/>
  <c r="U75" i="59" s="1"/>
  <c r="M75" i="59" s="1"/>
  <c r="BM73" i="59"/>
  <c r="U73" i="59" s="1"/>
  <c r="M73" i="59" s="1"/>
  <c r="BM64" i="59"/>
  <c r="U64" i="59" s="1"/>
  <c r="M64" i="59" s="1"/>
  <c r="BM71" i="59"/>
  <c r="U71" i="59" s="1"/>
  <c r="M71" i="59" s="1"/>
  <c r="BM60" i="59"/>
  <c r="U60" i="59" s="1"/>
  <c r="M60" i="59" s="1"/>
  <c r="BM69" i="59"/>
  <c r="U69" i="59" s="1"/>
  <c r="BM67" i="59"/>
  <c r="U67" i="59" s="1"/>
  <c r="M67" i="59" s="1"/>
  <c r="BM82" i="59"/>
  <c r="U82" i="59" s="1"/>
  <c r="M82" i="59" s="1"/>
  <c r="BM81" i="59"/>
  <c r="U81" i="59" s="1"/>
  <c r="M81" i="59" s="1"/>
  <c r="BM78" i="59"/>
  <c r="U78" i="59" s="1"/>
  <c r="M78" i="59" s="1"/>
  <c r="BM77" i="59"/>
  <c r="U77" i="59" s="1"/>
  <c r="M77" i="59" s="1"/>
  <c r="BM74" i="59"/>
  <c r="U74" i="59" s="1"/>
  <c r="M74" i="59" s="1"/>
  <c r="BM65" i="59"/>
  <c r="U65" i="59" s="1"/>
  <c r="M65" i="59" s="1"/>
  <c r="BM63" i="59"/>
  <c r="U63" i="59" s="1"/>
  <c r="M63" i="59" s="1"/>
  <c r="BM61" i="59"/>
  <c r="U61" i="59" s="1"/>
  <c r="M61" i="59" s="1"/>
  <c r="BM72" i="59"/>
  <c r="U72" i="59" s="1"/>
  <c r="M72" i="59" s="1"/>
  <c r="BM59" i="59"/>
  <c r="U59" i="59" s="1"/>
  <c r="M59" i="59" s="1"/>
  <c r="BM70" i="59"/>
  <c r="U70" i="59" s="1"/>
  <c r="M70" i="59" s="1"/>
  <c r="BM68" i="59"/>
  <c r="U68" i="59" s="1"/>
  <c r="BM83" i="59"/>
  <c r="U83" i="59" s="1"/>
  <c r="M83" i="59" s="1"/>
  <c r="BM58" i="59"/>
  <c r="U58" i="59" s="1"/>
  <c r="M58" i="59" s="1"/>
  <c r="BM43" i="59"/>
  <c r="U43" i="59" s="1"/>
  <c r="M43" i="59" s="1"/>
  <c r="BM41" i="59"/>
  <c r="U41" i="59" s="1"/>
  <c r="M41" i="59" s="1"/>
  <c r="BM39" i="59"/>
  <c r="U39" i="59" s="1"/>
  <c r="M39" i="59" s="1"/>
  <c r="BM37" i="59"/>
  <c r="U37" i="59" s="1"/>
  <c r="M37" i="59" s="1"/>
  <c r="BM55" i="59"/>
  <c r="U55" i="59" s="1"/>
  <c r="M55" i="59" s="1"/>
  <c r="BM34" i="59"/>
  <c r="U34" i="59" s="1"/>
  <c r="M34" i="59" s="1"/>
  <c r="BM32" i="59"/>
  <c r="U32" i="59" s="1"/>
  <c r="M32" i="59" s="1"/>
  <c r="BM56" i="59"/>
  <c r="U56" i="59" s="1"/>
  <c r="M56" i="59" s="1"/>
  <c r="BM52" i="59"/>
  <c r="U52" i="59" s="1"/>
  <c r="M52" i="59" s="1"/>
  <c r="BM50" i="59"/>
  <c r="U50" i="59" s="1"/>
  <c r="M50" i="59" s="1"/>
  <c r="BM48" i="59"/>
  <c r="U48" i="59" s="1"/>
  <c r="M48" i="59" s="1"/>
  <c r="BM46" i="59"/>
  <c r="U46" i="59" s="1"/>
  <c r="M46" i="59" s="1"/>
  <c r="BM44" i="59"/>
  <c r="U44" i="59" s="1"/>
  <c r="M44" i="59" s="1"/>
  <c r="BM66" i="59"/>
  <c r="U66" i="59" s="1"/>
  <c r="M66" i="59" s="1"/>
  <c r="BM62" i="59"/>
  <c r="U62" i="59" s="1"/>
  <c r="M62" i="59" s="1"/>
  <c r="BM36" i="59"/>
  <c r="U36" i="59" s="1"/>
  <c r="M36" i="59" s="1"/>
  <c r="BM57" i="59"/>
  <c r="U57" i="59" s="1"/>
  <c r="BM54" i="59"/>
  <c r="U54" i="59" s="1"/>
  <c r="M54" i="59" s="1"/>
  <c r="BM53" i="59"/>
  <c r="U53" i="59" s="1"/>
  <c r="M53" i="59" s="1"/>
  <c r="BM51" i="59"/>
  <c r="U51" i="59" s="1"/>
  <c r="M51" i="59" s="1"/>
  <c r="BM47" i="59"/>
  <c r="U47" i="59" s="1"/>
  <c r="M47" i="59" s="1"/>
  <c r="BM45" i="59"/>
  <c r="U45" i="59" s="1"/>
  <c r="M45" i="59" s="1"/>
  <c r="BM42" i="59"/>
  <c r="U42" i="59" s="1"/>
  <c r="M42" i="59" s="1"/>
  <c r="BM40" i="59"/>
  <c r="U40" i="59" s="1"/>
  <c r="M40" i="59" s="1"/>
  <c r="BM38" i="59"/>
  <c r="U38" i="59" s="1"/>
  <c r="M38" i="59" s="1"/>
  <c r="BM33" i="59"/>
  <c r="U33" i="59" s="1"/>
  <c r="M33" i="59" s="1"/>
  <c r="BM30" i="59"/>
  <c r="U30" i="59" s="1"/>
  <c r="M30" i="59" s="1"/>
  <c r="BM28" i="59"/>
  <c r="U28" i="59" s="1"/>
  <c r="M28" i="59" s="1"/>
  <c r="BM26" i="59"/>
  <c r="U26" i="59" s="1"/>
  <c r="M26" i="59" s="1"/>
  <c r="BM24" i="59"/>
  <c r="U24" i="59" s="1"/>
  <c r="M24" i="59" s="1"/>
  <c r="BM22" i="59"/>
  <c r="U22" i="59" s="1"/>
  <c r="M22" i="59" s="1"/>
  <c r="BM20" i="59"/>
  <c r="U20" i="59" s="1"/>
  <c r="M20" i="59" s="1"/>
  <c r="BM18" i="59"/>
  <c r="U18" i="59" s="1"/>
  <c r="M18" i="59" s="1"/>
  <c r="BM16" i="59"/>
  <c r="U16" i="59" s="1"/>
  <c r="M16" i="59" s="1"/>
  <c r="BM14" i="59"/>
  <c r="U14" i="59" s="1"/>
  <c r="M14" i="59" s="1"/>
  <c r="BM12" i="59"/>
  <c r="U12" i="59" s="1"/>
  <c r="M12" i="59" s="1"/>
  <c r="BM10" i="59"/>
  <c r="U10" i="59" s="1"/>
  <c r="M10" i="59" s="1"/>
  <c r="BM49" i="59"/>
  <c r="U49" i="59" s="1"/>
  <c r="M49" i="59" s="1"/>
  <c r="BM31" i="59"/>
  <c r="U31" i="59" s="1"/>
  <c r="M31" i="59" s="1"/>
  <c r="BM29" i="59"/>
  <c r="U29" i="59" s="1"/>
  <c r="M29" i="59" s="1"/>
  <c r="BM27" i="59"/>
  <c r="U27" i="59" s="1"/>
  <c r="M27" i="59" s="1"/>
  <c r="BM25" i="59"/>
  <c r="U25" i="59" s="1"/>
  <c r="M25" i="59" s="1"/>
  <c r="BM23" i="59"/>
  <c r="U23" i="59" s="1"/>
  <c r="M23" i="59" s="1"/>
  <c r="BM21" i="59"/>
  <c r="U21" i="59" s="1"/>
  <c r="M21" i="59" s="1"/>
  <c r="BM19" i="59"/>
  <c r="U19" i="59" s="1"/>
  <c r="M19" i="59" s="1"/>
  <c r="BM17" i="59"/>
  <c r="U17" i="59" s="1"/>
  <c r="M17" i="59" s="1"/>
  <c r="BM15" i="59"/>
  <c r="U15" i="59" s="1"/>
  <c r="M15" i="59" s="1"/>
  <c r="BM13" i="59"/>
  <c r="U13" i="59" s="1"/>
  <c r="M13" i="59" s="1"/>
  <c r="BM11" i="59"/>
  <c r="U11" i="59" s="1"/>
  <c r="M11" i="59" s="1"/>
  <c r="BM9" i="59"/>
  <c r="U9" i="59" s="1"/>
  <c r="BM35" i="59"/>
  <c r="U35" i="59" s="1"/>
  <c r="M35" i="59" s="1"/>
  <c r="BB106" i="59"/>
  <c r="BA107" i="59"/>
  <c r="P304" i="54"/>
  <c r="BI93" i="59"/>
  <c r="BI428" i="59"/>
  <c r="BI430" i="59" s="1"/>
  <c r="BI431" i="59" s="1"/>
  <c r="BI98" i="59" s="1"/>
  <c r="O300" i="53"/>
  <c r="O308" i="53" s="1"/>
  <c r="N258" i="53"/>
  <c r="N259" i="53" s="1"/>
  <c r="HQ24" i="54"/>
  <c r="N300" i="53"/>
  <c r="N308" i="53" s="1"/>
  <c r="Q290" i="53"/>
  <c r="Q305" i="54"/>
  <c r="P258" i="53"/>
  <c r="P259" i="53" s="1"/>
  <c r="V314" i="53"/>
  <c r="O258" i="53"/>
  <c r="O259" i="53" s="1"/>
  <c r="R266" i="53"/>
  <c r="R268" i="53"/>
  <c r="R270" i="53" s="1"/>
  <c r="R271" i="53" s="1"/>
  <c r="V278" i="53"/>
  <c r="R313" i="53"/>
  <c r="HN23" i="53"/>
  <c r="HO23" i="53" s="1"/>
  <c r="HT25" i="53"/>
  <c r="P307" i="54"/>
  <c r="IF25" i="53"/>
  <c r="T264" i="53"/>
  <c r="T265" i="53" s="1"/>
  <c r="R267" i="53"/>
  <c r="R305" i="54" s="1"/>
  <c r="V280" i="53"/>
  <c r="U306" i="54"/>
  <c r="V281" i="53"/>
  <c r="S265" i="53"/>
  <c r="Q292" i="53"/>
  <c r="X276" i="53"/>
  <c r="HU29" i="54" s="1"/>
  <c r="IG29" i="53"/>
  <c r="Q293" i="53"/>
  <c r="HX29" i="53"/>
  <c r="Q291" i="53"/>
  <c r="Q303" i="53" s="1"/>
  <c r="Q311" i="53" s="1"/>
  <c r="Y274" i="53" a="1"/>
  <c r="Y274" i="53" s="1"/>
  <c r="Z274" i="53" s="1" a="1"/>
  <c r="Z274" i="53" s="1"/>
  <c r="Z275" i="53" s="1"/>
  <c r="V302" i="53"/>
  <c r="V310" i="53" s="1"/>
  <c r="V306" i="54"/>
  <c r="R289" i="53"/>
  <c r="R290" i="53" s="1"/>
  <c r="R285" i="54"/>
  <c r="HY23" i="54"/>
  <c r="W277" i="53"/>
  <c r="W281" i="53" s="1"/>
  <c r="W273" i="54"/>
  <c r="HU28" i="54"/>
  <c r="U263" i="53"/>
  <c r="HR26" i="53" s="1"/>
  <c r="U264" i="53" s="1"/>
  <c r="IE22" i="53"/>
  <c r="HO22" i="53"/>
  <c r="HP22" i="53"/>
  <c r="Q252" i="53"/>
  <c r="S250" i="53" a="1"/>
  <c r="S250" i="53" s="1"/>
  <c r="S251" i="53" s="1"/>
  <c r="HN24" i="53" s="1"/>
  <c r="S252" i="53" s="1"/>
  <c r="V263" i="53"/>
  <c r="W262" i="53" a="1"/>
  <c r="W262" i="53" s="1"/>
  <c r="T287" i="53"/>
  <c r="HZ25" i="53" s="1"/>
  <c r="U286" i="53" a="1"/>
  <c r="U286" i="53" s="1"/>
  <c r="S288" i="53"/>
  <c r="IB24" i="53"/>
  <c r="IA24" i="53"/>
  <c r="IH24" i="53"/>
  <c r="BI343" i="59" l="1"/>
  <c r="BI344" i="59" s="1"/>
  <c r="BI97" i="59" s="1"/>
  <c r="BM341" i="59"/>
  <c r="U91" i="59"/>
  <c r="M9" i="59"/>
  <c r="M91" i="59" s="1"/>
  <c r="U92" i="59"/>
  <c r="M57" i="59"/>
  <c r="M92" i="59" s="1"/>
  <c r="U112" i="59"/>
  <c r="M69" i="59"/>
  <c r="BM251" i="59"/>
  <c r="BM254" i="59" s="1"/>
  <c r="BM255" i="59" s="1"/>
  <c r="BM340" i="59"/>
  <c r="BM428" i="59"/>
  <c r="BM430" i="59" s="1"/>
  <c r="BM431" i="59" s="1"/>
  <c r="BM98" i="59" s="1"/>
  <c r="U93" i="59"/>
  <c r="U114" i="59"/>
  <c r="M68" i="59"/>
  <c r="BM93" i="59"/>
  <c r="BE96" i="59"/>
  <c r="BE99" i="59" s="1"/>
  <c r="BE105" i="59" s="1"/>
  <c r="BE95" i="59"/>
  <c r="BM342" i="59"/>
  <c r="U306" i="59"/>
  <c r="BI94" i="59"/>
  <c r="U395" i="59"/>
  <c r="BM91" i="59"/>
  <c r="U171" i="59"/>
  <c r="U322" i="59"/>
  <c r="BM92" i="59"/>
  <c r="U258" i="59"/>
  <c r="X273" i="54"/>
  <c r="HQ25" i="54"/>
  <c r="IE23" i="53"/>
  <c r="T268" i="53"/>
  <c r="T313" i="53"/>
  <c r="T267" i="53"/>
  <c r="T301" i="53" s="1"/>
  <c r="T309" i="53" s="1"/>
  <c r="X277" i="53"/>
  <c r="X314" i="53" s="1"/>
  <c r="T261" i="54"/>
  <c r="R301" i="53"/>
  <c r="R309" i="53" s="1"/>
  <c r="V282" i="53"/>
  <c r="V283" i="53" s="1"/>
  <c r="T266" i="53"/>
  <c r="T269" i="53"/>
  <c r="W278" i="53"/>
  <c r="HP23" i="53"/>
  <c r="Q307" i="54"/>
  <c r="R252" i="53"/>
  <c r="R253" i="53" s="1"/>
  <c r="Q294" i="53"/>
  <c r="Q295" i="53" s="1"/>
  <c r="HS26" i="53"/>
  <c r="IF26" i="53"/>
  <c r="S313" i="53"/>
  <c r="S266" i="53"/>
  <c r="S267" i="53"/>
  <c r="S269" i="53"/>
  <c r="S268" i="53"/>
  <c r="HT26" i="53"/>
  <c r="R315" i="53"/>
  <c r="Y275" i="53"/>
  <c r="HV30" i="53" s="1"/>
  <c r="HV31" i="53" s="1"/>
  <c r="W280" i="53"/>
  <c r="W282" i="53" s="1"/>
  <c r="W283" i="53" s="1"/>
  <c r="W314" i="53"/>
  <c r="R291" i="53"/>
  <c r="R303" i="53" s="1"/>
  <c r="R311" i="53" s="1"/>
  <c r="W279" i="53"/>
  <c r="W306" i="54" s="1"/>
  <c r="R292" i="53"/>
  <c r="R293" i="53"/>
  <c r="S289" i="53"/>
  <c r="S290" i="53" s="1"/>
  <c r="S285" i="54"/>
  <c r="HY24" i="54"/>
  <c r="S253" i="53"/>
  <c r="S256" i="53" s="1"/>
  <c r="S249" i="54"/>
  <c r="HM24" i="54"/>
  <c r="U265" i="53"/>
  <c r="U268" i="53" s="1"/>
  <c r="U261" i="54"/>
  <c r="HQ26" i="54"/>
  <c r="Q253" i="53"/>
  <c r="Q257" i="53" s="1"/>
  <c r="Q249" i="54"/>
  <c r="HM22" i="54"/>
  <c r="HR27" i="53"/>
  <c r="IF27" i="53" s="1"/>
  <c r="HP24" i="53"/>
  <c r="HO24" i="53"/>
  <c r="IE24" i="53"/>
  <c r="T250" i="53" a="1"/>
  <c r="T250" i="53" s="1"/>
  <c r="T251" i="53" s="1"/>
  <c r="HN25" i="53" s="1"/>
  <c r="T252" i="53" s="1"/>
  <c r="AA274" i="53" a="1"/>
  <c r="AA274" i="53" s="1"/>
  <c r="AA275" i="53" s="1"/>
  <c r="T288" i="53"/>
  <c r="IH25" i="53"/>
  <c r="IA25" i="53"/>
  <c r="IB25" i="53"/>
  <c r="W263" i="53"/>
  <c r="X262" i="53" a="1"/>
  <c r="X262" i="53" s="1"/>
  <c r="U287" i="53"/>
  <c r="HZ26" i="53" s="1"/>
  <c r="V286" i="53" a="1"/>
  <c r="V286" i="53" s="1"/>
  <c r="X279" i="53" l="1"/>
  <c r="X306" i="54" s="1"/>
  <c r="BM343" i="59"/>
  <c r="BM344" i="59" s="1"/>
  <c r="BM97" i="59" s="1"/>
  <c r="BM94" i="59"/>
  <c r="U428" i="59"/>
  <c r="U430" i="59" s="1"/>
  <c r="U431" i="59" s="1"/>
  <c r="U98" i="59" s="1"/>
  <c r="M395" i="59"/>
  <c r="M428" i="59" s="1"/>
  <c r="M430" i="59" s="1"/>
  <c r="M431" i="59" s="1"/>
  <c r="M98" i="59" s="1"/>
  <c r="BF106" i="59"/>
  <c r="BE107" i="59"/>
  <c r="BI95" i="59"/>
  <c r="BI96" i="59"/>
  <c r="BI99" i="59" s="1"/>
  <c r="BI105" i="59" s="1"/>
  <c r="M112" i="59"/>
  <c r="U341" i="59"/>
  <c r="M306" i="59"/>
  <c r="M341" i="59" s="1"/>
  <c r="M114" i="59"/>
  <c r="M93" i="59"/>
  <c r="M94" i="59" s="1"/>
  <c r="U251" i="59"/>
  <c r="U254" i="59" s="1"/>
  <c r="U255" i="59" s="1"/>
  <c r="M171" i="59"/>
  <c r="M251" i="59" s="1"/>
  <c r="M254" i="59" s="1"/>
  <c r="M255" i="59" s="1"/>
  <c r="U340" i="59"/>
  <c r="M258" i="59"/>
  <c r="M340" i="59" s="1"/>
  <c r="U342" i="59"/>
  <c r="U338" i="59"/>
  <c r="U113" i="59" s="1"/>
  <c r="U339" i="59"/>
  <c r="U115" i="59" s="1"/>
  <c r="M322" i="59"/>
  <c r="R307" i="54"/>
  <c r="X280" i="53"/>
  <c r="X278" i="53"/>
  <c r="T270" i="53"/>
  <c r="T271" i="53" s="1"/>
  <c r="HM23" i="54"/>
  <c r="Q254" i="53"/>
  <c r="Q256" i="53"/>
  <c r="Q258" i="53" s="1"/>
  <c r="Q259" i="53" s="1"/>
  <c r="Q312" i="53"/>
  <c r="U313" i="53"/>
  <c r="U266" i="53"/>
  <c r="Q255" i="53"/>
  <c r="Q304" i="54" s="1"/>
  <c r="R294" i="53"/>
  <c r="R295" i="53" s="1"/>
  <c r="S293" i="53"/>
  <c r="R249" i="54"/>
  <c r="S291" i="53"/>
  <c r="S303" i="53" s="1"/>
  <c r="S311" i="53" s="1"/>
  <c r="R254" i="53"/>
  <c r="R312" i="53"/>
  <c r="R257" i="53"/>
  <c r="X281" i="53"/>
  <c r="V264" i="53"/>
  <c r="HQ27" i="54" s="1"/>
  <c r="T305" i="54"/>
  <c r="S315" i="53"/>
  <c r="S312" i="53"/>
  <c r="S254" i="53"/>
  <c r="S255" i="53"/>
  <c r="S300" i="53" s="1"/>
  <c r="S308" i="53" s="1"/>
  <c r="S292" i="53"/>
  <c r="HX30" i="53"/>
  <c r="HS27" i="53"/>
  <c r="S257" i="53"/>
  <c r="S258" i="53" s="1"/>
  <c r="S259" i="53" s="1"/>
  <c r="HW30" i="53"/>
  <c r="W302" i="53"/>
  <c r="W310" i="53" s="1"/>
  <c r="S270" i="53"/>
  <c r="S271" i="53" s="1"/>
  <c r="IG30" i="53"/>
  <c r="S301" i="53"/>
  <c r="S309" i="53" s="1"/>
  <c r="S305" i="54"/>
  <c r="U267" i="53"/>
  <c r="U305" i="54" s="1"/>
  <c r="HR28" i="53"/>
  <c r="HS28" i="53" s="1"/>
  <c r="S299" i="53"/>
  <c r="Y276" i="53"/>
  <c r="Y273" i="54" s="1"/>
  <c r="HX31" i="53"/>
  <c r="HW31" i="53"/>
  <c r="IG31" i="53"/>
  <c r="Z276" i="53"/>
  <c r="Z277" i="53" s="1"/>
  <c r="Q299" i="53"/>
  <c r="HV32" i="53"/>
  <c r="AA276" i="53" s="1"/>
  <c r="AA273" i="54" s="1"/>
  <c r="T253" i="53"/>
  <c r="T312" i="53" s="1"/>
  <c r="T249" i="54"/>
  <c r="HM25" i="54"/>
  <c r="R256" i="53"/>
  <c r="R299" i="53"/>
  <c r="R255" i="53"/>
  <c r="U269" i="53"/>
  <c r="U270" i="53" s="1"/>
  <c r="U271" i="53" s="1"/>
  <c r="HT27" i="53"/>
  <c r="T289" i="53"/>
  <c r="T315" i="53" s="1"/>
  <c r="T285" i="54"/>
  <c r="HY25" i="54"/>
  <c r="IE25" i="53"/>
  <c r="HO25" i="53"/>
  <c r="HP25" i="53"/>
  <c r="U250" i="53" a="1"/>
  <c r="U250" i="53" s="1"/>
  <c r="AB274" i="53" a="1"/>
  <c r="AB274" i="53" s="1"/>
  <c r="X263" i="53"/>
  <c r="Y262" i="53" a="1"/>
  <c r="Y262" i="53" s="1"/>
  <c r="U288" i="53"/>
  <c r="IH26" i="53"/>
  <c r="IB26" i="53"/>
  <c r="IA26" i="53"/>
  <c r="V287" i="53"/>
  <c r="HZ27" i="53" s="1"/>
  <c r="W286" i="53" a="1"/>
  <c r="W286" i="53" s="1"/>
  <c r="X302" i="53" l="1"/>
  <c r="X310" i="53" s="1"/>
  <c r="X282" i="53"/>
  <c r="X283" i="53" s="1"/>
  <c r="M96" i="59"/>
  <c r="M95" i="59"/>
  <c r="HE14" i="53" s="1"/>
  <c r="M113" i="59"/>
  <c r="BI107" i="59"/>
  <c r="BJ106" i="59"/>
  <c r="U343" i="59"/>
  <c r="U344" i="59" s="1"/>
  <c r="U97" i="59" s="1"/>
  <c r="M342" i="59"/>
  <c r="M343" i="59" s="1"/>
  <c r="M344" i="59" s="1"/>
  <c r="M97" i="59" s="1"/>
  <c r="M339" i="59"/>
  <c r="M115" i="59" s="1"/>
  <c r="M338" i="59"/>
  <c r="BM96" i="59"/>
  <c r="BM99" i="59" s="1"/>
  <c r="BM105" i="59" s="1"/>
  <c r="BM95" i="59"/>
  <c r="U94" i="59"/>
  <c r="Q300" i="53"/>
  <c r="Q308" i="53" s="1"/>
  <c r="Y277" i="53"/>
  <c r="Y314" i="53" s="1"/>
  <c r="S294" i="53"/>
  <c r="S295" i="53" s="1"/>
  <c r="S307" i="54"/>
  <c r="HR29" i="53"/>
  <c r="HS29" i="53" s="1"/>
  <c r="T292" i="53"/>
  <c r="T299" i="53"/>
  <c r="Z273" i="54"/>
  <c r="T290" i="53"/>
  <c r="V261" i="54"/>
  <c r="T255" i="53"/>
  <c r="T300" i="53" s="1"/>
  <c r="T308" i="53" s="1"/>
  <c r="V265" i="53"/>
  <c r="V268" i="53" s="1"/>
  <c r="HU30" i="54"/>
  <c r="U301" i="53"/>
  <c r="U309" i="53" s="1"/>
  <c r="T256" i="53"/>
  <c r="T254" i="53"/>
  <c r="HT28" i="53"/>
  <c r="W264" i="53"/>
  <c r="HQ28" i="54" s="1"/>
  <c r="R258" i="53"/>
  <c r="R259" i="53" s="1"/>
  <c r="T291" i="53"/>
  <c r="T303" i="53" s="1"/>
  <c r="T311" i="53" s="1"/>
  <c r="HW32" i="53"/>
  <c r="S304" i="54"/>
  <c r="HU31" i="54"/>
  <c r="T257" i="53"/>
  <c r="IF28" i="53"/>
  <c r="T293" i="53"/>
  <c r="IG32" i="53"/>
  <c r="HU32" i="54"/>
  <c r="HX32" i="53"/>
  <c r="AA277" i="53"/>
  <c r="AA314" i="53" s="1"/>
  <c r="R300" i="53"/>
  <c r="R308" i="53" s="1"/>
  <c r="R304" i="54"/>
  <c r="U289" i="53"/>
  <c r="U291" i="53" s="1"/>
  <c r="U285" i="54"/>
  <c r="HY26" i="54"/>
  <c r="Z280" i="53"/>
  <c r="Z278" i="53"/>
  <c r="Z279" i="53"/>
  <c r="Z314" i="53"/>
  <c r="Z281" i="53"/>
  <c r="U251" i="53"/>
  <c r="HN26" i="53" s="1"/>
  <c r="V250" i="53" a="1"/>
  <c r="V250" i="53" s="1"/>
  <c r="V251" i="53" s="1"/>
  <c r="HN27" i="53" s="1"/>
  <c r="V252" i="53" s="1"/>
  <c r="AC274" i="53" a="1"/>
  <c r="AC274" i="53" s="1"/>
  <c r="AC275" i="53" s="1"/>
  <c r="HV34" i="53" s="1"/>
  <c r="AC276" i="53" s="1"/>
  <c r="AB275" i="53"/>
  <c r="HV33" i="53" s="1"/>
  <c r="W287" i="53"/>
  <c r="HZ28" i="53" s="1"/>
  <c r="X286" i="53" a="1"/>
  <c r="X286" i="53" s="1"/>
  <c r="V288" i="53"/>
  <c r="IA27" i="53"/>
  <c r="IH27" i="53"/>
  <c r="IB27" i="53"/>
  <c r="Y263" i="53"/>
  <c r="Z262" i="53" a="1"/>
  <c r="Z262" i="53" s="1"/>
  <c r="Y280" i="53" l="1"/>
  <c r="Y278" i="53"/>
  <c r="HT29" i="53"/>
  <c r="V313" i="53"/>
  <c r="M99" i="59"/>
  <c r="BM101" i="59" s="1"/>
  <c r="BN106" i="59"/>
  <c r="BM107" i="59"/>
  <c r="IF29" i="53"/>
  <c r="X264" i="53"/>
  <c r="X265" i="53" s="1"/>
  <c r="X313" i="53" s="1"/>
  <c r="U96" i="59"/>
  <c r="U99" i="59" s="1"/>
  <c r="U95" i="59"/>
  <c r="HI14" i="53" s="1"/>
  <c r="T294" i="53"/>
  <c r="T295" i="53" s="1"/>
  <c r="V267" i="53"/>
  <c r="V305" i="54" s="1"/>
  <c r="Y279" i="53"/>
  <c r="Y302" i="53" s="1"/>
  <c r="Y310" i="53" s="1"/>
  <c r="Y281" i="53"/>
  <c r="U315" i="53"/>
  <c r="HR30" i="53"/>
  <c r="Y264" i="53" s="1"/>
  <c r="AA279" i="53"/>
  <c r="AA302" i="53" s="1"/>
  <c r="AA310" i="53" s="1"/>
  <c r="T304" i="54"/>
  <c r="U290" i="53"/>
  <c r="V266" i="53"/>
  <c r="V269" i="53"/>
  <c r="V270" i="53" s="1"/>
  <c r="V271" i="53" s="1"/>
  <c r="T258" i="53"/>
  <c r="T259" i="53" s="1"/>
  <c r="U293" i="53"/>
  <c r="W261" i="54"/>
  <c r="W265" i="53"/>
  <c r="W313" i="53" s="1"/>
  <c r="AA278" i="53"/>
  <c r="U292" i="53"/>
  <c r="T307" i="54"/>
  <c r="AA281" i="53"/>
  <c r="AA280" i="53"/>
  <c r="AC277" i="53"/>
  <c r="AC314" i="53" s="1"/>
  <c r="AC273" i="54"/>
  <c r="HU34" i="54"/>
  <c r="V289" i="53"/>
  <c r="V291" i="53" s="1"/>
  <c r="V285" i="54"/>
  <c r="HY27" i="54"/>
  <c r="Z302" i="53"/>
  <c r="Z310" i="53" s="1"/>
  <c r="Z306" i="54"/>
  <c r="V253" i="53"/>
  <c r="V299" i="53" s="1"/>
  <c r="V249" i="54"/>
  <c r="HM27" i="54"/>
  <c r="Z282" i="53"/>
  <c r="Z283" i="53" s="1"/>
  <c r="U303" i="53"/>
  <c r="U311" i="53" s="1"/>
  <c r="U307" i="54"/>
  <c r="HO27" i="53"/>
  <c r="IE27" i="53"/>
  <c r="HP27" i="53"/>
  <c r="U252" i="53"/>
  <c r="IE26" i="53"/>
  <c r="HP26" i="53"/>
  <c r="HO26" i="53"/>
  <c r="W250" i="53" a="1"/>
  <c r="W250" i="53" s="1"/>
  <c r="W251" i="53" s="1"/>
  <c r="HN28" i="53" s="1"/>
  <c r="IE28" i="53" s="1"/>
  <c r="IG34" i="53"/>
  <c r="HW34" i="53"/>
  <c r="HX34" i="53"/>
  <c r="AB276" i="53"/>
  <c r="HW33" i="53"/>
  <c r="HX33" i="53"/>
  <c r="IG33" i="53"/>
  <c r="AD274" i="53" a="1"/>
  <c r="AD274" i="53" s="1"/>
  <c r="AD275" i="53" s="1"/>
  <c r="HV35" i="53" s="1"/>
  <c r="HW35" i="53" s="1"/>
  <c r="W288" i="53"/>
  <c r="IB28" i="53"/>
  <c r="IA28" i="53"/>
  <c r="IH28" i="53"/>
  <c r="Z263" i="53"/>
  <c r="AA262" i="53" a="1"/>
  <c r="AA262" i="53" s="1"/>
  <c r="X287" i="53"/>
  <c r="HZ29" i="53" s="1"/>
  <c r="Y286" i="53" a="1"/>
  <c r="Y286" i="53" s="1"/>
  <c r="Y282" i="53" l="1"/>
  <c r="Y283" i="53" s="1"/>
  <c r="BE101" i="59"/>
  <c r="BE109" i="59" s="1"/>
  <c r="HQ29" i="54"/>
  <c r="X261" i="54"/>
  <c r="AG101" i="59"/>
  <c r="AG109" i="59" s="1"/>
  <c r="Q101" i="59"/>
  <c r="AC101" i="59"/>
  <c r="AC109" i="59" s="1"/>
  <c r="M101" i="59"/>
  <c r="BI101" i="59"/>
  <c r="BI109" i="59" s="1"/>
  <c r="AW101" i="59"/>
  <c r="AW109" i="59" s="1"/>
  <c r="AS101" i="59"/>
  <c r="AS109" i="59" s="1"/>
  <c r="AO101" i="59"/>
  <c r="AO109" i="59" s="1"/>
  <c r="Y101" i="59"/>
  <c r="BA101" i="59"/>
  <c r="BA109" i="59" s="1"/>
  <c r="AK101" i="59"/>
  <c r="AK109" i="59" s="1"/>
  <c r="BM109" i="59"/>
  <c r="HR31" i="53"/>
  <c r="HS31" i="53" s="1"/>
  <c r="BE100" i="59"/>
  <c r="BE108" i="59" s="1"/>
  <c r="Y100" i="59"/>
  <c r="AS100" i="59"/>
  <c r="AS108" i="59" s="1"/>
  <c r="BM100" i="59"/>
  <c r="BM108" i="59" s="1"/>
  <c r="AG100" i="59"/>
  <c r="AG108" i="59" s="1"/>
  <c r="BA100" i="59"/>
  <c r="BA108" i="59" s="1"/>
  <c r="U100" i="59"/>
  <c r="AO100" i="59"/>
  <c r="AO108" i="59" s="1"/>
  <c r="BI100" i="59"/>
  <c r="BI108" i="59" s="1"/>
  <c r="AC100" i="59"/>
  <c r="AC108" i="59" s="1"/>
  <c r="AW100" i="59"/>
  <c r="AW108" i="59" s="1"/>
  <c r="AK100" i="59"/>
  <c r="AK108" i="59" s="1"/>
  <c r="V254" i="53"/>
  <c r="V301" i="53"/>
  <c r="V309" i="53" s="1"/>
  <c r="Y306" i="54"/>
  <c r="V255" i="53"/>
  <c r="V300" i="53" s="1"/>
  <c r="V308" i="53" s="1"/>
  <c r="HS30" i="53"/>
  <c r="HT30" i="53"/>
  <c r="V292" i="53"/>
  <c r="IF30" i="53"/>
  <c r="V315" i="53"/>
  <c r="V257" i="53"/>
  <c r="AA306" i="54"/>
  <c r="V312" i="53"/>
  <c r="V256" i="53"/>
  <c r="W266" i="53"/>
  <c r="W269" i="53"/>
  <c r="U294" i="53"/>
  <c r="U295" i="53" s="1"/>
  <c r="W267" i="53"/>
  <c r="W301" i="53" s="1"/>
  <c r="W309" i="53" s="1"/>
  <c r="X269" i="53"/>
  <c r="W268" i="53"/>
  <c r="AC278" i="53"/>
  <c r="AC280" i="53"/>
  <c r="AA282" i="53"/>
  <c r="AA283" i="53" s="1"/>
  <c r="X267" i="53"/>
  <c r="X301" i="53" s="1"/>
  <c r="X309" i="53" s="1"/>
  <c r="X268" i="53"/>
  <c r="X266" i="53"/>
  <c r="V293" i="53"/>
  <c r="AC279" i="53"/>
  <c r="AC302" i="53" s="1"/>
  <c r="AC310" i="53" s="1"/>
  <c r="V290" i="53"/>
  <c r="AC281" i="53"/>
  <c r="W289" i="53"/>
  <c r="W315" i="53" s="1"/>
  <c r="W285" i="54"/>
  <c r="HY28" i="54"/>
  <c r="V303" i="53"/>
  <c r="V311" i="53" s="1"/>
  <c r="V307" i="54"/>
  <c r="Y265" i="53"/>
  <c r="Y266" i="53" s="1"/>
  <c r="Y261" i="54"/>
  <c r="HQ30" i="54"/>
  <c r="AB277" i="53"/>
  <c r="AB314" i="53" s="1"/>
  <c r="AB273" i="54"/>
  <c r="HU33" i="54"/>
  <c r="U253" i="53"/>
  <c r="U256" i="53" s="1"/>
  <c r="U249" i="54"/>
  <c r="HM26" i="54"/>
  <c r="W252" i="53"/>
  <c r="HO28" i="53"/>
  <c r="HP28" i="53"/>
  <c r="X250" i="53" a="1"/>
  <c r="X250" i="53" s="1"/>
  <c r="HX35" i="53"/>
  <c r="IG35" i="53"/>
  <c r="AD276" i="53"/>
  <c r="AE274" i="53" a="1"/>
  <c r="AE274" i="53" s="1"/>
  <c r="AE275" i="53" s="1"/>
  <c r="HV36" i="53" s="1"/>
  <c r="HW36" i="53" s="1"/>
  <c r="Y287" i="53"/>
  <c r="HZ30" i="53" s="1"/>
  <c r="Z286" i="53" a="1"/>
  <c r="Z286" i="53" s="1"/>
  <c r="X288" i="53"/>
  <c r="IH29" i="53"/>
  <c r="IB29" i="53"/>
  <c r="IA29" i="53"/>
  <c r="AA263" i="53"/>
  <c r="AB262" i="53" a="1"/>
  <c r="AB262" i="53" s="1"/>
  <c r="Z264" i="53"/>
  <c r="HT31" i="53"/>
  <c r="IF31" i="53" l="1"/>
  <c r="HR32" i="53"/>
  <c r="IF32" i="53" s="1"/>
  <c r="V294" i="53"/>
  <c r="V295" i="53" s="1"/>
  <c r="V304" i="54"/>
  <c r="V258" i="53"/>
  <c r="V259" i="53" s="1"/>
  <c r="U312" i="53"/>
  <c r="X305" i="54"/>
  <c r="X270" i="53"/>
  <c r="X271" i="53" s="1"/>
  <c r="W270" i="53"/>
  <c r="W271" i="53" s="1"/>
  <c r="AC282" i="53"/>
  <c r="AC283" i="53" s="1"/>
  <c r="AC306" i="54"/>
  <c r="Y313" i="53"/>
  <c r="U255" i="53"/>
  <c r="U304" i="54" s="1"/>
  <c r="U299" i="53"/>
  <c r="Y269" i="53"/>
  <c r="W305" i="54"/>
  <c r="Y267" i="53"/>
  <c r="Y305" i="54" s="1"/>
  <c r="W290" i="53"/>
  <c r="Y268" i="53"/>
  <c r="U257" i="53"/>
  <c r="U258" i="53" s="1"/>
  <c r="U259" i="53" s="1"/>
  <c r="U254" i="53"/>
  <c r="AB278" i="53"/>
  <c r="W293" i="53"/>
  <c r="AB280" i="53"/>
  <c r="AB279" i="53"/>
  <c r="W291" i="53"/>
  <c r="W292" i="53"/>
  <c r="AB281" i="53"/>
  <c r="W253" i="53"/>
  <c r="W249" i="54"/>
  <c r="HM28" i="54"/>
  <c r="Z265" i="53"/>
  <c r="Z266" i="53" s="1"/>
  <c r="Z261" i="54"/>
  <c r="HQ31" i="54"/>
  <c r="X289" i="53"/>
  <c r="X291" i="53" s="1"/>
  <c r="X285" i="54"/>
  <c r="HY29" i="54"/>
  <c r="AD277" i="53"/>
  <c r="AD278" i="53" s="1"/>
  <c r="AD273" i="54"/>
  <c r="HU35" i="54"/>
  <c r="Y250" i="53" a="1"/>
  <c r="Y250" i="53" s="1"/>
  <c r="Y251" i="53" s="1"/>
  <c r="HN30" i="53" s="1"/>
  <c r="IE30" i="53" s="1"/>
  <c r="X251" i="53"/>
  <c r="HN29" i="53" s="1"/>
  <c r="HX36" i="53"/>
  <c r="IG36" i="53"/>
  <c r="AE276" i="53"/>
  <c r="AF274" i="53" a="1"/>
  <c r="AF274" i="53" s="1"/>
  <c r="AF275" i="53" s="1"/>
  <c r="HV37" i="53" s="1"/>
  <c r="AF276" i="53" s="1"/>
  <c r="AB263" i="53"/>
  <c r="AC262" i="53" a="1"/>
  <c r="AC262" i="53" s="1"/>
  <c r="Z287" i="53"/>
  <c r="HZ31" i="53" s="1"/>
  <c r="AA286" i="53" a="1"/>
  <c r="AA286" i="53" s="1"/>
  <c r="Y288" i="53"/>
  <c r="IH30" i="53"/>
  <c r="IA30" i="53"/>
  <c r="IB30" i="53"/>
  <c r="Y301" i="53" l="1"/>
  <c r="Y309" i="53" s="1"/>
  <c r="HS32" i="53"/>
  <c r="HR33" i="53"/>
  <c r="HT33" i="53" s="1"/>
  <c r="HT32" i="53"/>
  <c r="AA264" i="53"/>
  <c r="AA265" i="53" s="1"/>
  <c r="AA268" i="53" s="1"/>
  <c r="U300" i="53"/>
  <c r="U308" i="53" s="1"/>
  <c r="Y270" i="53"/>
  <c r="Y271" i="53" s="1"/>
  <c r="X290" i="53"/>
  <c r="W294" i="53"/>
  <c r="W295" i="53" s="1"/>
  <c r="AB282" i="53"/>
  <c r="AB283" i="53" s="1"/>
  <c r="Z268" i="53"/>
  <c r="Z313" i="53"/>
  <c r="AD279" i="53"/>
  <c r="AD302" i="53" s="1"/>
  <c r="AD310" i="53" s="1"/>
  <c r="AD280" i="53"/>
  <c r="X315" i="53"/>
  <c r="X292" i="53"/>
  <c r="Z269" i="53"/>
  <c r="AD314" i="53"/>
  <c r="AD281" i="53"/>
  <c r="X303" i="53"/>
  <c r="X311" i="53" s="1"/>
  <c r="X307" i="54"/>
  <c r="Y289" i="53"/>
  <c r="Y291" i="53" s="1"/>
  <c r="Y285" i="54"/>
  <c r="HY30" i="54"/>
  <c r="X293" i="53"/>
  <c r="AE277" i="53"/>
  <c r="AE314" i="53" s="1"/>
  <c r="AE273" i="54"/>
  <c r="HU36" i="54"/>
  <c r="W299" i="53"/>
  <c r="W256" i="53"/>
  <c r="W257" i="53"/>
  <c r="W312" i="53"/>
  <c r="W254" i="53"/>
  <c r="W255" i="53"/>
  <c r="Z267" i="53"/>
  <c r="W303" i="53"/>
  <c r="W311" i="53" s="1"/>
  <c r="W307" i="54"/>
  <c r="AB302" i="53"/>
  <c r="AB310" i="53" s="1"/>
  <c r="AB306" i="54"/>
  <c r="AF277" i="53"/>
  <c r="AF314" i="53" s="1"/>
  <c r="AF273" i="54"/>
  <c r="HU37" i="54"/>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263" i="53"/>
  <c r="AD262" i="53" a="1"/>
  <c r="AD262" i="53" s="1"/>
  <c r="AA287" i="53"/>
  <c r="HZ32" i="53" s="1"/>
  <c r="AB286" i="53" a="1"/>
  <c r="AB286" i="53" s="1"/>
  <c r="Z288" i="53"/>
  <c r="IB31" i="53"/>
  <c r="IA31" i="53"/>
  <c r="IH31" i="53"/>
  <c r="AB264" i="53" l="1"/>
  <c r="AB265" i="53" s="1"/>
  <c r="AB313" i="53" s="1"/>
  <c r="IF33" i="53"/>
  <c r="Y292" i="53"/>
  <c r="HS33" i="53"/>
  <c r="HR34" i="53"/>
  <c r="AC264" i="53" s="1"/>
  <c r="HQ32" i="54"/>
  <c r="AA261" i="54"/>
  <c r="AF280" i="53"/>
  <c r="Z270" i="53"/>
  <c r="Z271" i="53" s="1"/>
  <c r="AF278" i="53"/>
  <c r="AD306" i="54"/>
  <c r="AF281" i="53"/>
  <c r="AA269" i="53"/>
  <c r="AA270" i="53" s="1"/>
  <c r="AA271" i="53" s="1"/>
  <c r="Y293" i="53"/>
  <c r="AE280" i="53"/>
  <c r="AE281" i="53"/>
  <c r="AA267" i="53"/>
  <c r="AA301" i="53" s="1"/>
  <c r="AA309" i="53" s="1"/>
  <c r="X294" i="53"/>
  <c r="X295" i="53" s="1"/>
  <c r="AD282" i="53"/>
  <c r="AD283" i="53" s="1"/>
  <c r="AA266" i="53"/>
  <c r="AF279" i="53"/>
  <c r="AF302" i="53" s="1"/>
  <c r="AF310" i="53" s="1"/>
  <c r="AA313" i="53"/>
  <c r="Y315" i="53"/>
  <c r="W258" i="53"/>
  <c r="W259" i="53" s="1"/>
  <c r="Y303" i="53"/>
  <c r="Y311" i="53" s="1"/>
  <c r="Y307" i="54"/>
  <c r="X253" i="53"/>
  <c r="X257" i="53" s="1"/>
  <c r="X249" i="54"/>
  <c r="HM29" i="54"/>
  <c r="Y290" i="53"/>
  <c r="AE278" i="53"/>
  <c r="Z301" i="53"/>
  <c r="Z309" i="53" s="1"/>
  <c r="Z305" i="54"/>
  <c r="W300" i="53"/>
  <c r="W308" i="53" s="1"/>
  <c r="W304" i="54"/>
  <c r="Z289" i="53"/>
  <c r="Z315" i="53" s="1"/>
  <c r="Z285" i="54"/>
  <c r="HY31" i="54"/>
  <c r="AE279" i="53"/>
  <c r="AG277" i="53"/>
  <c r="AG314" i="53" s="1"/>
  <c r="AG273" i="54"/>
  <c r="HU38" i="54"/>
  <c r="Y253" i="53"/>
  <c r="Y249" i="54"/>
  <c r="HM30" i="54"/>
  <c r="HP31" i="53"/>
  <c r="Z252" i="53"/>
  <c r="AA250" i="53" a="1"/>
  <c r="AA250" i="53" s="1"/>
  <c r="AA251" i="53" s="1"/>
  <c r="HN32" i="53" s="1"/>
  <c r="HO32" i="53" s="1"/>
  <c r="IE31" i="53"/>
  <c r="HW38" i="53"/>
  <c r="IG38" i="53"/>
  <c r="HX38" i="53"/>
  <c r="AH274" i="53" a="1"/>
  <c r="AH274" i="53" s="1"/>
  <c r="AH275" i="53" s="1"/>
  <c r="HV39" i="53" s="1"/>
  <c r="AH276" i="53" s="1"/>
  <c r="AB287" i="53"/>
  <c r="HZ33" i="53" s="1"/>
  <c r="AC286" i="53" a="1"/>
  <c r="AC286" i="53" s="1"/>
  <c r="AD263" i="53"/>
  <c r="AE262" i="53" a="1"/>
  <c r="AE262" i="53" s="1"/>
  <c r="AA288" i="53"/>
  <c r="IB32" i="53"/>
  <c r="IA32" i="53"/>
  <c r="IH32" i="53"/>
  <c r="HQ33" i="54" l="1"/>
  <c r="AB261" i="54"/>
  <c r="Y294" i="53"/>
  <c r="Y295" i="53" s="1"/>
  <c r="HS34" i="53"/>
  <c r="HR35" i="53"/>
  <c r="HS35" i="53" s="1"/>
  <c r="HT34" i="53"/>
  <c r="IF34" i="53"/>
  <c r="AF282" i="53"/>
  <c r="AF283" i="53" s="1"/>
  <c r="AG278" i="53"/>
  <c r="X255" i="53"/>
  <c r="X300" i="53" s="1"/>
  <c r="X308" i="53" s="1"/>
  <c r="AG280" i="53"/>
  <c r="AG281" i="53"/>
  <c r="AG279" i="53"/>
  <c r="AG302" i="53" s="1"/>
  <c r="AG310" i="53" s="1"/>
  <c r="AE282" i="53"/>
  <c r="AE283" i="53" s="1"/>
  <c r="AF306" i="54"/>
  <c r="X256" i="53"/>
  <c r="X258" i="53" s="1"/>
  <c r="X259" i="53" s="1"/>
  <c r="AA305" i="54"/>
  <c r="AB266" i="53"/>
  <c r="X299" i="53"/>
  <c r="X254" i="53"/>
  <c r="X312" i="53"/>
  <c r="Z291" i="53"/>
  <c r="Z307" i="54" s="1"/>
  <c r="Y256" i="53"/>
  <c r="Y257" i="53"/>
  <c r="Y254" i="53"/>
  <c r="Y312" i="53"/>
  <c r="Y299" i="53"/>
  <c r="Y255" i="53"/>
  <c r="Z292" i="53"/>
  <c r="AB269" i="53"/>
  <c r="Z253" i="53"/>
  <c r="Z254" i="53" s="1"/>
  <c r="Z249" i="54"/>
  <c r="HM31" i="54"/>
  <c r="Z293" i="53"/>
  <c r="AB267" i="53"/>
  <c r="AA289" i="53"/>
  <c r="AA293" i="53" s="1"/>
  <c r="AA285" i="54"/>
  <c r="HY32" i="54"/>
  <c r="Z290" i="53"/>
  <c r="AB268" i="53"/>
  <c r="AE302" i="53"/>
  <c r="AE310" i="53" s="1"/>
  <c r="AE306" i="54"/>
  <c r="AH277" i="53"/>
  <c r="AH280" i="53" s="1"/>
  <c r="AH273" i="54"/>
  <c r="HU39" i="54"/>
  <c r="AC265" i="53"/>
  <c r="AC266" i="53" s="1"/>
  <c r="AC261" i="54"/>
  <c r="HQ34" i="54"/>
  <c r="HP32" i="53"/>
  <c r="IE32" i="53"/>
  <c r="AA252" i="53"/>
  <c r="AB250" i="53" a="1"/>
  <c r="AB250" i="53" s="1"/>
  <c r="AB251" i="53" s="1"/>
  <c r="HN33" i="53" s="1"/>
  <c r="HP33" i="53" s="1"/>
  <c r="HW39" i="53"/>
  <c r="IG39" i="53"/>
  <c r="AI274" i="53" a="1"/>
  <c r="AI274" i="53" s="1"/>
  <c r="AI275" i="53" s="1"/>
  <c r="HV40" i="53" s="1"/>
  <c r="AI276" i="53" s="1"/>
  <c r="HX39" i="53"/>
  <c r="AC287" i="53"/>
  <c r="HZ34" i="53" s="1"/>
  <c r="AD286" i="53" a="1"/>
  <c r="AD286" i="53" s="1"/>
  <c r="AB288" i="53"/>
  <c r="IH33" i="53"/>
  <c r="IB33" i="53"/>
  <c r="IA33" i="53"/>
  <c r="AE263" i="53"/>
  <c r="AF262" i="53" a="1"/>
  <c r="AF262" i="53" s="1"/>
  <c r="HT35" i="53" l="1"/>
  <c r="AD264" i="53"/>
  <c r="AD261" i="54" s="1"/>
  <c r="HR36" i="53"/>
  <c r="HS36" i="53" s="1"/>
  <c r="IF35" i="53"/>
  <c r="AA290" i="53"/>
  <c r="X304" i="54"/>
  <c r="AH314" i="53"/>
  <c r="AC268" i="53"/>
  <c r="AH281" i="53"/>
  <c r="AH282" i="53" s="1"/>
  <c r="AH283" i="53" s="1"/>
  <c r="AG306" i="54"/>
  <c r="AA315" i="53"/>
  <c r="AG282" i="53"/>
  <c r="AG283" i="53" s="1"/>
  <c r="AH279" i="53"/>
  <c r="AH302" i="53" s="1"/>
  <c r="AH310" i="53" s="1"/>
  <c r="Z299" i="53"/>
  <c r="AH278" i="53"/>
  <c r="Z303" i="53"/>
  <c r="Z311" i="53" s="1"/>
  <c r="AA291" i="53"/>
  <c r="AA307" i="54" s="1"/>
  <c r="Z294" i="53"/>
  <c r="Z295" i="53" s="1"/>
  <c r="AB270" i="53"/>
  <c r="AB271" i="53" s="1"/>
  <c r="AC267" i="53"/>
  <c r="AC301" i="53" s="1"/>
  <c r="AC309" i="53" s="1"/>
  <c r="AC269" i="53"/>
  <c r="AC313" i="53"/>
  <c r="Y300" i="53"/>
  <c r="Y308" i="53" s="1"/>
  <c r="Y304" i="54"/>
  <c r="AA253" i="53"/>
  <c r="AA254" i="53" s="1"/>
  <c r="AA249" i="54"/>
  <c r="HM32" i="54"/>
  <c r="AI277" i="53"/>
  <c r="AI279" i="53" s="1"/>
  <c r="AI273" i="54"/>
  <c r="HU40" i="54"/>
  <c r="AA292" i="53"/>
  <c r="AA294" i="53" s="1"/>
  <c r="AA295" i="53" s="1"/>
  <c r="AB301" i="53"/>
  <c r="AB309" i="53" s="1"/>
  <c r="AB305" i="54"/>
  <c r="Z257" i="53"/>
  <c r="Z255" i="53"/>
  <c r="Z312" i="53"/>
  <c r="Z256" i="53"/>
  <c r="Y258" i="53"/>
  <c r="Y259" i="53" s="1"/>
  <c r="AB289" i="53"/>
  <c r="AB293" i="53" s="1"/>
  <c r="AB285" i="54"/>
  <c r="HY33" i="54"/>
  <c r="AB252" i="53"/>
  <c r="HW40" i="53"/>
  <c r="HX40" i="53"/>
  <c r="AC250" i="53" a="1"/>
  <c r="AC250" i="53" s="1"/>
  <c r="AC251" i="53" s="1"/>
  <c r="HN34" i="53" s="1"/>
  <c r="HO34" i="53" s="1"/>
  <c r="IG40" i="53"/>
  <c r="IE33" i="53"/>
  <c r="HO33" i="53"/>
  <c r="AJ274" i="53" a="1"/>
  <c r="AJ274" i="53" s="1"/>
  <c r="AJ275" i="53" s="1"/>
  <c r="HV41" i="53" s="1"/>
  <c r="HW41" i="53" s="1"/>
  <c r="AC288" i="53"/>
  <c r="IH34" i="53"/>
  <c r="IB34" i="53"/>
  <c r="IA34" i="53"/>
  <c r="AF263" i="53"/>
  <c r="AG262" i="53" a="1"/>
  <c r="AG262" i="53" s="1"/>
  <c r="AD287" i="53"/>
  <c r="HZ35" i="53" s="1"/>
  <c r="AE286" i="53" a="1"/>
  <c r="AE286" i="53" s="1"/>
  <c r="IF36" i="53" l="1"/>
  <c r="AE264" i="53"/>
  <c r="AE261" i="54" s="1"/>
  <c r="AD265" i="53"/>
  <c r="AD313" i="53" s="1"/>
  <c r="HT36" i="53"/>
  <c r="HR37" i="53"/>
  <c r="HS37" i="53" s="1"/>
  <c r="HQ35" i="54"/>
  <c r="AI278" i="53"/>
  <c r="AA303" i="53"/>
  <c r="AA311" i="53" s="1"/>
  <c r="AB291" i="53"/>
  <c r="AB307" i="54" s="1"/>
  <c r="AC270" i="53"/>
  <c r="AC271" i="53" s="1"/>
  <c r="AB315" i="53"/>
  <c r="AB292" i="53"/>
  <c r="AB294" i="53" s="1"/>
  <c r="AB295" i="53" s="1"/>
  <c r="AI281" i="53"/>
  <c r="AI314" i="53"/>
  <c r="AH306" i="54"/>
  <c r="AA255" i="53"/>
  <c r="AA300" i="53" s="1"/>
  <c r="AA308" i="53" s="1"/>
  <c r="AB290" i="53"/>
  <c r="AI280" i="53"/>
  <c r="AC305" i="54"/>
  <c r="Z258" i="53"/>
  <c r="Z259" i="53" s="1"/>
  <c r="AB253" i="53"/>
  <c r="AB249" i="54"/>
  <c r="HM33" i="54"/>
  <c r="Z300" i="53"/>
  <c r="Z308" i="53" s="1"/>
  <c r="Z304" i="54"/>
  <c r="AA312" i="53"/>
  <c r="AA256" i="53"/>
  <c r="AA257" i="53"/>
  <c r="AA299" i="53"/>
  <c r="AI302" i="53"/>
  <c r="AI310" i="53" s="1"/>
  <c r="AI306" i="54"/>
  <c r="HQ36" i="54"/>
  <c r="AC289" i="53"/>
  <c r="AC315" i="53" s="1"/>
  <c r="AC285" i="54"/>
  <c r="HY34" i="54"/>
  <c r="IE34" i="53"/>
  <c r="HP34" i="53"/>
  <c r="AC252" i="53"/>
  <c r="AD250" i="53" a="1"/>
  <c r="AD250" i="53" s="1"/>
  <c r="AD251" i="53" s="1"/>
  <c r="HN35" i="53" s="1"/>
  <c r="IE35" i="53" s="1"/>
  <c r="AK274" i="53" a="1"/>
  <c r="AK274" i="53" s="1"/>
  <c r="AK275" i="53" s="1"/>
  <c r="HV42" i="53" s="1"/>
  <c r="AK276" i="53" s="1"/>
  <c r="IG41" i="53"/>
  <c r="HX41" i="53"/>
  <c r="AJ276" i="53"/>
  <c r="AG263" i="53"/>
  <c r="AH262" i="53" a="1"/>
  <c r="AH262" i="53" s="1"/>
  <c r="AE287" i="53"/>
  <c r="HZ36" i="53" s="1"/>
  <c r="AF286" i="53" a="1"/>
  <c r="AF286" i="53" s="1"/>
  <c r="AD288" i="53"/>
  <c r="IB35" i="53"/>
  <c r="IA35" i="53"/>
  <c r="IH35" i="53"/>
  <c r="AF264" i="53" l="1"/>
  <c r="AE265" i="53"/>
  <c r="AE269" i="53" s="1"/>
  <c r="AD266" i="53"/>
  <c r="AD269" i="53"/>
  <c r="AB303" i="53"/>
  <c r="AB311" i="53" s="1"/>
  <c r="AD267" i="53"/>
  <c r="AD301" i="53" s="1"/>
  <c r="AD309" i="53" s="1"/>
  <c r="AD268" i="53"/>
  <c r="HT37" i="53"/>
  <c r="HR38" i="53"/>
  <c r="IF38" i="53" s="1"/>
  <c r="IF37" i="53"/>
  <c r="AI282" i="53"/>
  <c r="AI283" i="53" s="1"/>
  <c r="AC293" i="53"/>
  <c r="AA304" i="54"/>
  <c r="AC290" i="53"/>
  <c r="AC291" i="53"/>
  <c r="AC303" i="53" s="1"/>
  <c r="AC311" i="53" s="1"/>
  <c r="AC292" i="53"/>
  <c r="AC253" i="53"/>
  <c r="AC256" i="53" s="1"/>
  <c r="AC249" i="54"/>
  <c r="HM34" i="54"/>
  <c r="AD289" i="53"/>
  <c r="AD315" i="53" s="1"/>
  <c r="AD285" i="54"/>
  <c r="HY35" i="54"/>
  <c r="AF265" i="53"/>
  <c r="AF313" i="53" s="1"/>
  <c r="AF261" i="54"/>
  <c r="HQ37" i="54"/>
  <c r="AJ277" i="53"/>
  <c r="AJ273" i="54"/>
  <c r="HU41" i="54"/>
  <c r="AK277" i="53"/>
  <c r="AK281" i="53" s="1"/>
  <c r="AK273" i="54"/>
  <c r="HU42" i="54"/>
  <c r="AA258" i="53"/>
  <c r="AA259" i="53" s="1"/>
  <c r="AB312" i="53"/>
  <c r="AB299" i="53"/>
  <c r="AB255" i="53"/>
  <c r="AB257" i="53"/>
  <c r="AB256" i="53"/>
  <c r="AB254" i="53"/>
  <c r="HO35" i="53"/>
  <c r="HP35" i="53"/>
  <c r="AD252" i="53"/>
  <c r="AE250" i="53" a="1"/>
  <c r="AE250" i="53" s="1"/>
  <c r="AE251" i="53" s="1"/>
  <c r="HN36" i="53" s="1"/>
  <c r="AE252" i="53" s="1"/>
  <c r="HW42" i="53"/>
  <c r="IG42" i="53"/>
  <c r="HX42" i="53"/>
  <c r="AL274" i="53" a="1"/>
  <c r="AL274" i="53" s="1"/>
  <c r="AL275" i="53" s="1"/>
  <c r="HV43" i="53" s="1"/>
  <c r="AL276" i="53" s="1"/>
  <c r="AE288" i="53"/>
  <c r="IB36" i="53"/>
  <c r="IA36" i="53"/>
  <c r="IH36" i="53"/>
  <c r="AH263" i="53"/>
  <c r="AI262" i="53" a="1"/>
  <c r="AI262" i="53" s="1"/>
  <c r="AF287" i="53"/>
  <c r="HZ37" i="53" s="1"/>
  <c r="AG286" i="53" a="1"/>
  <c r="AG286" i="53" s="1"/>
  <c r="AE266" i="53" l="1"/>
  <c r="AE268" i="53"/>
  <c r="AE270" i="53" s="1"/>
  <c r="AE271" i="53" s="1"/>
  <c r="AD270" i="53"/>
  <c r="AD271" i="53" s="1"/>
  <c r="AE267" i="53"/>
  <c r="AE301" i="53" s="1"/>
  <c r="AE309" i="53" s="1"/>
  <c r="AE313" i="53"/>
  <c r="AG264" i="53"/>
  <c r="AG265" i="53" s="1"/>
  <c r="AG266" i="53" s="1"/>
  <c r="AD305" i="54"/>
  <c r="HR39" i="53"/>
  <c r="IF39" i="53" s="1"/>
  <c r="HS38" i="53"/>
  <c r="HT38" i="53"/>
  <c r="AD290" i="53"/>
  <c r="AD292" i="53"/>
  <c r="AD293" i="53"/>
  <c r="AD291" i="53"/>
  <c r="AD307" i="54" s="1"/>
  <c r="AC294" i="53"/>
  <c r="AC295" i="53" s="1"/>
  <c r="AB258" i="53"/>
  <c r="AB259" i="53" s="1"/>
  <c r="AC307" i="54"/>
  <c r="AF269" i="53"/>
  <c r="AF266" i="53"/>
  <c r="AF268" i="53"/>
  <c r="AF267" i="53"/>
  <c r="AF305" i="54" s="1"/>
  <c r="AK280" i="53"/>
  <c r="AK282" i="53" s="1"/>
  <c r="AK283" i="53" s="1"/>
  <c r="AK278" i="53"/>
  <c r="AK279" i="53"/>
  <c r="AK302" i="53" s="1"/>
  <c r="AK310" i="53" s="1"/>
  <c r="AK314" i="53"/>
  <c r="AE253" i="53"/>
  <c r="AE257" i="53" s="1"/>
  <c r="AE249" i="54"/>
  <c r="HM36" i="54"/>
  <c r="AB300" i="53"/>
  <c r="AB308" i="53" s="1"/>
  <c r="AB304" i="54"/>
  <c r="AJ281" i="53"/>
  <c r="AJ279" i="53"/>
  <c r="AJ278" i="53"/>
  <c r="AJ314" i="53"/>
  <c r="AJ280" i="53"/>
  <c r="AE289" i="53"/>
  <c r="AE290" i="53" s="1"/>
  <c r="AE285" i="54"/>
  <c r="HY36" i="54"/>
  <c r="AD253" i="53"/>
  <c r="AD255" i="53" s="1"/>
  <c r="AD249" i="54"/>
  <c r="HM35" i="54"/>
  <c r="AL277" i="53"/>
  <c r="AL280" i="53" s="1"/>
  <c r="AL273" i="54"/>
  <c r="HU43" i="54"/>
  <c r="AC312" i="53"/>
  <c r="AC257" i="53"/>
  <c r="AC258" i="53" s="1"/>
  <c r="AC259" i="53" s="1"/>
  <c r="AC299" i="53"/>
  <c r="AC255" i="53"/>
  <c r="AC254" i="53"/>
  <c r="HO36" i="53"/>
  <c r="HP36" i="53"/>
  <c r="IE36" i="53"/>
  <c r="AF250" i="53" a="1"/>
  <c r="AF250" i="53" s="1"/>
  <c r="AF251" i="53" s="1"/>
  <c r="HN37" i="53" s="1"/>
  <c r="AF252" i="53" s="1"/>
  <c r="AM274" i="53" a="1"/>
  <c r="AM274" i="53" s="1"/>
  <c r="AM275" i="53" s="1"/>
  <c r="HV44" i="53" s="1"/>
  <c r="IG44" i="53" s="1"/>
  <c r="HW43" i="53"/>
  <c r="IG43" i="53"/>
  <c r="HX43" i="53"/>
  <c r="AG287" i="53"/>
  <c r="HZ38" i="53" s="1"/>
  <c r="AH286" i="53" a="1"/>
  <c r="AH286" i="53" s="1"/>
  <c r="AF288" i="53"/>
  <c r="IH37" i="53"/>
  <c r="IB37" i="53"/>
  <c r="IA37" i="53"/>
  <c r="AI263" i="53"/>
  <c r="AJ262" i="53" a="1"/>
  <c r="AJ262" i="53" s="1"/>
  <c r="AE305" i="54" l="1"/>
  <c r="AD303" i="53"/>
  <c r="AD311" i="53" s="1"/>
  <c r="HQ38" i="54"/>
  <c r="AG261" i="54"/>
  <c r="HS39" i="53"/>
  <c r="HT39" i="53"/>
  <c r="HR40" i="53"/>
  <c r="HT40" i="53" s="1"/>
  <c r="AH264" i="53"/>
  <c r="AH265" i="53" s="1"/>
  <c r="AH313" i="53" s="1"/>
  <c r="AE293" i="53"/>
  <c r="AD294" i="53"/>
  <c r="AD295" i="53" s="1"/>
  <c r="AF301" i="53"/>
  <c r="AF309" i="53" s="1"/>
  <c r="AE299" i="53"/>
  <c r="AL281" i="53"/>
  <c r="AL282" i="53" s="1"/>
  <c r="AL283" i="53" s="1"/>
  <c r="AE254" i="53"/>
  <c r="AE312" i="53"/>
  <c r="AG268" i="53"/>
  <c r="AF270" i="53"/>
  <c r="AF271" i="53" s="1"/>
  <c r="AL279" i="53"/>
  <c r="AL302" i="53" s="1"/>
  <c r="AL310" i="53" s="1"/>
  <c r="AG269" i="53"/>
  <c r="AL314" i="53"/>
  <c r="AG267" i="53"/>
  <c r="AG305" i="54" s="1"/>
  <c r="AJ282" i="53"/>
  <c r="AJ283" i="53" s="1"/>
  <c r="AK306" i="54"/>
  <c r="AE292" i="53"/>
  <c r="AE315" i="53"/>
  <c r="AE291" i="53"/>
  <c r="AE303" i="53" s="1"/>
  <c r="AE311" i="53" s="1"/>
  <c r="AJ302" i="53"/>
  <c r="AJ310" i="53" s="1"/>
  <c r="AJ306" i="54"/>
  <c r="AF253" i="53"/>
  <c r="AF257" i="53" s="1"/>
  <c r="AF249" i="54"/>
  <c r="HM37" i="54"/>
  <c r="AD256" i="53"/>
  <c r="AD312" i="53"/>
  <c r="AD299" i="53"/>
  <c r="AD257" i="53"/>
  <c r="AD254" i="53"/>
  <c r="AL278" i="53"/>
  <c r="AF289" i="53"/>
  <c r="AF293" i="53" s="1"/>
  <c r="AF285" i="54"/>
  <c r="HY37" i="54"/>
  <c r="AE256" i="53"/>
  <c r="AE258" i="53" s="1"/>
  <c r="AE259" i="53" s="1"/>
  <c r="AG313" i="53"/>
  <c r="AE255" i="53"/>
  <c r="AD300" i="53"/>
  <c r="AD308" i="53" s="1"/>
  <c r="AD304" i="54"/>
  <c r="AC300" i="53"/>
  <c r="AC308" i="53" s="1"/>
  <c r="AC304" i="54"/>
  <c r="AG250" i="53" a="1"/>
  <c r="AG250" i="53" s="1"/>
  <c r="AG251" i="53" s="1"/>
  <c r="HN38" i="53" s="1"/>
  <c r="AG252" i="53" s="1"/>
  <c r="IE37" i="53"/>
  <c r="HO37" i="53"/>
  <c r="HP37" i="53"/>
  <c r="AM276" i="53"/>
  <c r="AN274" i="53" a="1"/>
  <c r="AN274" i="53" s="1"/>
  <c r="HX44" i="53"/>
  <c r="HW44" i="53"/>
  <c r="AH287" i="53"/>
  <c r="HZ39" i="53" s="1"/>
  <c r="AI286" i="53" a="1"/>
  <c r="AI286" i="53" s="1"/>
  <c r="AJ263" i="53"/>
  <c r="AK262" i="53" a="1"/>
  <c r="AK262" i="53" s="1"/>
  <c r="AG288" i="53"/>
  <c r="IH38" i="53"/>
  <c r="IA38" i="53"/>
  <c r="IB38" i="53"/>
  <c r="HQ39" i="54" l="1"/>
  <c r="AI264" i="53"/>
  <c r="AI261" i="54" s="1"/>
  <c r="IF40" i="53"/>
  <c r="HR41" i="53"/>
  <c r="AJ264" i="53" s="1"/>
  <c r="HS40" i="53"/>
  <c r="AH261" i="54"/>
  <c r="AE294" i="53"/>
  <c r="AE295" i="53" s="1"/>
  <c r="AF312" i="53"/>
  <c r="AF299" i="53"/>
  <c r="AF255" i="53"/>
  <c r="AF300" i="53" s="1"/>
  <c r="AF308" i="53" s="1"/>
  <c r="AG301" i="53"/>
  <c r="AG309" i="53" s="1"/>
  <c r="AF315" i="53"/>
  <c r="AG270" i="53"/>
  <c r="AG271" i="53" s="1"/>
  <c r="AL306" i="54"/>
  <c r="AE307" i="54"/>
  <c r="AD258" i="53"/>
  <c r="AD259" i="53" s="1"/>
  <c r="AF291" i="53"/>
  <c r="AF303" i="53" s="1"/>
  <c r="AF311" i="53" s="1"/>
  <c r="AF290" i="53"/>
  <c r="AH267" i="53"/>
  <c r="AI265" i="53"/>
  <c r="AI313" i="53" s="1"/>
  <c r="AH266" i="53"/>
  <c r="AF254" i="53"/>
  <c r="AG289" i="53"/>
  <c r="AG291" i="53" s="1"/>
  <c r="AG285" i="54"/>
  <c r="HY38" i="54"/>
  <c r="AF292" i="53"/>
  <c r="AF294" i="53" s="1"/>
  <c r="AF295" i="53" s="1"/>
  <c r="AH269" i="53"/>
  <c r="AF256" i="53"/>
  <c r="AF258" i="53" s="1"/>
  <c r="AF259" i="53" s="1"/>
  <c r="AM277" i="53"/>
  <c r="AM273" i="54"/>
  <c r="HU44" i="54"/>
  <c r="AH268" i="53"/>
  <c r="AE300" i="53"/>
  <c r="AE308" i="53" s="1"/>
  <c r="AE304" i="54"/>
  <c r="AG253" i="53"/>
  <c r="AG299" i="53" s="1"/>
  <c r="AG249" i="54"/>
  <c r="HM38" i="54"/>
  <c r="HP38" i="53"/>
  <c r="HO38" i="53"/>
  <c r="IE38" i="53"/>
  <c r="AH250" i="53" a="1"/>
  <c r="AH250" i="53" s="1"/>
  <c r="AH251" i="53" s="1"/>
  <c r="HN39" i="53" s="1"/>
  <c r="HP39" i="53" s="1"/>
  <c r="AN275" i="53"/>
  <c r="HV45" i="53" s="1"/>
  <c r="AO274" i="53" a="1"/>
  <c r="AO274" i="53" s="1"/>
  <c r="AO275" i="53" s="1"/>
  <c r="HV46" i="53" s="1"/>
  <c r="IG46" i="53" s="1"/>
  <c r="AK263" i="53"/>
  <c r="AL262" i="53" a="1"/>
  <c r="AL262" i="53" s="1"/>
  <c r="AI287" i="53"/>
  <c r="HZ40" i="53" s="1"/>
  <c r="AJ286" i="53" a="1"/>
  <c r="AJ286" i="53" s="1"/>
  <c r="AH288" i="53"/>
  <c r="IB39" i="53"/>
  <c r="IA39" i="53"/>
  <c r="IH39" i="53"/>
  <c r="HS41" i="53" l="1"/>
  <c r="HR42" i="53"/>
  <c r="HS42" i="53" s="1"/>
  <c r="HQ40" i="54"/>
  <c r="IF41" i="53"/>
  <c r="HT41" i="53"/>
  <c r="AF304" i="54"/>
  <c r="AI269" i="53"/>
  <c r="AI268" i="53"/>
  <c r="AI267" i="53"/>
  <c r="AI301" i="53" s="1"/>
  <c r="AI309" i="53" s="1"/>
  <c r="AI266" i="53"/>
  <c r="AG254" i="53"/>
  <c r="AG315" i="53"/>
  <c r="AF307" i="54"/>
  <c r="AG290" i="53"/>
  <c r="AG312" i="53"/>
  <c r="AG257" i="53"/>
  <c r="AG292" i="53"/>
  <c r="AG255" i="53"/>
  <c r="AG300" i="53" s="1"/>
  <c r="AG308" i="53" s="1"/>
  <c r="AG303" i="53"/>
  <c r="AG311" i="53" s="1"/>
  <c r="AG307" i="54"/>
  <c r="AH270" i="53"/>
  <c r="AH271" i="53" s="1"/>
  <c r="AM281" i="53"/>
  <c r="AM279" i="53"/>
  <c r="AM280" i="53"/>
  <c r="AM278" i="53"/>
  <c r="AM314" i="53"/>
  <c r="AJ265" i="53"/>
  <c r="AJ313" i="53" s="1"/>
  <c r="AJ261" i="54"/>
  <c r="HQ41" i="54"/>
  <c r="AH289" i="53"/>
  <c r="AH315" i="53" s="1"/>
  <c r="AH285" i="54"/>
  <c r="HY39" i="54"/>
  <c r="AG256" i="53"/>
  <c r="AG293" i="53"/>
  <c r="AH301" i="53"/>
  <c r="AH309" i="53" s="1"/>
  <c r="AH305" i="54"/>
  <c r="AH252" i="53"/>
  <c r="AI250" i="53" a="1"/>
  <c r="AI250" i="53" s="1"/>
  <c r="AI251" i="53" s="1"/>
  <c r="HN40" i="53" s="1"/>
  <c r="AI252" i="53" s="1"/>
  <c r="AO276" i="53"/>
  <c r="IE39" i="53"/>
  <c r="HO39" i="53"/>
  <c r="HX46" i="53"/>
  <c r="IG45" i="53"/>
  <c r="HW45" i="53"/>
  <c r="HX45" i="53"/>
  <c r="AN276" i="53"/>
  <c r="HW46" i="53"/>
  <c r="AP274" i="53" a="1"/>
  <c r="AP274" i="53" s="1"/>
  <c r="AJ287" i="53"/>
  <c r="HZ41" i="53" s="1"/>
  <c r="AK286" i="53" a="1"/>
  <c r="AK286" i="53" s="1"/>
  <c r="AL263" i="53"/>
  <c r="AM262" i="53" a="1"/>
  <c r="AM262" i="53" s="1"/>
  <c r="AI288" i="53"/>
  <c r="IB40" i="53"/>
  <c r="IA40" i="53"/>
  <c r="IH40" i="53"/>
  <c r="HT42" i="53" l="1"/>
  <c r="IF42" i="53"/>
  <c r="AK264" i="53"/>
  <c r="AK265" i="53" s="1"/>
  <c r="AK269" i="53" s="1"/>
  <c r="HR43" i="53"/>
  <c r="HS43" i="53" s="1"/>
  <c r="AJ266" i="53"/>
  <c r="AJ269" i="53"/>
  <c r="AI270" i="53"/>
  <c r="AI271" i="53" s="1"/>
  <c r="AH292" i="53"/>
  <c r="AI305" i="54"/>
  <c r="AG258" i="53"/>
  <c r="AG259" i="53" s="1"/>
  <c r="AG304" i="54"/>
  <c r="AJ267" i="53"/>
  <c r="AJ301" i="53" s="1"/>
  <c r="AJ309" i="53" s="1"/>
  <c r="AJ268" i="53"/>
  <c r="AH291" i="53"/>
  <c r="AH307" i="54" s="1"/>
  <c r="AH293" i="53"/>
  <c r="AH290" i="53"/>
  <c r="AG294" i="53"/>
  <c r="AG295" i="53" s="1"/>
  <c r="AM282" i="53"/>
  <c r="AM283" i="53" s="1"/>
  <c r="AI253" i="53"/>
  <c r="AI312" i="53" s="1"/>
  <c r="AI249" i="54"/>
  <c r="HM40" i="54"/>
  <c r="AN277" i="53"/>
  <c r="AN280" i="53" s="1"/>
  <c r="AN273" i="54"/>
  <c r="HU45" i="54"/>
  <c r="AI289" i="53"/>
  <c r="AI290" i="53" s="1"/>
  <c r="AI285" i="54"/>
  <c r="HY40" i="54"/>
  <c r="AH253" i="53"/>
  <c r="AH249" i="54"/>
  <c r="HM39" i="54"/>
  <c r="AM302" i="53"/>
  <c r="AM310" i="53" s="1"/>
  <c r="AM306" i="54"/>
  <c r="AK261" i="54"/>
  <c r="HQ42" i="54"/>
  <c r="AO277" i="53"/>
  <c r="AO279" i="53" s="1"/>
  <c r="AO273" i="54"/>
  <c r="HU46" i="54"/>
  <c r="IE40" i="53"/>
  <c r="HO40" i="53"/>
  <c r="HP40" i="53"/>
  <c r="AJ250" i="53" a="1"/>
  <c r="AJ250" i="53" s="1"/>
  <c r="AJ251" i="53" s="1"/>
  <c r="HN41" i="53" s="1"/>
  <c r="HP41" i="53" s="1"/>
  <c r="AQ274" i="53" a="1"/>
  <c r="AQ274" i="53" s="1"/>
  <c r="AQ275" i="53" s="1"/>
  <c r="HV48" i="53" s="1"/>
  <c r="AQ276" i="53" s="1"/>
  <c r="AP275" i="53"/>
  <c r="HV47" i="53" s="1"/>
  <c r="AJ288" i="53"/>
  <c r="IH41" i="53"/>
  <c r="IB41" i="53"/>
  <c r="IA41" i="53"/>
  <c r="AM263" i="53"/>
  <c r="HR44" i="53" s="1"/>
  <c r="AN262" i="53" a="1"/>
  <c r="AN262" i="53" s="1"/>
  <c r="HT43" i="53"/>
  <c r="AK287" i="53"/>
  <c r="HZ42" i="53" s="1"/>
  <c r="AL286" i="53" a="1"/>
  <c r="AL286" i="53" s="1"/>
  <c r="AL264" i="53" l="1"/>
  <c r="AL265" i="53" s="1"/>
  <c r="AL267" i="53" s="1"/>
  <c r="IF43" i="53"/>
  <c r="AI315" i="53"/>
  <c r="AK266" i="53"/>
  <c r="AH303" i="53"/>
  <c r="AH311" i="53" s="1"/>
  <c r="AK313" i="53"/>
  <c r="AJ270" i="53"/>
  <c r="AJ271" i="53" s="1"/>
  <c r="AI292" i="53"/>
  <c r="AH294" i="53"/>
  <c r="AH295" i="53" s="1"/>
  <c r="AI293" i="53"/>
  <c r="AI291" i="53"/>
  <c r="AI303" i="53" s="1"/>
  <c r="AI311" i="53" s="1"/>
  <c r="AI256" i="53"/>
  <c r="AI257" i="53"/>
  <c r="AI254" i="53"/>
  <c r="AJ305" i="54"/>
  <c r="AI255" i="53"/>
  <c r="AI300" i="53" s="1"/>
  <c r="AI308" i="53" s="1"/>
  <c r="AI299" i="53"/>
  <c r="AK267" i="53"/>
  <c r="AK301" i="53" s="1"/>
  <c r="AK309" i="53" s="1"/>
  <c r="AK268" i="53"/>
  <c r="AK270" i="53" s="1"/>
  <c r="AK271" i="53" s="1"/>
  <c r="AN279" i="53"/>
  <c r="AN302" i="53" s="1"/>
  <c r="AN310" i="53" s="1"/>
  <c r="AN281" i="53"/>
  <c r="AN282" i="53" s="1"/>
  <c r="AN283" i="53" s="1"/>
  <c r="AN314" i="53"/>
  <c r="AN278" i="53"/>
  <c r="AL261" i="54"/>
  <c r="HQ43" i="54"/>
  <c r="AO281" i="53"/>
  <c r="AO314" i="53"/>
  <c r="AO280" i="53"/>
  <c r="AH299" i="53"/>
  <c r="AH256" i="53"/>
  <c r="AH255" i="53"/>
  <c r="AH254" i="53"/>
  <c r="AH257" i="53"/>
  <c r="AH312" i="53"/>
  <c r="AO278" i="53"/>
  <c r="AJ289" i="53"/>
  <c r="AJ315" i="53" s="1"/>
  <c r="AJ285" i="54"/>
  <c r="HY41" i="54"/>
  <c r="AO302" i="53"/>
  <c r="AO310" i="53" s="1"/>
  <c r="AO306" i="54"/>
  <c r="AQ277" i="53"/>
  <c r="AQ279" i="53" s="1"/>
  <c r="AQ273" i="54"/>
  <c r="HU48" i="54"/>
  <c r="AJ252" i="53"/>
  <c r="IE41" i="53"/>
  <c r="HO41" i="53"/>
  <c r="AK250" i="53" a="1"/>
  <c r="AK250" i="53" s="1"/>
  <c r="AK251" i="53" s="1"/>
  <c r="HN42" i="53" s="1"/>
  <c r="HP42" i="53" s="1"/>
  <c r="HW48" i="53"/>
  <c r="HX48" i="53"/>
  <c r="IG48" i="53"/>
  <c r="AR274" i="53" a="1"/>
  <c r="AR274" i="53" s="1"/>
  <c r="IG47" i="53"/>
  <c r="HW47" i="53"/>
  <c r="AP276" i="53"/>
  <c r="HX47" i="53"/>
  <c r="AL287" i="53"/>
  <c r="HZ43" i="53" s="1"/>
  <c r="AM286" i="53" a="1"/>
  <c r="AM286" i="53" s="1"/>
  <c r="AK288" i="53"/>
  <c r="IH42" i="53"/>
  <c r="IB42" i="53"/>
  <c r="IA42" i="53"/>
  <c r="AN263" i="53"/>
  <c r="HR45" i="53" s="1"/>
  <c r="AO262" i="53" a="1"/>
  <c r="AO262" i="53" s="1"/>
  <c r="AM264" i="53"/>
  <c r="IF44" i="53"/>
  <c r="HT44" i="53"/>
  <c r="HS44" i="53"/>
  <c r="AL313" i="53" l="1"/>
  <c r="AI294" i="53"/>
  <c r="AI295" i="53" s="1"/>
  <c r="AL268" i="53"/>
  <c r="AI258" i="53"/>
  <c r="AI259" i="53" s="1"/>
  <c r="AQ278" i="53"/>
  <c r="AQ281" i="53"/>
  <c r="AQ280" i="53"/>
  <c r="AQ314" i="53"/>
  <c r="AI307" i="54"/>
  <c r="AI304" i="54"/>
  <c r="AK305" i="54"/>
  <c r="AJ291" i="53"/>
  <c r="AJ303" i="53" s="1"/>
  <c r="AJ311" i="53" s="1"/>
  <c r="AL269" i="53"/>
  <c r="AL266" i="53"/>
  <c r="AJ292" i="53"/>
  <c r="AN306" i="54"/>
  <c r="AH258" i="53"/>
  <c r="AH259" i="53" s="1"/>
  <c r="AO282" i="53"/>
  <c r="AO283" i="53" s="1"/>
  <c r="AJ293" i="53"/>
  <c r="AJ290" i="53"/>
  <c r="AK289" i="53"/>
  <c r="AK315" i="53" s="1"/>
  <c r="AK285" i="54"/>
  <c r="HY42" i="54"/>
  <c r="AH300" i="53"/>
  <c r="AH308" i="53" s="1"/>
  <c r="AH304" i="54"/>
  <c r="AJ253" i="53"/>
  <c r="AJ249" i="54"/>
  <c r="HM41" i="54"/>
  <c r="AM265" i="53"/>
  <c r="AM313" i="53" s="1"/>
  <c r="AM261" i="54"/>
  <c r="HQ44" i="54"/>
  <c r="AQ302" i="53"/>
  <c r="AQ310" i="53" s="1"/>
  <c r="AQ306" i="54"/>
  <c r="AL301" i="53"/>
  <c r="AL309" i="53" s="1"/>
  <c r="AL305" i="54"/>
  <c r="AP277" i="53"/>
  <c r="AP278" i="53" s="1"/>
  <c r="AP273" i="54"/>
  <c r="HU47" i="54"/>
  <c r="HO42" i="53"/>
  <c r="IE42" i="53"/>
  <c r="AK252" i="53"/>
  <c r="AL250" i="53" a="1"/>
  <c r="AL250" i="53" s="1"/>
  <c r="AL251" i="53" s="1"/>
  <c r="HN43" i="53" s="1"/>
  <c r="HP43" i="53" s="1"/>
  <c r="AR275" i="53"/>
  <c r="HV49" i="53" s="1"/>
  <c r="AS274" i="53" a="1"/>
  <c r="AS274" i="53" s="1"/>
  <c r="AS275" i="53" s="1"/>
  <c r="HV50" i="53" s="1"/>
  <c r="IG50" i="53" s="1"/>
  <c r="AO263" i="53"/>
  <c r="HR46" i="53" s="1"/>
  <c r="AP262" i="53" a="1"/>
  <c r="AP262" i="53" s="1"/>
  <c r="AN264" i="53"/>
  <c r="HT45" i="53"/>
  <c r="HS45" i="53"/>
  <c r="IF45" i="53"/>
  <c r="AM287" i="53"/>
  <c r="HZ44" i="53" s="1"/>
  <c r="AN286" i="53" a="1"/>
  <c r="AN286" i="53" s="1"/>
  <c r="AL288" i="53"/>
  <c r="IB43" i="53"/>
  <c r="IA43" i="53"/>
  <c r="IH43" i="53"/>
  <c r="AL270" i="53" l="1"/>
  <c r="AL271" i="53" s="1"/>
  <c r="AQ282" i="53"/>
  <c r="AQ283" i="53" s="1"/>
  <c r="AP314" i="53"/>
  <c r="AP281" i="53"/>
  <c r="AM268" i="53"/>
  <c r="AP279" i="53"/>
  <c r="AP306" i="54" s="1"/>
  <c r="AJ307" i="54"/>
  <c r="AJ294" i="53"/>
  <c r="AJ295" i="53" s="1"/>
  <c r="AM269" i="53"/>
  <c r="AM267" i="53"/>
  <c r="AM301" i="53" s="1"/>
  <c r="AM309" i="53" s="1"/>
  <c r="AK291" i="53"/>
  <c r="AK303" i="53" s="1"/>
  <c r="AK311" i="53" s="1"/>
  <c r="AM266" i="53"/>
  <c r="AK292" i="53"/>
  <c r="AK293" i="53"/>
  <c r="AK290" i="53"/>
  <c r="AL289" i="53"/>
  <c r="AL315" i="53" s="1"/>
  <c r="AL285" i="54"/>
  <c r="HY43" i="54"/>
  <c r="AN265" i="53"/>
  <c r="AN313" i="53" s="1"/>
  <c r="AN261" i="54"/>
  <c r="HQ45" i="54"/>
  <c r="AP280" i="53"/>
  <c r="AJ299" i="53"/>
  <c r="AJ312" i="53"/>
  <c r="AJ255" i="53"/>
  <c r="AJ254" i="53"/>
  <c r="AJ257" i="53"/>
  <c r="AJ256" i="53"/>
  <c r="AK253" i="53"/>
  <c r="AK254" i="53" s="1"/>
  <c r="AK249" i="54"/>
  <c r="HM42" i="54"/>
  <c r="AL252" i="53"/>
  <c r="IE43" i="53"/>
  <c r="HO43" i="53"/>
  <c r="AM250" i="53" a="1"/>
  <c r="AM250" i="53" s="1"/>
  <c r="AM251" i="53" s="1"/>
  <c r="HN44" i="53" s="1"/>
  <c r="HO44" i="53" s="1"/>
  <c r="HW50" i="53"/>
  <c r="HX50" i="53"/>
  <c r="AS276" i="53"/>
  <c r="AR276" i="53"/>
  <c r="HX49" i="53"/>
  <c r="IG49" i="53"/>
  <c r="HW49" i="53"/>
  <c r="AT274" i="53" a="1"/>
  <c r="AT274" i="53" s="1"/>
  <c r="AT275" i="53" s="1"/>
  <c r="HV51" i="53" s="1"/>
  <c r="AT276" i="53" s="1"/>
  <c r="AN287" i="53"/>
  <c r="HZ45" i="53" s="1"/>
  <c r="AO286" i="53" a="1"/>
  <c r="AO286" i="53" s="1"/>
  <c r="AM288" i="53"/>
  <c r="IB44" i="53"/>
  <c r="IA44" i="53"/>
  <c r="IH44" i="53"/>
  <c r="AP263" i="53"/>
  <c r="HR47" i="53" s="1"/>
  <c r="AQ262" i="53" a="1"/>
  <c r="AQ262" i="53" s="1"/>
  <c r="AO264" i="53"/>
  <c r="IF46" i="53"/>
  <c r="HT46" i="53"/>
  <c r="HS46" i="53"/>
  <c r="AP302" i="53" l="1"/>
  <c r="AP310" i="53" s="1"/>
  <c r="AP282" i="53"/>
  <c r="AP283" i="53" s="1"/>
  <c r="AM270" i="53"/>
  <c r="AM271" i="53" s="1"/>
  <c r="AL293" i="53"/>
  <c r="AL291" i="53"/>
  <c r="AL303" i="53" s="1"/>
  <c r="AL311" i="53" s="1"/>
  <c r="AL292" i="53"/>
  <c r="AL290" i="53"/>
  <c r="AM305" i="54"/>
  <c r="AN266" i="53"/>
  <c r="AN267" i="53"/>
  <c r="AN301" i="53" s="1"/>
  <c r="AN309" i="53" s="1"/>
  <c r="AN269" i="53"/>
  <c r="AN268" i="53"/>
  <c r="AK294" i="53"/>
  <c r="AK295" i="53" s="1"/>
  <c r="AK307" i="54"/>
  <c r="AS277" i="53"/>
  <c r="AS280" i="53" s="1"/>
  <c r="AS273" i="54"/>
  <c r="HU50" i="54"/>
  <c r="AT277" i="53"/>
  <c r="AT279" i="53" s="1"/>
  <c r="AT273" i="54"/>
  <c r="HU51" i="54"/>
  <c r="AJ300" i="53"/>
  <c r="AJ308" i="53" s="1"/>
  <c r="AJ304" i="54"/>
  <c r="AK299" i="53"/>
  <c r="AK256" i="53"/>
  <c r="AK312" i="53"/>
  <c r="AK257" i="53"/>
  <c r="AK255" i="53"/>
  <c r="AR277" i="53"/>
  <c r="AR280" i="53" s="1"/>
  <c r="AR273" i="54"/>
  <c r="HU49" i="54"/>
  <c r="AM289" i="53"/>
  <c r="AM291" i="53" s="1"/>
  <c r="AM285" i="54"/>
  <c r="HY44" i="54"/>
  <c r="AO265" i="53"/>
  <c r="AO268" i="53" s="1"/>
  <c r="AO261" i="54"/>
  <c r="HQ46" i="54"/>
  <c r="AL253" i="53"/>
  <c r="AL254" i="53" s="1"/>
  <c r="AL249" i="54"/>
  <c r="HM43" i="54"/>
  <c r="AJ258" i="53"/>
  <c r="AJ259" i="53" s="1"/>
  <c r="HP44" i="53"/>
  <c r="IE44" i="53"/>
  <c r="AM252" i="53"/>
  <c r="AN250" i="53" a="1"/>
  <c r="AN250" i="53" s="1"/>
  <c r="AN251" i="53" s="1"/>
  <c r="HN45" i="53" s="1"/>
  <c r="HP45" i="53" s="1"/>
  <c r="HW51" i="53"/>
  <c r="IG51" i="53"/>
  <c r="HX51" i="53"/>
  <c r="AU274" i="53" a="1"/>
  <c r="AU274" i="53" s="1"/>
  <c r="AU275" i="53" s="1"/>
  <c r="HV52" i="53" s="1"/>
  <c r="HW52" i="53" s="1"/>
  <c r="AQ263" i="53"/>
  <c r="HR48" i="53" s="1"/>
  <c r="AR262" i="53" a="1"/>
  <c r="AR262" i="53" s="1"/>
  <c r="AO287" i="53"/>
  <c r="HZ46" i="53" s="1"/>
  <c r="AP286" i="53" a="1"/>
  <c r="AP286" i="53" s="1"/>
  <c r="AP264" i="53"/>
  <c r="HT47" i="53"/>
  <c r="HS47" i="53"/>
  <c r="IF47" i="53"/>
  <c r="AN288" i="53"/>
  <c r="IH45" i="53"/>
  <c r="IB45" i="53"/>
  <c r="IA45" i="53"/>
  <c r="AT281" i="53" l="1"/>
  <c r="AN270" i="53"/>
  <c r="AN271" i="53" s="1"/>
  <c r="AL294" i="53"/>
  <c r="AL295" i="53" s="1"/>
  <c r="AR281" i="53"/>
  <c r="AR282" i="53" s="1"/>
  <c r="AR283" i="53" s="1"/>
  <c r="AT280" i="53"/>
  <c r="AT314" i="53"/>
  <c r="AL307" i="54"/>
  <c r="AS278" i="53"/>
  <c r="AM293" i="53"/>
  <c r="AM315" i="53"/>
  <c r="AN305" i="54"/>
  <c r="AM290" i="53"/>
  <c r="AM292" i="53"/>
  <c r="AL256" i="53"/>
  <c r="AO269" i="53"/>
  <c r="AO270" i="53" s="1"/>
  <c r="AO271" i="53" s="1"/>
  <c r="AO313" i="53"/>
  <c r="AR279" i="53"/>
  <c r="AR302" i="53" s="1"/>
  <c r="AR310" i="53" s="1"/>
  <c r="AO266" i="53"/>
  <c r="AR314" i="53"/>
  <c r="AO267" i="53"/>
  <c r="AO301" i="53" s="1"/>
  <c r="AO309" i="53" s="1"/>
  <c r="AR278" i="53"/>
  <c r="AT302" i="53"/>
  <c r="AT310" i="53" s="1"/>
  <c r="AT306" i="54"/>
  <c r="AK300" i="53"/>
  <c r="AK308" i="53" s="1"/>
  <c r="AK304" i="54"/>
  <c r="AM303" i="53"/>
  <c r="AM311" i="53" s="1"/>
  <c r="AM307" i="54"/>
  <c r="AP265" i="53"/>
  <c r="AP313" i="53" s="1"/>
  <c r="AP261" i="54"/>
  <c r="HQ47" i="54"/>
  <c r="AK258" i="53"/>
  <c r="AK259" i="53" s="1"/>
  <c r="AM253" i="53"/>
  <c r="AM249" i="54"/>
  <c r="HM44" i="54"/>
  <c r="AL299" i="53"/>
  <c r="AL312" i="53"/>
  <c r="AL257" i="53"/>
  <c r="AL255" i="53"/>
  <c r="AS279" i="53"/>
  <c r="AS314" i="53"/>
  <c r="AS281" i="53"/>
  <c r="AS282" i="53" s="1"/>
  <c r="AS283" i="53" s="1"/>
  <c r="AT278" i="53"/>
  <c r="AN289" i="53"/>
  <c r="AN290" i="53" s="1"/>
  <c r="AN285" i="54"/>
  <c r="HY45" i="54"/>
  <c r="AN252" i="53"/>
  <c r="IG52" i="53"/>
  <c r="AO250" i="53" a="1"/>
  <c r="AO250" i="53" s="1"/>
  <c r="AO251" i="53" s="1"/>
  <c r="HN46" i="53" s="1"/>
  <c r="HO46" i="53" s="1"/>
  <c r="HO45" i="53"/>
  <c r="IE45" i="53"/>
  <c r="HX52" i="53"/>
  <c r="AU276" i="53"/>
  <c r="AV274" i="53" a="1"/>
  <c r="AV274" i="53" s="1"/>
  <c r="AV275" i="53" s="1"/>
  <c r="HV53" i="53" s="1"/>
  <c r="AV276" i="53" s="1"/>
  <c r="AQ264" i="53"/>
  <c r="IF48" i="53"/>
  <c r="HT48" i="53"/>
  <c r="HS48" i="53"/>
  <c r="AP287" i="53"/>
  <c r="HZ47" i="53" s="1"/>
  <c r="AQ286" i="53" a="1"/>
  <c r="AQ286" i="53" s="1"/>
  <c r="AO288" i="53"/>
  <c r="IH46" i="53"/>
  <c r="IB46" i="53"/>
  <c r="IA46" i="53"/>
  <c r="AR263" i="53"/>
  <c r="HR49" i="53" s="1"/>
  <c r="AS262" i="53" a="1"/>
  <c r="AS262" i="53" s="1"/>
  <c r="AP269" i="53" l="1"/>
  <c r="AL258" i="53"/>
  <c r="AL259" i="53" s="1"/>
  <c r="AM294" i="53"/>
  <c r="AM295" i="53" s="1"/>
  <c r="AT282" i="53"/>
  <c r="AT283" i="53" s="1"/>
  <c r="AR306" i="54"/>
  <c r="AP267" i="53"/>
  <c r="AP305" i="54" s="1"/>
  <c r="AP266" i="53"/>
  <c r="AO305" i="54"/>
  <c r="AP268" i="53"/>
  <c r="AP270" i="53" s="1"/>
  <c r="AP271" i="53" s="1"/>
  <c r="AN292" i="53"/>
  <c r="AN315" i="53"/>
  <c r="AN293" i="53"/>
  <c r="AN291" i="53"/>
  <c r="AN303" i="53" s="1"/>
  <c r="AN311" i="53" s="1"/>
  <c r="AV277" i="53"/>
  <c r="AV281" i="53" s="1"/>
  <c r="AV273" i="54"/>
  <c r="HU53" i="54"/>
  <c r="AN253" i="53"/>
  <c r="AN249" i="54"/>
  <c r="HM45" i="54"/>
  <c r="AM312" i="53"/>
  <c r="AM257" i="53"/>
  <c r="AM256" i="53"/>
  <c r="AM254" i="53"/>
  <c r="AM255" i="53"/>
  <c r="AM299" i="53"/>
  <c r="AO289" i="53"/>
  <c r="AO292" i="53" s="1"/>
  <c r="AO285" i="54"/>
  <c r="HY46" i="54"/>
  <c r="AU277" i="53"/>
  <c r="AU280" i="53" s="1"/>
  <c r="AU273" i="54"/>
  <c r="HU52" i="54"/>
  <c r="AS302" i="53"/>
  <c r="AS310" i="53" s="1"/>
  <c r="AS306" i="54"/>
  <c r="AL300" i="53"/>
  <c r="AL308" i="53" s="1"/>
  <c r="AL304" i="54"/>
  <c r="AQ265" i="53"/>
  <c r="AQ267" i="53" s="1"/>
  <c r="AQ261" i="54"/>
  <c r="HQ48" i="54"/>
  <c r="HP46" i="53"/>
  <c r="AO252" i="53"/>
  <c r="IE46" i="53"/>
  <c r="AP250" i="53" a="1"/>
  <c r="AP250" i="53" s="1"/>
  <c r="AP251" i="53" s="1"/>
  <c r="HN47" i="53" s="1"/>
  <c r="AP252" i="53" s="1"/>
  <c r="HW53" i="53"/>
  <c r="IG53" i="53"/>
  <c r="HX53" i="53"/>
  <c r="AW274" i="53" a="1"/>
  <c r="AW274" i="53" s="1"/>
  <c r="AW275" i="53" s="1"/>
  <c r="HV54" i="53" s="1"/>
  <c r="IG54" i="53" s="1"/>
  <c r="AR264" i="53"/>
  <c r="HT49" i="53"/>
  <c r="HS49" i="53"/>
  <c r="IF49" i="53"/>
  <c r="AQ287" i="53"/>
  <c r="HZ48" i="53" s="1"/>
  <c r="AR286" i="53" a="1"/>
  <c r="AR286" i="53" s="1"/>
  <c r="AP288" i="53"/>
  <c r="IB47" i="53"/>
  <c r="IA47" i="53"/>
  <c r="IH47" i="53"/>
  <c r="AS263" i="53"/>
  <c r="HR50" i="53" s="1"/>
  <c r="AT262" i="53" a="1"/>
  <c r="AT262" i="53" s="1"/>
  <c r="AN307" i="54" l="1"/>
  <c r="AP301" i="53"/>
  <c r="AP309" i="53" s="1"/>
  <c r="AV279" i="53"/>
  <c r="AV302" i="53" s="1"/>
  <c r="AV310" i="53" s="1"/>
  <c r="AV314" i="53"/>
  <c r="AV280" i="53"/>
  <c r="AV282" i="53" s="1"/>
  <c r="AV283" i="53" s="1"/>
  <c r="AN294" i="53"/>
  <c r="AN295" i="53" s="1"/>
  <c r="AU314" i="53"/>
  <c r="AV278" i="53"/>
  <c r="AO315" i="53"/>
  <c r="AQ266" i="53"/>
  <c r="AQ268" i="53"/>
  <c r="AQ269" i="53"/>
  <c r="AQ313" i="53"/>
  <c r="AU279" i="53"/>
  <c r="AU302" i="53" s="1"/>
  <c r="AU310" i="53" s="1"/>
  <c r="AP289" i="53"/>
  <c r="AP315" i="53" s="1"/>
  <c r="AP285" i="54"/>
  <c r="HY47" i="54"/>
  <c r="AP253" i="53"/>
  <c r="AP254" i="53" s="1"/>
  <c r="AP249" i="54"/>
  <c r="HM47" i="54"/>
  <c r="AN257" i="53"/>
  <c r="AN255" i="53"/>
  <c r="AN256" i="53"/>
  <c r="AN254" i="53"/>
  <c r="AN312" i="53"/>
  <c r="AN299" i="53"/>
  <c r="AO293" i="53"/>
  <c r="AO294" i="53" s="1"/>
  <c r="AO295" i="53" s="1"/>
  <c r="AR265" i="53"/>
  <c r="AR269" i="53" s="1"/>
  <c r="AR261" i="54"/>
  <c r="HQ49" i="54"/>
  <c r="AM300" i="53"/>
  <c r="AM308" i="53" s="1"/>
  <c r="AM304" i="54"/>
  <c r="AO291" i="53"/>
  <c r="AQ301" i="53"/>
  <c r="AQ309" i="53" s="1"/>
  <c r="AQ305" i="54"/>
  <c r="AU281" i="53"/>
  <c r="AU282" i="53" s="1"/>
  <c r="AU283" i="53" s="1"/>
  <c r="AU278" i="53"/>
  <c r="AO290" i="53"/>
  <c r="AO253" i="53"/>
  <c r="AO249" i="54"/>
  <c r="HM46" i="54"/>
  <c r="AM258" i="53"/>
  <c r="AM259" i="53" s="1"/>
  <c r="IE47" i="53"/>
  <c r="AQ250" i="53" a="1"/>
  <c r="AQ250" i="53" s="1"/>
  <c r="AQ251" i="53" s="1"/>
  <c r="HN48" i="53" s="1"/>
  <c r="IE48" i="53" s="1"/>
  <c r="HO47" i="53"/>
  <c r="HP47" i="53"/>
  <c r="HX54" i="53"/>
  <c r="AW276" i="53"/>
  <c r="HW54" i="53"/>
  <c r="AX274" i="53" a="1"/>
  <c r="AX274" i="53" s="1"/>
  <c r="AX275" i="53" s="1"/>
  <c r="HV55" i="53" s="1"/>
  <c r="HX55" i="53" s="1"/>
  <c r="AS264" i="53"/>
  <c r="IF50" i="53"/>
  <c r="HT50" i="53"/>
  <c r="HS50" i="53"/>
  <c r="AT263" i="53"/>
  <c r="HR51" i="53" s="1"/>
  <c r="AU262" i="53" a="1"/>
  <c r="AU262" i="53" s="1"/>
  <c r="AR287" i="53"/>
  <c r="HZ49" i="53" s="1"/>
  <c r="AS286" i="53" a="1"/>
  <c r="AS286" i="53" s="1"/>
  <c r="AQ288" i="53"/>
  <c r="IB48" i="53"/>
  <c r="IA48" i="53"/>
  <c r="IH48" i="53"/>
  <c r="AR268" i="53" l="1"/>
  <c r="AR270" i="53" s="1"/>
  <c r="AR271" i="53" s="1"/>
  <c r="AP256" i="53"/>
  <c r="AR313" i="53"/>
  <c r="AV306" i="54"/>
  <c r="AP255" i="53"/>
  <c r="AP300" i="53" s="1"/>
  <c r="AP308" i="53" s="1"/>
  <c r="AP299" i="53"/>
  <c r="AP312" i="53"/>
  <c r="AP291" i="53"/>
  <c r="AP303" i="53" s="1"/>
  <c r="AP311" i="53" s="1"/>
  <c r="AP293" i="53"/>
  <c r="AP292" i="53"/>
  <c r="AP290" i="53"/>
  <c r="AP257" i="53"/>
  <c r="AQ270" i="53"/>
  <c r="AQ271" i="53" s="1"/>
  <c r="AR267" i="53"/>
  <c r="AR301" i="53" s="1"/>
  <c r="AR309" i="53" s="1"/>
  <c r="AR266" i="53"/>
  <c r="AU306" i="54"/>
  <c r="AO257" i="53"/>
  <c r="AO312" i="53"/>
  <c r="AO255" i="53"/>
  <c r="AO299" i="53"/>
  <c r="AO256" i="53"/>
  <c r="AO254" i="53"/>
  <c r="AN258" i="53"/>
  <c r="AN259" i="53" s="1"/>
  <c r="AO303" i="53"/>
  <c r="AO311" i="53" s="1"/>
  <c r="AO307" i="54"/>
  <c r="AN300" i="53"/>
  <c r="AN308" i="53" s="1"/>
  <c r="AN304" i="54"/>
  <c r="AQ289" i="53"/>
  <c r="AQ290" i="53" s="1"/>
  <c r="AQ285" i="54"/>
  <c r="HY48" i="54"/>
  <c r="AS265" i="53"/>
  <c r="AS269" i="53" s="1"/>
  <c r="AS261" i="54"/>
  <c r="HQ50" i="54"/>
  <c r="AW277" i="53"/>
  <c r="AW273" i="54"/>
  <c r="HU54" i="54"/>
  <c r="HP48" i="53"/>
  <c r="AQ252" i="53"/>
  <c r="AR250" i="53" a="1"/>
  <c r="AR250" i="53" s="1"/>
  <c r="AR251" i="53" s="1"/>
  <c r="HN49" i="53" s="1"/>
  <c r="AR252" i="53" s="1"/>
  <c r="HO48" i="53"/>
  <c r="AX276" i="53"/>
  <c r="HW55" i="53"/>
  <c r="IG55" i="53"/>
  <c r="AY274" i="53" a="1"/>
  <c r="AY274" i="53" s="1"/>
  <c r="AY275" i="53" s="1"/>
  <c r="HV56" i="53" s="1"/>
  <c r="HX56" i="53" s="1"/>
  <c r="AU263" i="53"/>
  <c r="HR52" i="53" s="1"/>
  <c r="AV262" i="53" a="1"/>
  <c r="AV262" i="53" s="1"/>
  <c r="AT264" i="53"/>
  <c r="HT51" i="53"/>
  <c r="HS51" i="53"/>
  <c r="IF51" i="53"/>
  <c r="AR288" i="53"/>
  <c r="IH49" i="53"/>
  <c r="IB49" i="53"/>
  <c r="IA49" i="53"/>
  <c r="AS287" i="53"/>
  <c r="HZ50" i="53" s="1"/>
  <c r="AT286" i="53" a="1"/>
  <c r="AT286" i="53" s="1"/>
  <c r="AQ315" i="53" l="1"/>
  <c r="AP258" i="53"/>
  <c r="AP259" i="53" s="1"/>
  <c r="AP304" i="54"/>
  <c r="AP294" i="53"/>
  <c r="AP295" i="53" s="1"/>
  <c r="AP307" i="54"/>
  <c r="AS268" i="53"/>
  <c r="AS270" i="53" s="1"/>
  <c r="AS271" i="53" s="1"/>
  <c r="AS267" i="53"/>
  <c r="AS301" i="53" s="1"/>
  <c r="AS309" i="53" s="1"/>
  <c r="AS266" i="53"/>
  <c r="AS313" i="53"/>
  <c r="AR305" i="54"/>
  <c r="AQ292" i="53"/>
  <c r="AQ291" i="53"/>
  <c r="AQ307" i="54" s="1"/>
  <c r="AQ293" i="53"/>
  <c r="AO258" i="53"/>
  <c r="AO259" i="53" s="1"/>
  <c r="AX277" i="53"/>
  <c r="AX273" i="54"/>
  <c r="HU55" i="54"/>
  <c r="AW314" i="53"/>
  <c r="AW279" i="53"/>
  <c r="AW280" i="53"/>
  <c r="AW281" i="53"/>
  <c r="AW278" i="53"/>
  <c r="AR253" i="53"/>
  <c r="AR256" i="53" s="1"/>
  <c r="AR249" i="54"/>
  <c r="HM49" i="54"/>
  <c r="AO300" i="53"/>
  <c r="AO308" i="53" s="1"/>
  <c r="AO304" i="54"/>
  <c r="AQ253" i="53"/>
  <c r="AQ249" i="54"/>
  <c r="HM48" i="54"/>
  <c r="AT265" i="53"/>
  <c r="AT313" i="53" s="1"/>
  <c r="AT261" i="54"/>
  <c r="HQ51" i="54"/>
  <c r="AR289" i="53"/>
  <c r="AR293" i="53" s="1"/>
  <c r="AR285" i="54"/>
  <c r="HY49" i="54"/>
  <c r="IE49" i="53"/>
  <c r="HO49" i="53"/>
  <c r="HP49" i="53"/>
  <c r="AS250" i="53" a="1"/>
  <c r="AS250" i="53" s="1"/>
  <c r="AS251" i="53" s="1"/>
  <c r="HN50" i="53" s="1"/>
  <c r="HO50" i="53" s="1"/>
  <c r="HW56" i="53"/>
  <c r="AY276" i="53"/>
  <c r="IG56" i="53"/>
  <c r="AZ274" i="53" a="1"/>
  <c r="AZ274" i="53" s="1"/>
  <c r="AZ275" i="53" s="1"/>
  <c r="HV57" i="53" s="1"/>
  <c r="HX57" i="53" s="1"/>
  <c r="AT287" i="53"/>
  <c r="HZ51" i="53" s="1"/>
  <c r="AU286" i="53" a="1"/>
  <c r="AU286" i="53" s="1"/>
  <c r="AS288" i="53"/>
  <c r="IB50" i="53"/>
  <c r="IH50" i="53"/>
  <c r="IA50" i="53"/>
  <c r="AV263" i="53"/>
  <c r="HR53" i="53" s="1"/>
  <c r="AW262" i="53" a="1"/>
  <c r="AW262" i="53" s="1"/>
  <c r="AU264" i="53"/>
  <c r="IF52" i="53"/>
  <c r="HT52" i="53"/>
  <c r="HS52" i="53"/>
  <c r="AR299" i="53" l="1"/>
  <c r="AS305" i="54"/>
  <c r="AR312" i="53"/>
  <c r="AR315" i="53"/>
  <c r="AQ294" i="53"/>
  <c r="AQ295" i="53" s="1"/>
  <c r="AT266" i="53"/>
  <c r="AR257" i="53"/>
  <c r="AR258" i="53" s="1"/>
  <c r="AR259" i="53" s="1"/>
  <c r="AR254" i="53"/>
  <c r="AT268" i="53"/>
  <c r="AT269" i="53"/>
  <c r="AR255" i="53"/>
  <c r="AR300" i="53" s="1"/>
  <c r="AR308" i="53" s="1"/>
  <c r="AT267" i="53"/>
  <c r="AT301" i="53" s="1"/>
  <c r="AT309" i="53" s="1"/>
  <c r="AQ303" i="53"/>
  <c r="AQ311" i="53" s="1"/>
  <c r="AR290" i="53"/>
  <c r="AR291" i="53"/>
  <c r="AR307" i="54" s="1"/>
  <c r="AR292" i="53"/>
  <c r="AR294" i="53" s="1"/>
  <c r="AR295" i="53" s="1"/>
  <c r="AS289" i="53"/>
  <c r="AS290" i="53" s="1"/>
  <c r="AS285" i="54"/>
  <c r="HY50" i="54"/>
  <c r="AQ254" i="53"/>
  <c r="AQ256" i="53"/>
  <c r="AQ257" i="53"/>
  <c r="AQ312" i="53"/>
  <c r="AQ299" i="53"/>
  <c r="AQ255" i="53"/>
  <c r="AW282" i="53"/>
  <c r="AW283" i="53" s="1"/>
  <c r="AW302" i="53"/>
  <c r="AW310" i="53" s="1"/>
  <c r="AW306" i="54"/>
  <c r="AU265" i="53"/>
  <c r="AU266" i="53" s="1"/>
  <c r="AU261" i="54"/>
  <c r="HQ52" i="54"/>
  <c r="AY277" i="53"/>
  <c r="AY273" i="54"/>
  <c r="HU56" i="54"/>
  <c r="AX280" i="53"/>
  <c r="AX314" i="53"/>
  <c r="AX281" i="53"/>
  <c r="AX279" i="53"/>
  <c r="AX278" i="53"/>
  <c r="AS252" i="53"/>
  <c r="HP50" i="53"/>
  <c r="IE50" i="53"/>
  <c r="AT250" i="53" a="1"/>
  <c r="AT250" i="53" s="1"/>
  <c r="AT251" i="53" s="1"/>
  <c r="HN51" i="53" s="1"/>
  <c r="IE51" i="53" s="1"/>
  <c r="AZ276" i="53"/>
  <c r="HW57" i="53"/>
  <c r="IG57" i="53"/>
  <c r="BA274" i="53" a="1"/>
  <c r="BA274" i="53" s="1"/>
  <c r="BA275" i="53" s="1"/>
  <c r="HV58" i="53" s="1"/>
  <c r="IG58" i="53" s="1"/>
  <c r="AV264" i="53"/>
  <c r="IF53" i="53"/>
  <c r="HT53" i="53"/>
  <c r="HS53" i="53"/>
  <c r="AU287" i="53"/>
  <c r="HZ52" i="53" s="1"/>
  <c r="AV286" i="53" a="1"/>
  <c r="AV286" i="53" s="1"/>
  <c r="AW263" i="53"/>
  <c r="HR54" i="53" s="1"/>
  <c r="AX262" i="53" a="1"/>
  <c r="AX262" i="53" s="1"/>
  <c r="AT288" i="53"/>
  <c r="IB51" i="53"/>
  <c r="IA51" i="53"/>
  <c r="IH51" i="53"/>
  <c r="AU268" i="53" l="1"/>
  <c r="AU267" i="53"/>
  <c r="AU305" i="54" s="1"/>
  <c r="AR304" i="54"/>
  <c r="AT270" i="53"/>
  <c r="AT271" i="53" s="1"/>
  <c r="AS315" i="53"/>
  <c r="AS291" i="53"/>
  <c r="AS307" i="54" s="1"/>
  <c r="AU313" i="53"/>
  <c r="AS292" i="53"/>
  <c r="AS293" i="53"/>
  <c r="AU269" i="53"/>
  <c r="AR303" i="53"/>
  <c r="AR311" i="53" s="1"/>
  <c r="AT305" i="54"/>
  <c r="AQ258" i="53"/>
  <c r="AQ259" i="53" s="1"/>
  <c r="AV265" i="53"/>
  <c r="AV266" i="53" s="1"/>
  <c r="AV261" i="54"/>
  <c r="HQ53" i="54"/>
  <c r="AS253" i="53"/>
  <c r="AS249" i="54"/>
  <c r="HM50" i="54"/>
  <c r="AT289" i="53"/>
  <c r="AT290" i="53" s="1"/>
  <c r="AT285" i="54"/>
  <c r="HY51" i="54"/>
  <c r="AX302" i="53"/>
  <c r="AX310" i="53" s="1"/>
  <c r="AX306" i="54"/>
  <c r="AY278" i="53"/>
  <c r="AY280" i="53"/>
  <c r="AY281" i="53"/>
  <c r="AY279" i="53"/>
  <c r="AY314" i="53"/>
  <c r="AZ277" i="53"/>
  <c r="AZ280" i="53" s="1"/>
  <c r="AZ273" i="54"/>
  <c r="HU57" i="54"/>
  <c r="AX282" i="53"/>
  <c r="AX283" i="53" s="1"/>
  <c r="AQ300" i="53"/>
  <c r="AQ308" i="53" s="1"/>
  <c r="AQ304" i="54"/>
  <c r="AT252" i="53"/>
  <c r="HO51" i="53"/>
  <c r="HP51" i="53"/>
  <c r="AU250" i="53" a="1"/>
  <c r="AU250" i="53" s="1"/>
  <c r="AU251" i="53" s="1"/>
  <c r="HN52" i="53" s="1"/>
  <c r="HO52" i="53" s="1"/>
  <c r="HW58" i="53"/>
  <c r="HX58" i="53"/>
  <c r="BA276" i="53"/>
  <c r="BB274" i="53" a="1"/>
  <c r="BB274" i="53" s="1"/>
  <c r="BB275" i="53" s="1"/>
  <c r="HV59" i="53" s="1"/>
  <c r="AU288" i="53"/>
  <c r="IH52" i="53"/>
  <c r="IB52" i="53"/>
  <c r="IA52" i="53"/>
  <c r="AX263" i="53"/>
  <c r="HR55" i="53" s="1"/>
  <c r="AY262" i="53" a="1"/>
  <c r="AY262" i="53" s="1"/>
  <c r="AW264" i="53"/>
  <c r="IF54" i="53"/>
  <c r="HT54" i="53"/>
  <c r="HS54" i="53"/>
  <c r="AV287" i="53"/>
  <c r="HZ53" i="53" s="1"/>
  <c r="AW286" i="53" a="1"/>
  <c r="AW286" i="53" s="1"/>
  <c r="AU301" i="53" l="1"/>
  <c r="AU309" i="53" s="1"/>
  <c r="AU270" i="53"/>
  <c r="AU271" i="53" s="1"/>
  <c r="AS303" i="53"/>
  <c r="AS311" i="53" s="1"/>
  <c r="AS294" i="53"/>
  <c r="AS295" i="53" s="1"/>
  <c r="AV313" i="53"/>
  <c r="AT291" i="53"/>
  <c r="AT307" i="54" s="1"/>
  <c r="AV268" i="53"/>
  <c r="AV267" i="53"/>
  <c r="AV305" i="54" s="1"/>
  <c r="AT292" i="53"/>
  <c r="AT315" i="53"/>
  <c r="AV269" i="53"/>
  <c r="AT293" i="53"/>
  <c r="AU289" i="53"/>
  <c r="AU293" i="53" s="1"/>
  <c r="AU285" i="54"/>
  <c r="HY52" i="54"/>
  <c r="AT253" i="53"/>
  <c r="AT249" i="54"/>
  <c r="HM51" i="54"/>
  <c r="AZ278" i="53"/>
  <c r="AZ314" i="53"/>
  <c r="AZ281" i="53"/>
  <c r="AZ282" i="53" s="1"/>
  <c r="AZ283" i="53" s="1"/>
  <c r="AZ279" i="53"/>
  <c r="AS257" i="53"/>
  <c r="AS255" i="53"/>
  <c r="AS312" i="53"/>
  <c r="AS299" i="53"/>
  <c r="AS256" i="53"/>
  <c r="AS254" i="53"/>
  <c r="BA277" i="53"/>
  <c r="BA280" i="53" s="1"/>
  <c r="BA273" i="54"/>
  <c r="HU58" i="54"/>
  <c r="AY302" i="53"/>
  <c r="AY310" i="53" s="1"/>
  <c r="AY306" i="54"/>
  <c r="AW265" i="53"/>
  <c r="AW266" i="53" s="1"/>
  <c r="AW261" i="54"/>
  <c r="HQ54" i="54"/>
  <c r="AY282" i="53"/>
  <c r="AY283" i="53" s="1"/>
  <c r="HP52" i="53"/>
  <c r="IE52" i="53"/>
  <c r="AU252" i="53"/>
  <c r="AV250" i="53" a="1"/>
  <c r="AV250" i="53" s="1"/>
  <c r="AV251" i="53" s="1"/>
  <c r="HN53" i="53" s="1"/>
  <c r="IE53" i="53" s="1"/>
  <c r="BB276" i="53"/>
  <c r="HW59" i="53"/>
  <c r="HX59" i="53"/>
  <c r="IG59" i="53"/>
  <c r="AY263" i="53"/>
  <c r="HR56" i="53" s="1"/>
  <c r="AZ262" i="53" a="1"/>
  <c r="AZ262" i="53" s="1"/>
  <c r="AX264" i="53"/>
  <c r="HT55" i="53"/>
  <c r="HS55" i="53"/>
  <c r="IF55" i="53"/>
  <c r="AW287" i="53"/>
  <c r="HZ54" i="53" s="1"/>
  <c r="AX286" i="53" a="1"/>
  <c r="AX286" i="53" s="1"/>
  <c r="AV288" i="53"/>
  <c r="IH53" i="53"/>
  <c r="IB53" i="53"/>
  <c r="IA53" i="53"/>
  <c r="AW313" i="53"/>
  <c r="AU315" i="53" l="1"/>
  <c r="AT303" i="53"/>
  <c r="AT311" i="53" s="1"/>
  <c r="AV270" i="53"/>
  <c r="AV271" i="53" s="1"/>
  <c r="AV301" i="53"/>
  <c r="AV309" i="53" s="1"/>
  <c r="AW269" i="53"/>
  <c r="AW267" i="53"/>
  <c r="AW301" i="53" s="1"/>
  <c r="AW309" i="53" s="1"/>
  <c r="AW268" i="53"/>
  <c r="AT294" i="53"/>
  <c r="AT295" i="53" s="1"/>
  <c r="AU291" i="53"/>
  <c r="AU307" i="54" s="1"/>
  <c r="AU290" i="53"/>
  <c r="AU292" i="53"/>
  <c r="AU294" i="53" s="1"/>
  <c r="AU295" i="53" s="1"/>
  <c r="AS258" i="53"/>
  <c r="AS259" i="53" s="1"/>
  <c r="AX265" i="53"/>
  <c r="AX269" i="53" s="1"/>
  <c r="AX261" i="54"/>
  <c r="HQ55" i="54"/>
  <c r="AS300" i="53"/>
  <c r="AS308" i="53" s="1"/>
  <c r="AS304" i="54"/>
  <c r="AT299" i="53"/>
  <c r="AT312" i="53"/>
  <c r="AT257" i="53"/>
  <c r="AT254" i="53"/>
  <c r="AT256" i="53"/>
  <c r="AT255" i="53"/>
  <c r="BA278" i="53"/>
  <c r="BA281" i="53"/>
  <c r="BA282" i="53" s="1"/>
  <c r="BA283" i="53" s="1"/>
  <c r="BA279" i="53"/>
  <c r="BA314" i="53"/>
  <c r="AV289" i="53"/>
  <c r="AV290" i="53" s="1"/>
  <c r="AV285" i="54"/>
  <c r="HY53" i="54"/>
  <c r="AZ302" i="53"/>
  <c r="AZ310" i="53" s="1"/>
  <c r="AZ306" i="54"/>
  <c r="BB277" i="53"/>
  <c r="BB314" i="53" s="1"/>
  <c r="BB273" i="54"/>
  <c r="E274" i="54" s="1" a="1"/>
  <c r="E274" i="54" s="1"/>
  <c r="HU59" i="54"/>
  <c r="AU253" i="53"/>
  <c r="AU256" i="53" s="1"/>
  <c r="AU249" i="54"/>
  <c r="HM52" i="54"/>
  <c r="HO53" i="53"/>
  <c r="HP53" i="53"/>
  <c r="AV252" i="53"/>
  <c r="AW250" i="53" a="1"/>
  <c r="AW250" i="53" s="1"/>
  <c r="AW251" i="53" s="1"/>
  <c r="HN54" i="53" s="1"/>
  <c r="HP54" i="53" s="1"/>
  <c r="AZ263" i="53"/>
  <c r="HR57" i="53" s="1"/>
  <c r="BA262" i="53" a="1"/>
  <c r="BA262" i="53" s="1"/>
  <c r="AY264" i="53"/>
  <c r="IF56" i="53"/>
  <c r="HT56" i="53"/>
  <c r="HS56" i="53"/>
  <c r="AX287" i="53"/>
  <c r="HZ55" i="53" s="1"/>
  <c r="AY286" i="53" a="1"/>
  <c r="AY286" i="53" s="1"/>
  <c r="AW288" i="53"/>
  <c r="IB54" i="53"/>
  <c r="IH54" i="53"/>
  <c r="IA54" i="53"/>
  <c r="AX266" i="53" l="1"/>
  <c r="AX267" i="53"/>
  <c r="AX305" i="54" s="1"/>
  <c r="AU303" i="53"/>
  <c r="AU311" i="53" s="1"/>
  <c r="AW270" i="53"/>
  <c r="AW271" i="53" s="1"/>
  <c r="AX268" i="53"/>
  <c r="AX270" i="53" s="1"/>
  <c r="AX271" i="53" s="1"/>
  <c r="AX313" i="53"/>
  <c r="AW305" i="54"/>
  <c r="AV291" i="53"/>
  <c r="AV303" i="53" s="1"/>
  <c r="AV311" i="53" s="1"/>
  <c r="AV315" i="53"/>
  <c r="AV292" i="53"/>
  <c r="BB278" i="53"/>
  <c r="BB279" i="53"/>
  <c r="BB306" i="54" s="1"/>
  <c r="AV293" i="53"/>
  <c r="BB280" i="53"/>
  <c r="BB281" i="53"/>
  <c r="E275" i="54"/>
  <c r="HV10" i="54" s="1"/>
  <c r="F274" i="54" a="1"/>
  <c r="F274" i="54" s="1"/>
  <c r="F275" i="54" s="1"/>
  <c r="AW289" i="53"/>
  <c r="AW290" i="53" s="1"/>
  <c r="AW285" i="54"/>
  <c r="HY54" i="54"/>
  <c r="BA302" i="53"/>
  <c r="BA310" i="53" s="1"/>
  <c r="BA306" i="54"/>
  <c r="AY265" i="53"/>
  <c r="AY267" i="53" s="1"/>
  <c r="AY261" i="54"/>
  <c r="HQ56" i="54"/>
  <c r="AU254" i="53"/>
  <c r="AU299" i="53"/>
  <c r="AU257" i="53"/>
  <c r="AU258" i="53" s="1"/>
  <c r="AU259" i="53" s="1"/>
  <c r="AU255" i="53"/>
  <c r="AU312" i="53"/>
  <c r="AT300" i="53"/>
  <c r="AT308" i="53" s="1"/>
  <c r="AT304" i="54"/>
  <c r="AV253" i="53"/>
  <c r="AV249" i="54"/>
  <c r="HM53" i="54"/>
  <c r="AT258" i="53"/>
  <c r="AT259" i="53" s="1"/>
  <c r="IE54" i="53"/>
  <c r="HO54" i="53"/>
  <c r="AW252" i="53"/>
  <c r="AX250" i="53" a="1"/>
  <c r="AX250" i="53" s="1"/>
  <c r="AX251" i="53" s="1"/>
  <c r="HN55" i="53" s="1"/>
  <c r="HP55" i="53" s="1"/>
  <c r="AY287" i="53"/>
  <c r="HZ56" i="53" s="1"/>
  <c r="AZ286" i="53" a="1"/>
  <c r="AZ286" i="53" s="1"/>
  <c r="BA263" i="53"/>
  <c r="HR58" i="53" s="1"/>
  <c r="BB262" i="53" a="1"/>
  <c r="BB262" i="53" s="1"/>
  <c r="BB263" i="53" s="1"/>
  <c r="HR59" i="53" s="1"/>
  <c r="AX288" i="53"/>
  <c r="IB55" i="53"/>
  <c r="IA55" i="53"/>
  <c r="IH55" i="53"/>
  <c r="AZ264" i="53"/>
  <c r="IF57" i="53"/>
  <c r="HT57" i="53"/>
  <c r="HS57" i="53"/>
  <c r="AX301" i="53" l="1"/>
  <c r="AX309" i="53" s="1"/>
  <c r="BB302" i="53"/>
  <c r="BB310" i="53" s="1"/>
  <c r="AV307" i="54"/>
  <c r="HV11" i="54"/>
  <c r="F276" i="54" s="1"/>
  <c r="AW291" i="53"/>
  <c r="AW307" i="54" s="1"/>
  <c r="AV294" i="53"/>
  <c r="AV295" i="53" s="1"/>
  <c r="AY269" i="53"/>
  <c r="BB282" i="53"/>
  <c r="BB283" i="53" s="1"/>
  <c r="AY268" i="53"/>
  <c r="AY313" i="53"/>
  <c r="AY266" i="53"/>
  <c r="AW293" i="53"/>
  <c r="AW292" i="53"/>
  <c r="AW315" i="53"/>
  <c r="AV299" i="53"/>
  <c r="AV256" i="53"/>
  <c r="AV255" i="53"/>
  <c r="AV312" i="53"/>
  <c r="AV254" i="53"/>
  <c r="AV257" i="53"/>
  <c r="AW253" i="53"/>
  <c r="AW249" i="54"/>
  <c r="HM54" i="54"/>
  <c r="AX289" i="53"/>
  <c r="AX290" i="53" s="1"/>
  <c r="AX285" i="54"/>
  <c r="HY55" i="54"/>
  <c r="G274" i="54" a="1"/>
  <c r="G274" i="54" s="1"/>
  <c r="AU300" i="53"/>
  <c r="AU308" i="53" s="1"/>
  <c r="AU304" i="54"/>
  <c r="AZ265" i="53"/>
  <c r="AZ267" i="53" s="1"/>
  <c r="AZ261" i="54"/>
  <c r="HQ57" i="54"/>
  <c r="AY301" i="53"/>
  <c r="AY309" i="53" s="1"/>
  <c r="AY305" i="54"/>
  <c r="E276" i="54"/>
  <c r="HX10" i="54"/>
  <c r="IG10" i="54"/>
  <c r="HW10" i="54"/>
  <c r="AX252" i="53"/>
  <c r="AY250" i="53" a="1"/>
  <c r="AY250" i="53" s="1"/>
  <c r="AY251" i="53" s="1"/>
  <c r="HN56" i="53" s="1"/>
  <c r="HP56" i="53" s="1"/>
  <c r="IE55" i="53"/>
  <c r="HO55" i="53"/>
  <c r="AZ287" i="53"/>
  <c r="HZ57" i="53" s="1"/>
  <c r="BA286" i="53" a="1"/>
  <c r="BA286" i="53" s="1"/>
  <c r="BB264" i="53"/>
  <c r="HT59" i="53"/>
  <c r="HS59" i="53"/>
  <c r="IF59" i="53"/>
  <c r="AY288" i="53"/>
  <c r="IH56" i="53"/>
  <c r="IB56" i="53"/>
  <c r="IA56" i="53"/>
  <c r="IF58" i="53"/>
  <c r="BA264" i="53"/>
  <c r="HT58" i="53"/>
  <c r="HS58" i="53"/>
  <c r="HW11" i="54" l="1"/>
  <c r="IG11" i="54"/>
  <c r="HX11" i="54"/>
  <c r="AW294" i="53"/>
  <c r="AW295" i="53" s="1"/>
  <c r="AW303" i="53"/>
  <c r="AW311" i="53" s="1"/>
  <c r="AY270" i="53"/>
  <c r="AY271" i="53" s="1"/>
  <c r="AX315" i="53"/>
  <c r="F277" i="54"/>
  <c r="F281" i="54" s="1"/>
  <c r="F273" i="55"/>
  <c r="HU11" i="55"/>
  <c r="AZ268" i="53"/>
  <c r="E277" i="54"/>
  <c r="E314" i="54" s="1"/>
  <c r="E273" i="55"/>
  <c r="HU10" i="55"/>
  <c r="AZ313" i="53"/>
  <c r="AX291" i="53"/>
  <c r="AX303" i="53" s="1"/>
  <c r="AX311" i="53" s="1"/>
  <c r="AZ266" i="53"/>
  <c r="AX292" i="53"/>
  <c r="AZ269" i="53"/>
  <c r="AX293" i="53"/>
  <c r="BA265" i="53"/>
  <c r="BA266" i="53" s="1"/>
  <c r="BA261" i="54"/>
  <c r="HQ58" i="54"/>
  <c r="AY289" i="53"/>
  <c r="AY315" i="53" s="1"/>
  <c r="AY285" i="54"/>
  <c r="HY56" i="54"/>
  <c r="AX253" i="53"/>
  <c r="AX249" i="54"/>
  <c r="HM55" i="54"/>
  <c r="AZ301" i="53"/>
  <c r="AZ309" i="53" s="1"/>
  <c r="AZ305" i="54"/>
  <c r="BB265" i="53"/>
  <c r="BB266" i="53" s="1"/>
  <c r="BB261" i="54"/>
  <c r="HQ59" i="54"/>
  <c r="AV300" i="53"/>
  <c r="AV308" i="53" s="1"/>
  <c r="AV304" i="54"/>
  <c r="G275" i="54"/>
  <c r="HV12" i="54" s="1"/>
  <c r="H274" i="54" a="1"/>
  <c r="H274" i="54" s="1"/>
  <c r="AW255" i="53"/>
  <c r="AW299" i="53"/>
  <c r="AW254" i="53"/>
  <c r="AW256" i="53"/>
  <c r="AW257" i="53"/>
  <c r="AW312" i="53"/>
  <c r="AV258" i="53"/>
  <c r="AV259" i="53" s="1"/>
  <c r="IE56" i="53"/>
  <c r="AY252" i="53"/>
  <c r="AZ250" i="53" a="1"/>
  <c r="AZ250" i="53" s="1"/>
  <c r="AZ251" i="53" s="1"/>
  <c r="HN57" i="53" s="1"/>
  <c r="HP57" i="53" s="1"/>
  <c r="HO56" i="53"/>
  <c r="BA287" i="53"/>
  <c r="HZ58" i="53" s="1"/>
  <c r="BB286" i="53" a="1"/>
  <c r="BB286" i="53" s="1"/>
  <c r="BB287" i="53" s="1"/>
  <c r="HZ59" i="53" s="1"/>
  <c r="AZ288" i="53"/>
  <c r="IH57" i="53"/>
  <c r="IB57" i="53"/>
  <c r="IA57" i="53"/>
  <c r="F279" i="54" l="1"/>
  <c r="F302" i="54" s="1"/>
  <c r="F310" i="54" s="1"/>
  <c r="F278" i="54"/>
  <c r="BB267" i="53"/>
  <c r="BB301" i="53" s="1"/>
  <c r="BB309" i="53" s="1"/>
  <c r="BB269" i="53"/>
  <c r="BB313" i="53"/>
  <c r="E281" i="54"/>
  <c r="AY293" i="53"/>
  <c r="E278" i="54"/>
  <c r="AY290" i="53"/>
  <c r="E279" i="54"/>
  <c r="E302" i="54" s="1"/>
  <c r="E310" i="54" s="1"/>
  <c r="AY291" i="53"/>
  <c r="AY303" i="53" s="1"/>
  <c r="AY311" i="53" s="1"/>
  <c r="E280" i="54"/>
  <c r="BA269" i="53"/>
  <c r="BA268" i="53"/>
  <c r="BA267" i="53"/>
  <c r="BA301" i="53" s="1"/>
  <c r="BA309" i="53" s="1"/>
  <c r="AX294" i="53"/>
  <c r="AX295" i="53" s="1"/>
  <c r="BB268" i="53"/>
  <c r="AX307" i="54"/>
  <c r="AZ270" i="53"/>
  <c r="AZ271" i="53" s="1"/>
  <c r="F280" i="54"/>
  <c r="F282" i="54" s="1"/>
  <c r="F283" i="54" s="1"/>
  <c r="F314" i="54"/>
  <c r="BA313" i="53"/>
  <c r="AY292" i="53"/>
  <c r="E262" i="54" a="1"/>
  <c r="E262" i="54" s="1"/>
  <c r="E263" i="54" s="1"/>
  <c r="HR10" i="54" s="1"/>
  <c r="AZ289" i="53"/>
  <c r="AZ290" i="53" s="1"/>
  <c r="AZ285" i="54"/>
  <c r="HY57" i="54"/>
  <c r="AY253" i="53"/>
  <c r="AY249" i="54"/>
  <c r="HM56" i="54"/>
  <c r="AW258" i="53"/>
  <c r="AW259" i="53" s="1"/>
  <c r="AX312" i="53"/>
  <c r="AX299" i="53"/>
  <c r="AX256" i="53"/>
  <c r="AX254" i="53"/>
  <c r="AX255" i="53"/>
  <c r="AX257" i="53"/>
  <c r="AW300" i="53"/>
  <c r="AW308" i="53" s="1"/>
  <c r="AW304" i="54"/>
  <c r="I274" i="54" a="1"/>
  <c r="I274" i="54" s="1"/>
  <c r="I275" i="54" s="1"/>
  <c r="H275" i="54"/>
  <c r="HV13" i="54" s="1"/>
  <c r="G276" i="54"/>
  <c r="HX12" i="54"/>
  <c r="IG12" i="54"/>
  <c r="HW12" i="54"/>
  <c r="AZ252" i="53"/>
  <c r="IE57" i="53"/>
  <c r="HO57" i="53"/>
  <c r="BA250" i="53" a="1"/>
  <c r="BA250" i="53" s="1"/>
  <c r="BA251" i="53" s="1"/>
  <c r="HN58" i="53" s="1"/>
  <c r="HP58" i="53" s="1"/>
  <c r="BA288" i="53"/>
  <c r="IB58" i="53"/>
  <c r="IH58" i="53"/>
  <c r="IA58" i="53"/>
  <c r="BB288" i="53"/>
  <c r="IB59" i="53"/>
  <c r="IA59" i="53"/>
  <c r="IH59" i="53"/>
  <c r="BA270" i="53" l="1"/>
  <c r="BA271" i="53" s="1"/>
  <c r="BA305" i="54"/>
  <c r="F306" i="55"/>
  <c r="AZ291" i="53"/>
  <c r="AZ303" i="53" s="1"/>
  <c r="AZ311" i="53" s="1"/>
  <c r="AZ292" i="53"/>
  <c r="AY307" i="54"/>
  <c r="AZ293" i="53"/>
  <c r="BB305" i="54"/>
  <c r="AZ315" i="53"/>
  <c r="AY294" i="53"/>
  <c r="AY295" i="53" s="1"/>
  <c r="BB270" i="53"/>
  <c r="BB271" i="53" s="1"/>
  <c r="E282" i="54"/>
  <c r="E283" i="54" s="1"/>
  <c r="E306" i="55"/>
  <c r="G277" i="54"/>
  <c r="G314" i="54" s="1"/>
  <c r="G273" i="55"/>
  <c r="HU12" i="55"/>
  <c r="J274" i="54" a="1"/>
  <c r="J274" i="54" s="1"/>
  <c r="J275" i="54" s="1"/>
  <c r="G297" i="53"/>
  <c r="F262" i="54" a="1"/>
  <c r="F262" i="54" s="1"/>
  <c r="H276" i="54"/>
  <c r="HX13" i="54"/>
  <c r="IG13" i="54"/>
  <c r="HW13" i="54"/>
  <c r="AX300" i="53"/>
  <c r="AX308" i="53" s="1"/>
  <c r="AX304" i="54"/>
  <c r="AZ253" i="53"/>
  <c r="AZ249" i="54"/>
  <c r="HM57" i="54"/>
  <c r="BB289" i="53"/>
  <c r="BB291" i="53" s="1"/>
  <c r="BB285" i="54"/>
  <c r="HY59" i="54"/>
  <c r="HV14" i="54"/>
  <c r="AX258" i="53"/>
  <c r="AX259" i="53" s="1"/>
  <c r="AY255" i="53"/>
  <c r="AY256" i="53"/>
  <c r="AY257" i="53"/>
  <c r="AY312" i="53"/>
  <c r="AY299" i="53"/>
  <c r="AY254" i="53"/>
  <c r="E264" i="54"/>
  <c r="HT10" i="54"/>
  <c r="HS10" i="54"/>
  <c r="IF10" i="54"/>
  <c r="BA289" i="53"/>
  <c r="BA290" i="53" s="1"/>
  <c r="BA285" i="54"/>
  <c r="HY58" i="54"/>
  <c r="IE58" i="53"/>
  <c r="BA252" i="53"/>
  <c r="HO58" i="53"/>
  <c r="BB250" i="53" a="1"/>
  <c r="BB250" i="53" s="1"/>
  <c r="BB251" i="53" s="1"/>
  <c r="HN59" i="53" s="1"/>
  <c r="E297" i="53" l="1"/>
  <c r="Y107" i="59" s="1"/>
  <c r="Y108" i="59" s="1"/>
  <c r="G278" i="54"/>
  <c r="G281" i="54"/>
  <c r="G280" i="54"/>
  <c r="G279" i="54"/>
  <c r="G306" i="55" s="1"/>
  <c r="BA293" i="53"/>
  <c r="AZ294" i="53"/>
  <c r="AZ295" i="53" s="1"/>
  <c r="AZ307" i="54"/>
  <c r="K297" i="53"/>
  <c r="Y104" i="59" s="1"/>
  <c r="Y105" i="59" s="1"/>
  <c r="Y102" i="59"/>
  <c r="BB292" i="53"/>
  <c r="BA292" i="53"/>
  <c r="BA291" i="53"/>
  <c r="BA307" i="54" s="1"/>
  <c r="BB315" i="53"/>
  <c r="H277" i="54"/>
  <c r="H279" i="54" s="1"/>
  <c r="H273" i="55"/>
  <c r="HU13" i="55"/>
  <c r="E265" i="54"/>
  <c r="E267" i="54" s="1"/>
  <c r="E261" i="55"/>
  <c r="HQ10" i="55"/>
  <c r="BB293" i="53"/>
  <c r="BB290" i="53"/>
  <c r="K274" i="54" a="1"/>
  <c r="K274" i="54" s="1"/>
  <c r="L274" i="54" s="1" a="1"/>
  <c r="L274" i="54" s="1"/>
  <c r="BA315" i="53"/>
  <c r="I297" i="53"/>
  <c r="Y103" i="59" s="1"/>
  <c r="F263" i="54"/>
  <c r="HR11" i="54" s="1"/>
  <c r="G262" i="54" a="1"/>
  <c r="G262" i="54" s="1"/>
  <c r="G263" i="54" s="1"/>
  <c r="E286" i="54" a="1"/>
  <c r="E286" i="54" s="1"/>
  <c r="BB303" i="53"/>
  <c r="BB311" i="53" s="1"/>
  <c r="BB307" i="54"/>
  <c r="AY258" i="53"/>
  <c r="AY259" i="53" s="1"/>
  <c r="BA253" i="53"/>
  <c r="BA249" i="54"/>
  <c r="HM58" i="54"/>
  <c r="AY300" i="53"/>
  <c r="AY308" i="53" s="1"/>
  <c r="AY304" i="54"/>
  <c r="I276" i="54"/>
  <c r="IG14" i="54"/>
  <c r="HW14" i="54"/>
  <c r="HX14" i="54"/>
  <c r="AZ312" i="53"/>
  <c r="AZ299" i="53"/>
  <c r="AZ255" i="53"/>
  <c r="AZ254" i="53"/>
  <c r="AZ257" i="53"/>
  <c r="AZ256" i="53"/>
  <c r="HV15" i="54"/>
  <c r="BB252" i="53"/>
  <c r="HP59" i="53"/>
  <c r="HO59" i="53"/>
  <c r="IE59" i="53"/>
  <c r="Y109" i="59" l="1"/>
  <c r="BA294" i="53"/>
  <c r="BA295" i="53" s="1"/>
  <c r="G302" i="54"/>
  <c r="G310" i="54" s="1"/>
  <c r="BA303" i="53"/>
  <c r="BA311" i="53" s="1"/>
  <c r="G282" i="54"/>
  <c r="G283" i="54" s="1"/>
  <c r="H280" i="54"/>
  <c r="H278" i="54"/>
  <c r="H314" i="54"/>
  <c r="H281" i="54"/>
  <c r="HR12" i="54"/>
  <c r="G264" i="54" s="1"/>
  <c r="BB294" i="53"/>
  <c r="BB295" i="53" s="1"/>
  <c r="E313" i="54"/>
  <c r="E268" i="54"/>
  <c r="E269" i="54"/>
  <c r="E266" i="54"/>
  <c r="E301" i="54"/>
  <c r="E309" i="54" s="1"/>
  <c r="E305" i="55"/>
  <c r="I277" i="54"/>
  <c r="I281" i="54" s="1"/>
  <c r="I273" i="55"/>
  <c r="HU14" i="55"/>
  <c r="H302" i="54"/>
  <c r="H310" i="54" s="1"/>
  <c r="H306" i="55"/>
  <c r="K275" i="54"/>
  <c r="HV16" i="54" s="1"/>
  <c r="HS11" i="54"/>
  <c r="IF11" i="54"/>
  <c r="F264" i="54"/>
  <c r="HT11" i="54"/>
  <c r="AZ258" i="53"/>
  <c r="AZ259" i="53" s="1"/>
  <c r="H262" i="54" a="1"/>
  <c r="H262" i="54" s="1"/>
  <c r="H263" i="54" s="1"/>
  <c r="J276" i="54"/>
  <c r="HX15" i="54"/>
  <c r="IG15" i="54"/>
  <c r="HW15" i="54"/>
  <c r="AZ300" i="53"/>
  <c r="AZ308" i="53" s="1"/>
  <c r="AZ304" i="54"/>
  <c r="BA255" i="53"/>
  <c r="BA312" i="53"/>
  <c r="BA299" i="53"/>
  <c r="BA256" i="53"/>
  <c r="BA254" i="53"/>
  <c r="BA257" i="53"/>
  <c r="L275" i="54"/>
  <c r="M274" i="54" a="1"/>
  <c r="M274" i="54" s="1"/>
  <c r="BB253" i="53"/>
  <c r="BB299" i="53" s="1"/>
  <c r="BB249" i="54"/>
  <c r="E250" i="54" s="1" a="1"/>
  <c r="E250" i="54" s="1"/>
  <c r="HM59" i="54"/>
  <c r="E287" i="54"/>
  <c r="HZ10" i="54" s="1"/>
  <c r="F286" i="54" a="1"/>
  <c r="F286" i="54" s="1"/>
  <c r="F287" i="54" s="1"/>
  <c r="E296" i="53" l="1"/>
  <c r="Q107" i="59" s="1"/>
  <c r="Q109" i="59" s="1"/>
  <c r="G296" i="53"/>
  <c r="Q102" i="59" s="1"/>
  <c r="H282" i="54"/>
  <c r="H283" i="54" s="1"/>
  <c r="HT12" i="54"/>
  <c r="I280" i="54"/>
  <c r="I282" i="54" s="1"/>
  <c r="I283" i="54" s="1"/>
  <c r="I314" i="54"/>
  <c r="HS12" i="54"/>
  <c r="HR13" i="54"/>
  <c r="H264" i="54" s="1"/>
  <c r="H261" i="55" s="1"/>
  <c r="IF12" i="54"/>
  <c r="E270" i="54"/>
  <c r="E271" i="54" s="1"/>
  <c r="I278" i="54"/>
  <c r="HZ11" i="54"/>
  <c r="F288" i="54" s="1"/>
  <c r="I279" i="54"/>
  <c r="I306" i="55" s="1"/>
  <c r="G265" i="54"/>
  <c r="G269" i="54" s="1"/>
  <c r="G261" i="55"/>
  <c r="HQ12" i="55"/>
  <c r="J277" i="54"/>
  <c r="J278" i="54" s="1"/>
  <c r="J273" i="55"/>
  <c r="HU15" i="55"/>
  <c r="F265" i="54"/>
  <c r="F268" i="54" s="1"/>
  <c r="F261" i="55"/>
  <c r="HQ11" i="55"/>
  <c r="I262" i="54" a="1"/>
  <c r="I262" i="54" s="1"/>
  <c r="I263" i="54" s="1"/>
  <c r="BB312" i="53"/>
  <c r="BB256" i="53"/>
  <c r="HV17" i="54"/>
  <c r="HX17" i="54" s="1"/>
  <c r="G286" i="54" a="1"/>
  <c r="G286" i="54" s="1"/>
  <c r="G287" i="54" s="1"/>
  <c r="BB255" i="53"/>
  <c r="E251" i="54"/>
  <c r="HN10" i="54" s="1"/>
  <c r="F250" i="54" a="1"/>
  <c r="F250" i="54" s="1"/>
  <c r="F251" i="54" s="1"/>
  <c r="BA258" i="53"/>
  <c r="BA259" i="53" s="1"/>
  <c r="BB254" i="53"/>
  <c r="K276" i="54"/>
  <c r="HX16" i="54"/>
  <c r="IG16" i="54"/>
  <c r="HW16" i="54"/>
  <c r="BB257" i="53"/>
  <c r="E288" i="54"/>
  <c r="IB10" i="54"/>
  <c r="IA10" i="54"/>
  <c r="IH10" i="54"/>
  <c r="M275" i="54"/>
  <c r="N274" i="54" a="1"/>
  <c r="N274" i="54" s="1"/>
  <c r="BA300" i="53"/>
  <c r="BA308" i="53" s="1"/>
  <c r="BA304" i="54"/>
  <c r="HS13" i="54" l="1"/>
  <c r="HN11" i="54"/>
  <c r="F252" i="54" s="1"/>
  <c r="HR14" i="54"/>
  <c r="I264" i="54" s="1"/>
  <c r="HQ14" i="55" s="1"/>
  <c r="HZ12" i="54"/>
  <c r="G288" i="54" s="1"/>
  <c r="IF13" i="54"/>
  <c r="HT13" i="54"/>
  <c r="I302" i="54"/>
  <c r="I310" i="54" s="1"/>
  <c r="H265" i="54"/>
  <c r="I296" i="53"/>
  <c r="Q103" i="59" s="1"/>
  <c r="K296" i="53"/>
  <c r="Q104" i="59" s="1"/>
  <c r="Q105" i="59" s="1"/>
  <c r="IA11" i="54"/>
  <c r="IB11" i="54"/>
  <c r="IH11" i="54"/>
  <c r="HQ13" i="55"/>
  <c r="HV18" i="54"/>
  <c r="HX18" i="54" s="1"/>
  <c r="G268" i="54"/>
  <c r="G270" i="54" s="1"/>
  <c r="G271" i="54" s="1"/>
  <c r="G313" i="54"/>
  <c r="BB258" i="53"/>
  <c r="BB259" i="53" s="1"/>
  <c r="M297" i="53" s="1"/>
  <c r="U108" i="59" s="1"/>
  <c r="U105" i="59" s="1"/>
  <c r="G267" i="54"/>
  <c r="G305" i="55" s="1"/>
  <c r="J279" i="54"/>
  <c r="J302" i="54" s="1"/>
  <c r="J310" i="54" s="1"/>
  <c r="IG17" i="54"/>
  <c r="J281" i="54"/>
  <c r="L276" i="54"/>
  <c r="HU17" i="55" s="1"/>
  <c r="J314" i="54"/>
  <c r="HW17" i="54"/>
  <c r="J280" i="54"/>
  <c r="F269" i="54"/>
  <c r="F270" i="54" s="1"/>
  <c r="F271" i="54" s="1"/>
  <c r="G266" i="54"/>
  <c r="F313" i="54"/>
  <c r="F266" i="54"/>
  <c r="F267" i="54"/>
  <c r="F305" i="55" s="1"/>
  <c r="F289" i="54"/>
  <c r="F290" i="54" s="1"/>
  <c r="F285" i="55"/>
  <c r="HY11" i="55"/>
  <c r="I265" i="54"/>
  <c r="I269" i="54" s="1"/>
  <c r="I261" i="55"/>
  <c r="K277" i="54"/>
  <c r="K314" i="54" s="1"/>
  <c r="K273" i="55"/>
  <c r="HU16" i="55"/>
  <c r="E289" i="54"/>
  <c r="E315" i="54" s="1"/>
  <c r="E285" i="55"/>
  <c r="HY10" i="55"/>
  <c r="HT14" i="54"/>
  <c r="J262" i="54" a="1"/>
  <c r="J262" i="54" s="1"/>
  <c r="J263" i="54" s="1"/>
  <c r="IF14" i="54"/>
  <c r="G250" i="54" a="1"/>
  <c r="G250" i="54" s="1"/>
  <c r="G251" i="54" s="1"/>
  <c r="H286" i="54" a="1"/>
  <c r="H286" i="54" s="1"/>
  <c r="H287" i="54" s="1"/>
  <c r="M296" i="53"/>
  <c r="M109" i="59" s="1"/>
  <c r="M105" i="59" s="1"/>
  <c r="BB300" i="53"/>
  <c r="BB308" i="53" s="1"/>
  <c r="BB304" i="54"/>
  <c r="E252" i="54"/>
  <c r="IE10" i="54"/>
  <c r="HP10" i="54"/>
  <c r="HO10" i="54"/>
  <c r="IH12" i="54"/>
  <c r="IB12" i="54"/>
  <c r="N275" i="54"/>
  <c r="O274" i="54" a="1"/>
  <c r="O274" i="54" s="1"/>
  <c r="HO11" i="54"/>
  <c r="M276" i="54" l="1"/>
  <c r="HP11" i="54"/>
  <c r="IE11" i="54"/>
  <c r="IA12" i="54"/>
  <c r="HW18" i="54"/>
  <c r="IG18" i="54"/>
  <c r="HN12" i="54"/>
  <c r="IE12" i="54" s="1"/>
  <c r="HS14" i="54"/>
  <c r="HV19" i="54"/>
  <c r="HW19" i="54" s="1"/>
  <c r="HR15" i="54"/>
  <c r="J264" i="54" s="1"/>
  <c r="HZ13" i="54"/>
  <c r="IH13" i="54" s="1"/>
  <c r="H267" i="54"/>
  <c r="H266" i="54"/>
  <c r="H313" i="54"/>
  <c r="H269" i="54"/>
  <c r="H268" i="54"/>
  <c r="E291" i="54"/>
  <c r="E307" i="55" s="1"/>
  <c r="E293" i="54"/>
  <c r="E292" i="54"/>
  <c r="K279" i="54"/>
  <c r="K302" i="54" s="1"/>
  <c r="K310" i="54" s="1"/>
  <c r="L273" i="55"/>
  <c r="E290" i="54"/>
  <c r="F301" i="54"/>
  <c r="F309" i="54" s="1"/>
  <c r="L277" i="54"/>
  <c r="L281" i="54" s="1"/>
  <c r="G301" i="54"/>
  <c r="G309" i="54" s="1"/>
  <c r="I266" i="54"/>
  <c r="I313" i="54"/>
  <c r="F293" i="54"/>
  <c r="K280" i="54"/>
  <c r="K278" i="54"/>
  <c r="K281" i="54"/>
  <c r="I267" i="54"/>
  <c r="I305" i="55" s="1"/>
  <c r="I268" i="54"/>
  <c r="I270" i="54" s="1"/>
  <c r="I271" i="54" s="1"/>
  <c r="J306" i="55"/>
  <c r="V106" i="59"/>
  <c r="U107" i="59"/>
  <c r="U109" i="59" s="1"/>
  <c r="M107" i="59"/>
  <c r="N106" i="59"/>
  <c r="J282" i="54"/>
  <c r="J283" i="54" s="1"/>
  <c r="L279" i="54"/>
  <c r="L302" i="54" s="1"/>
  <c r="L310" i="54" s="1"/>
  <c r="F291" i="54"/>
  <c r="F303" i="54" s="1"/>
  <c r="F311" i="54" s="1"/>
  <c r="F292" i="54"/>
  <c r="F315" i="54"/>
  <c r="E253" i="54"/>
  <c r="E255" i="54" s="1"/>
  <c r="E249" i="55"/>
  <c r="HM10" i="55"/>
  <c r="F253" i="54"/>
  <c r="AH1" i="59" s="1"/>
  <c r="F249" i="55"/>
  <c r="HM11" i="55"/>
  <c r="M277" i="54"/>
  <c r="M280" i="54" s="1"/>
  <c r="M273" i="55"/>
  <c r="HU18" i="55"/>
  <c r="G289" i="54"/>
  <c r="G292" i="54" s="1"/>
  <c r="G285" i="55"/>
  <c r="HY12" i="55"/>
  <c r="I301" i="54"/>
  <c r="I309" i="54" s="1"/>
  <c r="I286" i="54" a="1"/>
  <c r="I286" i="54" s="1"/>
  <c r="I287" i="54" s="1"/>
  <c r="HZ14" i="54" s="1"/>
  <c r="H250" i="54" a="1"/>
  <c r="H250" i="54" s="1"/>
  <c r="I250" i="54" s="1" a="1"/>
  <c r="I250" i="54" s="1"/>
  <c r="I251" i="54" s="1"/>
  <c r="K262" i="54" a="1"/>
  <c r="K262" i="54" s="1"/>
  <c r="K263" i="54" s="1"/>
  <c r="HR16" i="54" s="1"/>
  <c r="K264" i="54" s="1"/>
  <c r="IF15" i="54"/>
  <c r="O275" i="54"/>
  <c r="P274" i="54" a="1"/>
  <c r="P274" i="54" s="1"/>
  <c r="HS15" i="54" l="1"/>
  <c r="IA13" i="54"/>
  <c r="G252" i="54"/>
  <c r="IG19" i="54"/>
  <c r="N276" i="54"/>
  <c r="HV20" i="54"/>
  <c r="IG20" i="54" s="1"/>
  <c r="HX19" i="54"/>
  <c r="E303" i="54"/>
  <c r="E311" i="54" s="1"/>
  <c r="HT15" i="54"/>
  <c r="H288" i="54"/>
  <c r="H285" i="55" s="1"/>
  <c r="IB13" i="54"/>
  <c r="HO12" i="54"/>
  <c r="F294" i="54"/>
  <c r="F295" i="54" s="1"/>
  <c r="H270" i="54"/>
  <c r="H271" i="54" s="1"/>
  <c r="HP12" i="54"/>
  <c r="L314" i="54"/>
  <c r="H305" i="55"/>
  <c r="H301" i="54"/>
  <c r="H309" i="54" s="1"/>
  <c r="E294" i="54"/>
  <c r="E295" i="54" s="1"/>
  <c r="F256" i="54"/>
  <c r="M281" i="54"/>
  <c r="K306" i="55"/>
  <c r="K282" i="54"/>
  <c r="K283" i="54" s="1"/>
  <c r="L278" i="54"/>
  <c r="L280" i="54"/>
  <c r="L282" i="54" s="1"/>
  <c r="L283" i="54" s="1"/>
  <c r="F307" i="55"/>
  <c r="F257" i="54"/>
  <c r="F254" i="54"/>
  <c r="G290" i="54"/>
  <c r="G291" i="54"/>
  <c r="G303" i="54" s="1"/>
  <c r="G311" i="54" s="1"/>
  <c r="F299" i="54"/>
  <c r="F255" i="54"/>
  <c r="F300" i="54" s="1"/>
  <c r="F308" i="54" s="1"/>
  <c r="F312" i="54"/>
  <c r="G315" i="54"/>
  <c r="G293" i="54"/>
  <c r="G294" i="54" s="1"/>
  <c r="G295" i="54" s="1"/>
  <c r="E312" i="54"/>
  <c r="AD1" i="59"/>
  <c r="L306" i="55"/>
  <c r="AH398" i="59"/>
  <c r="AH405" i="59"/>
  <c r="AH403" i="59"/>
  <c r="AH401" i="59"/>
  <c r="AH399" i="59"/>
  <c r="AH404" i="59"/>
  <c r="AH400" i="59"/>
  <c r="AH396" i="59"/>
  <c r="AH397" i="59"/>
  <c r="AH402" i="59"/>
  <c r="AH395" i="59"/>
  <c r="AH330" i="59"/>
  <c r="AH335" i="59"/>
  <c r="AH326" i="59"/>
  <c r="AH336" i="59"/>
  <c r="AH334" i="59"/>
  <c r="AH328" i="59"/>
  <c r="AH337" i="59"/>
  <c r="AH332" i="59"/>
  <c r="AH315" i="59"/>
  <c r="AH324" i="59"/>
  <c r="AH313" i="59"/>
  <c r="AH310" i="59"/>
  <c r="AH308" i="59"/>
  <c r="AH306" i="59"/>
  <c r="AH303" i="59"/>
  <c r="AH301" i="59"/>
  <c r="AH316" i="59"/>
  <c r="AH304" i="59"/>
  <c r="AH311" i="59"/>
  <c r="AH309" i="59"/>
  <c r="AH307" i="59"/>
  <c r="AH305" i="59"/>
  <c r="AH322" i="59"/>
  <c r="AH312" i="59"/>
  <c r="AH314" i="59"/>
  <c r="AH299" i="59"/>
  <c r="AH297" i="59"/>
  <c r="AH300" i="59"/>
  <c r="AH296" i="59"/>
  <c r="AH295" i="59"/>
  <c r="AH285" i="59"/>
  <c r="AH283" i="59"/>
  <c r="AH281" i="59"/>
  <c r="AH279" i="59"/>
  <c r="AH277" i="59"/>
  <c r="AH275" i="59"/>
  <c r="AH273" i="59"/>
  <c r="AH302" i="59"/>
  <c r="AH292" i="59"/>
  <c r="AH290" i="59"/>
  <c r="AH288" i="59"/>
  <c r="AH286" i="59"/>
  <c r="AH298" i="59"/>
  <c r="AH284" i="59"/>
  <c r="AH282" i="59"/>
  <c r="AH280" i="59"/>
  <c r="AH278" i="59"/>
  <c r="AH276" i="59"/>
  <c r="AH293" i="59"/>
  <c r="AH270" i="59"/>
  <c r="AH268" i="59"/>
  <c r="AH272" i="59"/>
  <c r="AH291" i="59"/>
  <c r="AH271" i="59"/>
  <c r="AH269" i="59"/>
  <c r="AH274" i="59"/>
  <c r="AH218" i="59"/>
  <c r="AH215" i="59"/>
  <c r="AH213" i="59"/>
  <c r="AH266" i="59"/>
  <c r="AH264" i="59"/>
  <c r="AH294" i="59"/>
  <c r="AH216" i="59"/>
  <c r="AH214" i="59"/>
  <c r="AH212" i="59"/>
  <c r="AH289" i="59"/>
  <c r="AH287" i="59"/>
  <c r="AH265" i="59"/>
  <c r="AH263" i="59"/>
  <c r="AH261" i="59"/>
  <c r="AH259" i="59"/>
  <c r="AH217" i="59"/>
  <c r="AH210" i="59"/>
  <c r="AH262" i="59"/>
  <c r="AH260" i="59"/>
  <c r="AH211" i="59"/>
  <c r="AH209" i="59"/>
  <c r="AH207" i="59"/>
  <c r="AH267" i="59"/>
  <c r="AH258" i="59"/>
  <c r="AH206" i="59"/>
  <c r="AH198" i="59"/>
  <c r="AH196" i="59"/>
  <c r="AH194" i="59"/>
  <c r="AH192" i="59"/>
  <c r="AH208" i="59"/>
  <c r="AH205" i="59"/>
  <c r="AH203" i="59"/>
  <c r="AH201" i="59"/>
  <c r="AH199" i="59"/>
  <c r="AH204" i="59"/>
  <c r="AH202" i="59"/>
  <c r="AH200" i="59"/>
  <c r="AH183" i="59"/>
  <c r="AH193" i="59"/>
  <c r="AH185" i="59"/>
  <c r="AH195" i="59"/>
  <c r="AH191" i="59"/>
  <c r="AH186" i="59"/>
  <c r="AH184" i="59"/>
  <c r="AH197" i="59"/>
  <c r="AH190" i="59"/>
  <c r="AH189" i="59"/>
  <c r="AH188" i="59"/>
  <c r="AH187" i="59"/>
  <c r="AH180" i="59"/>
  <c r="AH178" i="59"/>
  <c r="AH176" i="59"/>
  <c r="AH174" i="59"/>
  <c r="AH172" i="59"/>
  <c r="AH182" i="59"/>
  <c r="AH181" i="59"/>
  <c r="AH177" i="59"/>
  <c r="AH104" i="59"/>
  <c r="AH103" i="59"/>
  <c r="AH102" i="59"/>
  <c r="AH171" i="59"/>
  <c r="AH179" i="59"/>
  <c r="AH175" i="59"/>
  <c r="AH89" i="59"/>
  <c r="AH90" i="59"/>
  <c r="AH84" i="59"/>
  <c r="AH88" i="59"/>
  <c r="AH173" i="59"/>
  <c r="AH71" i="59"/>
  <c r="AH69" i="59"/>
  <c r="AH67" i="59"/>
  <c r="AH85" i="59"/>
  <c r="AH87" i="59"/>
  <c r="AH82" i="59"/>
  <c r="AH81" i="59"/>
  <c r="AH78" i="59"/>
  <c r="AH77" i="59"/>
  <c r="AH74" i="59"/>
  <c r="AH65" i="59"/>
  <c r="AH63" i="59"/>
  <c r="AH61" i="59"/>
  <c r="AH72" i="59"/>
  <c r="AH59" i="59"/>
  <c r="AH57" i="59"/>
  <c r="AH54" i="59"/>
  <c r="AH70" i="59"/>
  <c r="AH68" i="59"/>
  <c r="AH83" i="59"/>
  <c r="AH66" i="59"/>
  <c r="AH86" i="59"/>
  <c r="AH80" i="59"/>
  <c r="AH79" i="59"/>
  <c r="AH76" i="59"/>
  <c r="AH75" i="59"/>
  <c r="AH73" i="59"/>
  <c r="AH60" i="59"/>
  <c r="AH52" i="59"/>
  <c r="AH50" i="59"/>
  <c r="AH48" i="59"/>
  <c r="AH46" i="59"/>
  <c r="AH44" i="59"/>
  <c r="AH58" i="59"/>
  <c r="AH42" i="59"/>
  <c r="AH40" i="59"/>
  <c r="AH38" i="59"/>
  <c r="AH62" i="59"/>
  <c r="AH55" i="59"/>
  <c r="AH64" i="59"/>
  <c r="AH36" i="59"/>
  <c r="AH35" i="59"/>
  <c r="AH56" i="59"/>
  <c r="AH53" i="59"/>
  <c r="AH51" i="59"/>
  <c r="AH49" i="59"/>
  <c r="AH47" i="59"/>
  <c r="AH45" i="59"/>
  <c r="AH43" i="59"/>
  <c r="AH41" i="59"/>
  <c r="AH39" i="59"/>
  <c r="AH30" i="59"/>
  <c r="AH28" i="59"/>
  <c r="AH26" i="59"/>
  <c r="AH24" i="59"/>
  <c r="AH22" i="59"/>
  <c r="AH20" i="59"/>
  <c r="AH18" i="59"/>
  <c r="AH16" i="59"/>
  <c r="AH14" i="59"/>
  <c r="AH12" i="59"/>
  <c r="AH10" i="59"/>
  <c r="AH32" i="59"/>
  <c r="AH37" i="59"/>
  <c r="AH33" i="59"/>
  <c r="AH31" i="59"/>
  <c r="AH29" i="59"/>
  <c r="AH27" i="59"/>
  <c r="AH25" i="59"/>
  <c r="AH23" i="59"/>
  <c r="AH21" i="59"/>
  <c r="AH19" i="59"/>
  <c r="AH17" i="59"/>
  <c r="AH15" i="59"/>
  <c r="AH13" i="59"/>
  <c r="AH11" i="59"/>
  <c r="AH9" i="59"/>
  <c r="AH34" i="59"/>
  <c r="E299" i="54"/>
  <c r="E256" i="54"/>
  <c r="M314" i="54"/>
  <c r="E254" i="54"/>
  <c r="M279" i="54"/>
  <c r="M302" i="54" s="1"/>
  <c r="M310" i="54" s="1"/>
  <c r="E257" i="54"/>
  <c r="M278" i="54"/>
  <c r="G253" i="54"/>
  <c r="AL1" i="59" s="1"/>
  <c r="G249" i="55"/>
  <c r="HM12" i="55"/>
  <c r="N277" i="54"/>
  <c r="N314" i="54" s="1"/>
  <c r="N273" i="55"/>
  <c r="HU19" i="55"/>
  <c r="E300" i="54"/>
  <c r="E308" i="54" s="1"/>
  <c r="E304" i="55"/>
  <c r="J265" i="54"/>
  <c r="J313" i="54" s="1"/>
  <c r="J261" i="55"/>
  <c r="HQ15" i="55"/>
  <c r="K265" i="54"/>
  <c r="K313" i="54" s="1"/>
  <c r="K261" i="55"/>
  <c r="HQ16" i="55"/>
  <c r="H251" i="54"/>
  <c r="HN13" i="54" s="1"/>
  <c r="H252" i="54" s="1"/>
  <c r="J286" i="54" a="1"/>
  <c r="J286" i="54" s="1"/>
  <c r="K286" i="54" s="1" a="1"/>
  <c r="K286" i="54" s="1"/>
  <c r="K287" i="54" s="1"/>
  <c r="J250" i="54" a="1"/>
  <c r="J250" i="54" s="1"/>
  <c r="J251" i="54" s="1"/>
  <c r="L262" i="54" a="1"/>
  <c r="L262" i="54" s="1"/>
  <c r="L263" i="54" s="1"/>
  <c r="HR17" i="54" s="1"/>
  <c r="IF16" i="54"/>
  <c r="HS16" i="54"/>
  <c r="HT16" i="54"/>
  <c r="M282" i="54"/>
  <c r="M283" i="54" s="1"/>
  <c r="P275" i="54"/>
  <c r="Q274" i="54" a="1"/>
  <c r="Q274" i="54" s="1"/>
  <c r="O276" i="54"/>
  <c r="HX20" i="54"/>
  <c r="I288" i="54"/>
  <c r="IB14" i="54"/>
  <c r="IA14" i="54"/>
  <c r="IH14" i="54"/>
  <c r="HV21" i="54" l="1"/>
  <c r="P276" i="54" s="1"/>
  <c r="HW20" i="54"/>
  <c r="HY13" i="55"/>
  <c r="F258" i="54"/>
  <c r="F259" i="54" s="1"/>
  <c r="F304" i="55"/>
  <c r="G307" i="55"/>
  <c r="H289" i="54"/>
  <c r="H291" i="54" s="1"/>
  <c r="E258" i="54"/>
  <c r="E259" i="54" s="1"/>
  <c r="AH340" i="59"/>
  <c r="AH428" i="59"/>
  <c r="AH430" i="59" s="1"/>
  <c r="AH431" i="59" s="1"/>
  <c r="AH98" i="59" s="1"/>
  <c r="AL404" i="59"/>
  <c r="AL402" i="59"/>
  <c r="AL400" i="59"/>
  <c r="AL405" i="59"/>
  <c r="AL395" i="59"/>
  <c r="AL401" i="59"/>
  <c r="AL397" i="59"/>
  <c r="AL399" i="59"/>
  <c r="AL398" i="59"/>
  <c r="AL337" i="59"/>
  <c r="AL403" i="59"/>
  <c r="AL396" i="59"/>
  <c r="AL332" i="59"/>
  <c r="AL336" i="59"/>
  <c r="AL328" i="59"/>
  <c r="AL334" i="59"/>
  <c r="AL335" i="59"/>
  <c r="AL326" i="59"/>
  <c r="AL315" i="59"/>
  <c r="AL330" i="59"/>
  <c r="AL316" i="59"/>
  <c r="AL322" i="59"/>
  <c r="AL314" i="59"/>
  <c r="AL324" i="59"/>
  <c r="AL311" i="59"/>
  <c r="AL309" i="59"/>
  <c r="AL307" i="59"/>
  <c r="AL305" i="59"/>
  <c r="AL302" i="59"/>
  <c r="AL312" i="59"/>
  <c r="AL310" i="59"/>
  <c r="AL308" i="59"/>
  <c r="AL306" i="59"/>
  <c r="AL301" i="59"/>
  <c r="AL298" i="59"/>
  <c r="AL300" i="59"/>
  <c r="AL304" i="59"/>
  <c r="AL303" i="59"/>
  <c r="AL313" i="59"/>
  <c r="AL299" i="59"/>
  <c r="AL284" i="59"/>
  <c r="AL282" i="59"/>
  <c r="AL280" i="59"/>
  <c r="AL278" i="59"/>
  <c r="AL276" i="59"/>
  <c r="AL274" i="59"/>
  <c r="AL293" i="59"/>
  <c r="AL291" i="59"/>
  <c r="AL289" i="59"/>
  <c r="AL287" i="59"/>
  <c r="AL295" i="59"/>
  <c r="AL294" i="59"/>
  <c r="AL285" i="59"/>
  <c r="AL283" i="59"/>
  <c r="AL281" i="59"/>
  <c r="AL279" i="59"/>
  <c r="AL277" i="59"/>
  <c r="AL271" i="59"/>
  <c r="AL269" i="59"/>
  <c r="AL286" i="59"/>
  <c r="AL275" i="59"/>
  <c r="AL273" i="59"/>
  <c r="AL292" i="59"/>
  <c r="AL270" i="59"/>
  <c r="AL288" i="59"/>
  <c r="AL216" i="59"/>
  <c r="AL214" i="59"/>
  <c r="AL297" i="59"/>
  <c r="AL265" i="59"/>
  <c r="AL296" i="59"/>
  <c r="AL290" i="59"/>
  <c r="AL217" i="59"/>
  <c r="AL272" i="59"/>
  <c r="AL267" i="59"/>
  <c r="AL218" i="59"/>
  <c r="AL215" i="59"/>
  <c r="AL213" i="59"/>
  <c r="AL266" i="59"/>
  <c r="AL264" i="59"/>
  <c r="AL262" i="59"/>
  <c r="AL260" i="59"/>
  <c r="AL258" i="59"/>
  <c r="AL268" i="59"/>
  <c r="AL211" i="59"/>
  <c r="AL263" i="59"/>
  <c r="AL212" i="59"/>
  <c r="AL210" i="59"/>
  <c r="AL208" i="59"/>
  <c r="AL261" i="59"/>
  <c r="AL259" i="59"/>
  <c r="AL209" i="59"/>
  <c r="AL197" i="59"/>
  <c r="AL195" i="59"/>
  <c r="AL193" i="59"/>
  <c r="AL207" i="59"/>
  <c r="AL204" i="59"/>
  <c r="AL202" i="59"/>
  <c r="AL200" i="59"/>
  <c r="AL206" i="59"/>
  <c r="AL205" i="59"/>
  <c r="AL203" i="59"/>
  <c r="AL201" i="59"/>
  <c r="AL199" i="59"/>
  <c r="AL189" i="59"/>
  <c r="AL190" i="59"/>
  <c r="AL187" i="59"/>
  <c r="AL182" i="59"/>
  <c r="AL198" i="59"/>
  <c r="AL192" i="59"/>
  <c r="AL188" i="59"/>
  <c r="AL194" i="59"/>
  <c r="AL196" i="59"/>
  <c r="AL181" i="59"/>
  <c r="AL179" i="59"/>
  <c r="AL177" i="59"/>
  <c r="AL175" i="59"/>
  <c r="AL173" i="59"/>
  <c r="AL183" i="59"/>
  <c r="AL191" i="59"/>
  <c r="AL186" i="59"/>
  <c r="AL172" i="59"/>
  <c r="AL185" i="59"/>
  <c r="AL171" i="59"/>
  <c r="AL176" i="59"/>
  <c r="AL184" i="59"/>
  <c r="AL174" i="59"/>
  <c r="AL180" i="59"/>
  <c r="AL178" i="59"/>
  <c r="AL103" i="59"/>
  <c r="AL90" i="59"/>
  <c r="AL102" i="59"/>
  <c r="AL88" i="59"/>
  <c r="AL89" i="59"/>
  <c r="AL104" i="59"/>
  <c r="AL87" i="59"/>
  <c r="AL85" i="59"/>
  <c r="AL72" i="59"/>
  <c r="AL70" i="59"/>
  <c r="AL68" i="59"/>
  <c r="AL83" i="59"/>
  <c r="AL66" i="59"/>
  <c r="AL80" i="59"/>
  <c r="AL79" i="59"/>
  <c r="AL76" i="59"/>
  <c r="AL75" i="59"/>
  <c r="AL73" i="59"/>
  <c r="AL64" i="59"/>
  <c r="AL62" i="59"/>
  <c r="AL84" i="59"/>
  <c r="AL71" i="59"/>
  <c r="AL60" i="59"/>
  <c r="AL58" i="59"/>
  <c r="AL56" i="59"/>
  <c r="AL69" i="59"/>
  <c r="AL67" i="59"/>
  <c r="AL86" i="59"/>
  <c r="AL82" i="59"/>
  <c r="AL81" i="59"/>
  <c r="AL78" i="59"/>
  <c r="AL77" i="59"/>
  <c r="AL74" i="59"/>
  <c r="AL63" i="59"/>
  <c r="AL65" i="59"/>
  <c r="AL55" i="59"/>
  <c r="AL53" i="59"/>
  <c r="AL51" i="59"/>
  <c r="AL49" i="59"/>
  <c r="AL47" i="59"/>
  <c r="AL45" i="59"/>
  <c r="AL43" i="59"/>
  <c r="AL41" i="59"/>
  <c r="AL39" i="59"/>
  <c r="AL37" i="59"/>
  <c r="AL61" i="59"/>
  <c r="AL57" i="59"/>
  <c r="AL59" i="59"/>
  <c r="AL52" i="59"/>
  <c r="AL50" i="59"/>
  <c r="AL48" i="59"/>
  <c r="AL46" i="59"/>
  <c r="AL44" i="59"/>
  <c r="AL54" i="59"/>
  <c r="AL42" i="59"/>
  <c r="AL40" i="59"/>
  <c r="AL36" i="59"/>
  <c r="AL35" i="59"/>
  <c r="AL31" i="59"/>
  <c r="AL29" i="59"/>
  <c r="AL27" i="59"/>
  <c r="AL25" i="59"/>
  <c r="AL23" i="59"/>
  <c r="AL21" i="59"/>
  <c r="AL19" i="59"/>
  <c r="AL17" i="59"/>
  <c r="AL15" i="59"/>
  <c r="AL13" i="59"/>
  <c r="AL11" i="59"/>
  <c r="AL9" i="59"/>
  <c r="AL33" i="59"/>
  <c r="AL38" i="59"/>
  <c r="AL34" i="59"/>
  <c r="AL30" i="59"/>
  <c r="AL28" i="59"/>
  <c r="AL26" i="59"/>
  <c r="AL24" i="59"/>
  <c r="AL22" i="59"/>
  <c r="AL20" i="59"/>
  <c r="AL18" i="59"/>
  <c r="AL16" i="59"/>
  <c r="AL14" i="59"/>
  <c r="AL12" i="59"/>
  <c r="AL10" i="59"/>
  <c r="AL32" i="59"/>
  <c r="AH91" i="59"/>
  <c r="AH93" i="59"/>
  <c r="AH342" i="59"/>
  <c r="AH341" i="59"/>
  <c r="AH251" i="59"/>
  <c r="AH254" i="59" s="1"/>
  <c r="AH255" i="59" s="1"/>
  <c r="AH92" i="59"/>
  <c r="AD404" i="59"/>
  <c r="AD402" i="59"/>
  <c r="AD400" i="59"/>
  <c r="AD405" i="59"/>
  <c r="AD398" i="59"/>
  <c r="AD397" i="59"/>
  <c r="AD395" i="59"/>
  <c r="AD401" i="59"/>
  <c r="AD337" i="59"/>
  <c r="AD399" i="59"/>
  <c r="AD396" i="59"/>
  <c r="AD332" i="59"/>
  <c r="AD336" i="59"/>
  <c r="AD328" i="59"/>
  <c r="AD334" i="59"/>
  <c r="AD403" i="59"/>
  <c r="AD335" i="59"/>
  <c r="AD315" i="59"/>
  <c r="AD316" i="59"/>
  <c r="AD326" i="59"/>
  <c r="AD330" i="59"/>
  <c r="AD322" i="59"/>
  <c r="AD314" i="59"/>
  <c r="AD312" i="59"/>
  <c r="AD309" i="59"/>
  <c r="AD307" i="59"/>
  <c r="AD305" i="59"/>
  <c r="AD302" i="59"/>
  <c r="AD313" i="59"/>
  <c r="AD310" i="59"/>
  <c r="AD308" i="59"/>
  <c r="AD306" i="59"/>
  <c r="AD311" i="59"/>
  <c r="AD303" i="59"/>
  <c r="AD300" i="59"/>
  <c r="AD298" i="59"/>
  <c r="AD324" i="59"/>
  <c r="AD301" i="59"/>
  <c r="AD304" i="59"/>
  <c r="AD284" i="59"/>
  <c r="AD282" i="59"/>
  <c r="AD280" i="59"/>
  <c r="AD278" i="59"/>
  <c r="AD276" i="59"/>
  <c r="AD274" i="59"/>
  <c r="AD295" i="59"/>
  <c r="AD294" i="59"/>
  <c r="AD293" i="59"/>
  <c r="AD299" i="59"/>
  <c r="AD291" i="59"/>
  <c r="AD289" i="59"/>
  <c r="AD287" i="59"/>
  <c r="AD297" i="59"/>
  <c r="AD296" i="59"/>
  <c r="AD285" i="59"/>
  <c r="AD283" i="59"/>
  <c r="AD281" i="59"/>
  <c r="AD279" i="59"/>
  <c r="AD277" i="59"/>
  <c r="AD272" i="59"/>
  <c r="AD290" i="59"/>
  <c r="AD271" i="59"/>
  <c r="AD269" i="59"/>
  <c r="AD288" i="59"/>
  <c r="AD286" i="59"/>
  <c r="AD270" i="59"/>
  <c r="AD275" i="59"/>
  <c r="AD216" i="59"/>
  <c r="AD214" i="59"/>
  <c r="AD273" i="59"/>
  <c r="AD265" i="59"/>
  <c r="AD217" i="59"/>
  <c r="AD267" i="59"/>
  <c r="AD268" i="59"/>
  <c r="AD218" i="59"/>
  <c r="AD215" i="59"/>
  <c r="AD213" i="59"/>
  <c r="AD266" i="59"/>
  <c r="AD264" i="59"/>
  <c r="AD262" i="59"/>
  <c r="AD260" i="59"/>
  <c r="AD258" i="59"/>
  <c r="AD292" i="59"/>
  <c r="AD211" i="59"/>
  <c r="AD259" i="59"/>
  <c r="AD212" i="59"/>
  <c r="AD210" i="59"/>
  <c r="AD208" i="59"/>
  <c r="AD263" i="59"/>
  <c r="AD261" i="59"/>
  <c r="AD197" i="59"/>
  <c r="AD195" i="59"/>
  <c r="AD193" i="59"/>
  <c r="AD204" i="59"/>
  <c r="AD202" i="59"/>
  <c r="AD200" i="59"/>
  <c r="AD206" i="59"/>
  <c r="AD209" i="59"/>
  <c r="AD207" i="59"/>
  <c r="AD205" i="59"/>
  <c r="AD203" i="59"/>
  <c r="AD201" i="59"/>
  <c r="AD199" i="59"/>
  <c r="AD191" i="59"/>
  <c r="AD185" i="59"/>
  <c r="AD183" i="59"/>
  <c r="AD181" i="59"/>
  <c r="AD179" i="59"/>
  <c r="AD177" i="59"/>
  <c r="AD175" i="59"/>
  <c r="AD173" i="59"/>
  <c r="AD198" i="59"/>
  <c r="AD192" i="59"/>
  <c r="AD189" i="59"/>
  <c r="AD186" i="59"/>
  <c r="AD184" i="59"/>
  <c r="AD194" i="59"/>
  <c r="AD196" i="59"/>
  <c r="AD188" i="59"/>
  <c r="AD182" i="59"/>
  <c r="AD176" i="59"/>
  <c r="AD171" i="59"/>
  <c r="AD190" i="59"/>
  <c r="AD180" i="59"/>
  <c r="AD178" i="59"/>
  <c r="AD187" i="59"/>
  <c r="AD102" i="59"/>
  <c r="AD90" i="59"/>
  <c r="AD88" i="59"/>
  <c r="AD174" i="59"/>
  <c r="AD104" i="59"/>
  <c r="AD89" i="59"/>
  <c r="AD103" i="59"/>
  <c r="AD172" i="59"/>
  <c r="AD87" i="59"/>
  <c r="AD72" i="59"/>
  <c r="AD86" i="59"/>
  <c r="AD70" i="59"/>
  <c r="AD68" i="59"/>
  <c r="AD84" i="59"/>
  <c r="AD83" i="59"/>
  <c r="AD66" i="59"/>
  <c r="AD80" i="59"/>
  <c r="AD79" i="59"/>
  <c r="AD76" i="59"/>
  <c r="AD75" i="59"/>
  <c r="AD73" i="59"/>
  <c r="AD64" i="59"/>
  <c r="AD62" i="59"/>
  <c r="AD71" i="59"/>
  <c r="AD60" i="59"/>
  <c r="AD58" i="59"/>
  <c r="AD56" i="59"/>
  <c r="AD85" i="59"/>
  <c r="AD69" i="59"/>
  <c r="AD67" i="59"/>
  <c r="AD82" i="59"/>
  <c r="AD81" i="59"/>
  <c r="AD78" i="59"/>
  <c r="AD77" i="59"/>
  <c r="AD74" i="59"/>
  <c r="AD55" i="59"/>
  <c r="AD65" i="59"/>
  <c r="AD63" i="59"/>
  <c r="AD59" i="59"/>
  <c r="AD57" i="59"/>
  <c r="AD53" i="59"/>
  <c r="AD51" i="59"/>
  <c r="AD49" i="59"/>
  <c r="AD47" i="59"/>
  <c r="AD45" i="59"/>
  <c r="AD43" i="59"/>
  <c r="AD41" i="59"/>
  <c r="AD39" i="59"/>
  <c r="AD37" i="59"/>
  <c r="AD54" i="59"/>
  <c r="AD52" i="59"/>
  <c r="AD50" i="59"/>
  <c r="AD48" i="59"/>
  <c r="AD46" i="59"/>
  <c r="AD44" i="59"/>
  <c r="AD61" i="59"/>
  <c r="AD34" i="59"/>
  <c r="AD33" i="59"/>
  <c r="AD31" i="59"/>
  <c r="AD29" i="59"/>
  <c r="AD27" i="59"/>
  <c r="AD25" i="59"/>
  <c r="AD23" i="59"/>
  <c r="AD21" i="59"/>
  <c r="AD19" i="59"/>
  <c r="AD17" i="59"/>
  <c r="AD15" i="59"/>
  <c r="AD13" i="59"/>
  <c r="AD11" i="59"/>
  <c r="AD9" i="59"/>
  <c r="AD42" i="59"/>
  <c r="AD40" i="59"/>
  <c r="AD36" i="59"/>
  <c r="AD35" i="59"/>
  <c r="AD32" i="59"/>
  <c r="AD30" i="59"/>
  <c r="AD28" i="59"/>
  <c r="AD26" i="59"/>
  <c r="AD24" i="59"/>
  <c r="AD22" i="59"/>
  <c r="AD20" i="59"/>
  <c r="AD18" i="59"/>
  <c r="AD16" i="59"/>
  <c r="AD14" i="59"/>
  <c r="AD12" i="59"/>
  <c r="AD10" i="59"/>
  <c r="AD38" i="59"/>
  <c r="N278" i="54"/>
  <c r="J267" i="54"/>
  <c r="J301" i="54" s="1"/>
  <c r="J309" i="54" s="1"/>
  <c r="N279" i="54"/>
  <c r="N306" i="55" s="1"/>
  <c r="N281" i="54"/>
  <c r="N280" i="54"/>
  <c r="M306" i="55"/>
  <c r="J268" i="54"/>
  <c r="K266" i="54"/>
  <c r="HP13" i="54"/>
  <c r="HO13" i="54"/>
  <c r="IE13" i="54"/>
  <c r="J269" i="54"/>
  <c r="K268" i="54"/>
  <c r="K269" i="54"/>
  <c r="I289" i="54"/>
  <c r="I290" i="54" s="1"/>
  <c r="I285" i="55"/>
  <c r="HY14" i="55"/>
  <c r="J266" i="54"/>
  <c r="K267" i="54"/>
  <c r="H253" i="54"/>
  <c r="AP1" i="59" s="1"/>
  <c r="H249" i="55"/>
  <c r="HM13" i="55"/>
  <c r="O277" i="54"/>
  <c r="O278" i="54" s="1"/>
  <c r="O273" i="55"/>
  <c r="HU20" i="55"/>
  <c r="HN14" i="54"/>
  <c r="HP14" i="54" s="1"/>
  <c r="G312" i="54"/>
  <c r="G299" i="54"/>
  <c r="G256" i="54"/>
  <c r="G255" i="54"/>
  <c r="G257" i="54"/>
  <c r="G254" i="54"/>
  <c r="J287" i="54"/>
  <c r="HZ15" i="54" s="1"/>
  <c r="IH15" i="54" s="1"/>
  <c r="M262" i="54" a="1"/>
  <c r="M262" i="54" s="1"/>
  <c r="M263" i="54" s="1"/>
  <c r="HR18" i="54" s="1"/>
  <c r="M264" i="54" s="1"/>
  <c r="K250" i="54" a="1"/>
  <c r="K250" i="54" s="1"/>
  <c r="L250" i="54" s="1" a="1"/>
  <c r="L250" i="54" s="1"/>
  <c r="L286" i="54" a="1"/>
  <c r="L286" i="54" s="1"/>
  <c r="M286" i="54" s="1" a="1"/>
  <c r="M286" i="54" s="1"/>
  <c r="HS17" i="54"/>
  <c r="IF17" i="54"/>
  <c r="L264" i="54"/>
  <c r="HT17" i="54"/>
  <c r="Q275" i="54"/>
  <c r="R274" i="54" a="1"/>
  <c r="R274" i="54" s="1"/>
  <c r="H315" i="54" l="1"/>
  <c r="HW21" i="54"/>
  <c r="IG21" i="54"/>
  <c r="HX21" i="54"/>
  <c r="HV22" i="54"/>
  <c r="H293" i="54"/>
  <c r="H292" i="54"/>
  <c r="H290" i="54"/>
  <c r="H256" i="54"/>
  <c r="H257" i="54"/>
  <c r="H254" i="54"/>
  <c r="H312" i="54"/>
  <c r="N282" i="54"/>
  <c r="N283" i="54" s="1"/>
  <c r="HO14" i="54"/>
  <c r="IE14" i="54"/>
  <c r="AS317" i="55"/>
  <c r="N302" i="54"/>
  <c r="N310" i="54" s="1"/>
  <c r="H299" i="54"/>
  <c r="H255" i="54"/>
  <c r="H300" i="54" s="1"/>
  <c r="H308" i="54" s="1"/>
  <c r="J288" i="54"/>
  <c r="HY15" i="55" s="1"/>
  <c r="O280" i="54"/>
  <c r="O279" i="54"/>
  <c r="O302" i="54" s="1"/>
  <c r="O310" i="54" s="1"/>
  <c r="AH343" i="59"/>
  <c r="AH344" i="59" s="1"/>
  <c r="AH97" i="59" s="1"/>
  <c r="O314" i="54"/>
  <c r="AH94" i="59"/>
  <c r="AH96" i="59" s="1"/>
  <c r="J270" i="54"/>
  <c r="J271" i="54" s="1"/>
  <c r="I315" i="54"/>
  <c r="AL93" i="59"/>
  <c r="I291" i="54"/>
  <c r="I303" i="54" s="1"/>
  <c r="I311" i="54" s="1"/>
  <c r="I293" i="54"/>
  <c r="I292" i="54"/>
  <c r="O281" i="54"/>
  <c r="I252" i="54"/>
  <c r="I249" i="55" s="1"/>
  <c r="J305" i="55"/>
  <c r="AD91" i="59"/>
  <c r="AD93" i="59"/>
  <c r="AL92" i="59"/>
  <c r="AD251" i="59"/>
  <c r="AD254" i="59" s="1"/>
  <c r="AD255" i="59" s="1"/>
  <c r="AD340" i="59"/>
  <c r="AL91" i="59"/>
  <c r="AL342" i="59"/>
  <c r="AL428" i="59"/>
  <c r="AL430" i="59" s="1"/>
  <c r="AL431" i="59" s="1"/>
  <c r="AL98" i="59" s="1"/>
  <c r="AP398" i="59"/>
  <c r="AP405" i="59"/>
  <c r="AP403" i="59"/>
  <c r="AP401" i="59"/>
  <c r="AP399" i="59"/>
  <c r="AP404" i="59"/>
  <c r="AP397" i="59"/>
  <c r="AP396" i="59"/>
  <c r="AP402" i="59"/>
  <c r="AP400" i="59"/>
  <c r="AP395" i="59"/>
  <c r="AP330" i="59"/>
  <c r="AP335" i="59"/>
  <c r="AP326" i="59"/>
  <c r="AP337" i="59"/>
  <c r="AP336" i="59"/>
  <c r="AP334" i="59"/>
  <c r="AP332" i="59"/>
  <c r="AP328" i="59"/>
  <c r="AP315" i="59"/>
  <c r="AP324" i="59"/>
  <c r="AP313" i="59"/>
  <c r="AP316" i="59"/>
  <c r="AP308" i="59"/>
  <c r="AP306" i="59"/>
  <c r="AP303" i="59"/>
  <c r="AP301" i="59"/>
  <c r="AP304" i="59"/>
  <c r="AP322" i="59"/>
  <c r="AP314" i="59"/>
  <c r="AP311" i="59"/>
  <c r="AP309" i="59"/>
  <c r="AP307" i="59"/>
  <c r="AP305" i="59"/>
  <c r="AP312" i="59"/>
  <c r="AP300" i="59"/>
  <c r="AP310" i="59"/>
  <c r="AP299" i="59"/>
  <c r="AP297" i="59"/>
  <c r="AP302" i="59"/>
  <c r="AP294" i="59"/>
  <c r="AP298" i="59"/>
  <c r="AP285" i="59"/>
  <c r="AP283" i="59"/>
  <c r="AP281" i="59"/>
  <c r="AP279" i="59"/>
  <c r="AP277" i="59"/>
  <c r="AP275" i="59"/>
  <c r="AP273" i="59"/>
  <c r="AP296" i="59"/>
  <c r="AP295" i="59"/>
  <c r="AP292" i="59"/>
  <c r="AP290" i="59"/>
  <c r="AP288" i="59"/>
  <c r="AP286" i="59"/>
  <c r="AP284" i="59"/>
  <c r="AP282" i="59"/>
  <c r="AP280" i="59"/>
  <c r="AP278" i="59"/>
  <c r="AP276" i="59"/>
  <c r="AP293" i="59"/>
  <c r="AP270" i="59"/>
  <c r="AP268" i="59"/>
  <c r="AP291" i="59"/>
  <c r="AP289" i="59"/>
  <c r="AP274" i="59"/>
  <c r="AP272" i="59"/>
  <c r="AP271" i="59"/>
  <c r="AP269" i="59"/>
  <c r="AP267" i="59"/>
  <c r="AP218" i="59"/>
  <c r="AP215" i="59"/>
  <c r="AP213" i="59"/>
  <c r="AP266" i="59"/>
  <c r="AP264" i="59"/>
  <c r="AP287" i="59"/>
  <c r="AP216" i="59"/>
  <c r="AP214" i="59"/>
  <c r="AP212" i="59"/>
  <c r="AP265" i="59"/>
  <c r="AP263" i="59"/>
  <c r="AP261" i="59"/>
  <c r="AP259" i="59"/>
  <c r="AP217" i="59"/>
  <c r="AP210" i="59"/>
  <c r="AP260" i="59"/>
  <c r="AP258" i="59"/>
  <c r="AP209" i="59"/>
  <c r="AP207" i="59"/>
  <c r="AP211" i="59"/>
  <c r="AP262" i="59"/>
  <c r="AP198" i="59"/>
  <c r="AP196" i="59"/>
  <c r="AP194" i="59"/>
  <c r="AP192" i="59"/>
  <c r="AP206" i="59"/>
  <c r="AP205" i="59"/>
  <c r="AP203" i="59"/>
  <c r="AP201" i="59"/>
  <c r="AP199" i="59"/>
  <c r="AP208" i="59"/>
  <c r="AP204" i="59"/>
  <c r="AP202" i="59"/>
  <c r="AP200" i="59"/>
  <c r="AP197" i="59"/>
  <c r="AP183" i="59"/>
  <c r="AP185" i="59"/>
  <c r="AP184" i="59"/>
  <c r="AP186" i="59"/>
  <c r="AP180" i="59"/>
  <c r="AP178" i="59"/>
  <c r="AP176" i="59"/>
  <c r="AP174" i="59"/>
  <c r="AP172" i="59"/>
  <c r="AP191" i="59"/>
  <c r="AP193" i="59"/>
  <c r="AP195" i="59"/>
  <c r="AP188" i="59"/>
  <c r="AP187" i="59"/>
  <c r="AP173" i="59"/>
  <c r="AP179" i="59"/>
  <c r="AP190" i="59"/>
  <c r="AP177" i="59"/>
  <c r="AP104" i="59"/>
  <c r="AP103" i="59"/>
  <c r="AP102" i="59"/>
  <c r="AP182" i="59"/>
  <c r="AP181" i="59"/>
  <c r="AP175" i="59"/>
  <c r="AP171" i="59"/>
  <c r="AP189" i="59"/>
  <c r="AP89" i="59"/>
  <c r="AP90" i="59"/>
  <c r="AP84" i="59"/>
  <c r="AP88" i="59"/>
  <c r="AP71" i="59"/>
  <c r="AP87" i="59"/>
  <c r="AP69" i="59"/>
  <c r="AP67" i="59"/>
  <c r="AP82" i="59"/>
  <c r="AP81" i="59"/>
  <c r="AP78" i="59"/>
  <c r="AP77" i="59"/>
  <c r="AP74" i="59"/>
  <c r="AP65" i="59"/>
  <c r="AP63" i="59"/>
  <c r="AP61" i="59"/>
  <c r="AP86" i="59"/>
  <c r="AP72" i="59"/>
  <c r="AP59" i="59"/>
  <c r="AP57" i="59"/>
  <c r="AP54" i="59"/>
  <c r="AP85" i="59"/>
  <c r="AP70" i="59"/>
  <c r="AP68" i="59"/>
  <c r="AP83" i="59"/>
  <c r="AP66" i="59"/>
  <c r="AP80" i="59"/>
  <c r="AP79" i="59"/>
  <c r="AP76" i="59"/>
  <c r="AP75" i="59"/>
  <c r="AP73" i="59"/>
  <c r="AP62" i="59"/>
  <c r="AP52" i="59"/>
  <c r="AP50" i="59"/>
  <c r="AP48" i="59"/>
  <c r="AP46" i="59"/>
  <c r="AP44" i="59"/>
  <c r="AP42" i="59"/>
  <c r="AP40" i="59"/>
  <c r="AP38" i="59"/>
  <c r="AP64" i="59"/>
  <c r="AP55" i="59"/>
  <c r="AP36" i="59"/>
  <c r="AP35" i="59"/>
  <c r="AP60" i="59"/>
  <c r="AP58" i="59"/>
  <c r="AP53" i="59"/>
  <c r="AP51" i="59"/>
  <c r="AP49" i="59"/>
  <c r="AP47" i="59"/>
  <c r="AP45" i="59"/>
  <c r="AP56" i="59"/>
  <c r="AP37" i="59"/>
  <c r="AP34" i="59"/>
  <c r="AP30" i="59"/>
  <c r="AP28" i="59"/>
  <c r="AP26" i="59"/>
  <c r="AP24" i="59"/>
  <c r="AP22" i="59"/>
  <c r="AP20" i="59"/>
  <c r="AP18" i="59"/>
  <c r="AP16" i="59"/>
  <c r="AP14" i="59"/>
  <c r="AP12" i="59"/>
  <c r="AP10" i="59"/>
  <c r="AP32" i="59"/>
  <c r="AP31" i="59"/>
  <c r="AP29" i="59"/>
  <c r="AP27" i="59"/>
  <c r="AP25" i="59"/>
  <c r="AP23" i="59"/>
  <c r="AP21" i="59"/>
  <c r="AP19" i="59"/>
  <c r="AP17" i="59"/>
  <c r="AP15" i="59"/>
  <c r="AP13" i="59"/>
  <c r="AP11" i="59"/>
  <c r="AP9" i="59"/>
  <c r="AP33" i="59"/>
  <c r="AP43" i="59"/>
  <c r="AP41" i="59"/>
  <c r="AP39" i="59"/>
  <c r="AD341" i="59"/>
  <c r="AD428" i="59"/>
  <c r="AD430" i="59" s="1"/>
  <c r="AD431" i="59" s="1"/>
  <c r="AD98" i="59" s="1"/>
  <c r="AL251" i="59"/>
  <c r="AL254" i="59" s="1"/>
  <c r="AL255" i="59" s="1"/>
  <c r="AD92" i="59"/>
  <c r="AD342" i="59"/>
  <c r="AL340" i="59"/>
  <c r="AL341" i="59"/>
  <c r="HN15" i="54"/>
  <c r="K270" i="54"/>
  <c r="K271" i="54" s="1"/>
  <c r="HZ16" i="54"/>
  <c r="IH16" i="54" s="1"/>
  <c r="IA15" i="54"/>
  <c r="IB15" i="54"/>
  <c r="K301" i="54"/>
  <c r="K309" i="54" s="1"/>
  <c r="K305" i="55"/>
  <c r="M265" i="54"/>
  <c r="M269" i="54" s="1"/>
  <c r="M261" i="55"/>
  <c r="HQ18" i="55"/>
  <c r="I253" i="54"/>
  <c r="AT1" i="59" s="1"/>
  <c r="J289" i="54"/>
  <c r="J293" i="54" s="1"/>
  <c r="G300" i="54"/>
  <c r="G308" i="54" s="1"/>
  <c r="G304" i="55"/>
  <c r="P277" i="54"/>
  <c r="P314" i="54" s="1"/>
  <c r="P273" i="55"/>
  <c r="HU21" i="55"/>
  <c r="G258" i="54"/>
  <c r="G259" i="54" s="1"/>
  <c r="H258" i="54"/>
  <c r="H259" i="54" s="1"/>
  <c r="L265" i="54"/>
  <c r="L268" i="54" s="1"/>
  <c r="L261" i="55"/>
  <c r="HQ17" i="55"/>
  <c r="H303" i="54"/>
  <c r="H311" i="54" s="1"/>
  <c r="H307" i="55"/>
  <c r="HT18" i="54"/>
  <c r="K251" i="54"/>
  <c r="L251" i="54"/>
  <c r="M250" i="54" a="1"/>
  <c r="M250" i="54" s="1"/>
  <c r="N250" i="54" s="1" a="1"/>
  <c r="N250" i="54" s="1"/>
  <c r="L287" i="54"/>
  <c r="N262" i="54" a="1"/>
  <c r="N262" i="54" s="1"/>
  <c r="N263" i="54" s="1"/>
  <c r="HR19" i="54" s="1"/>
  <c r="IF18" i="54"/>
  <c r="HS18" i="54"/>
  <c r="Q276" i="54"/>
  <c r="HX22" i="54"/>
  <c r="IG22" i="54"/>
  <c r="HW22" i="54"/>
  <c r="M287" i="54"/>
  <c r="N286" i="54" a="1"/>
  <c r="N286" i="54" s="1"/>
  <c r="R275" i="54"/>
  <c r="HV23" i="54" s="1"/>
  <c r="S274" i="54" a="1"/>
  <c r="S274" i="54" s="1"/>
  <c r="H294" i="54" l="1"/>
  <c r="H295" i="54" s="1"/>
  <c r="HM14" i="55"/>
  <c r="J285" i="55"/>
  <c r="O282" i="54"/>
  <c r="O283" i="54" s="1"/>
  <c r="I307" i="55"/>
  <c r="AH99" i="59"/>
  <c r="AH105" i="59" s="1"/>
  <c r="AH95" i="59"/>
  <c r="AL94" i="59"/>
  <c r="AL96" i="59" s="1"/>
  <c r="I294" i="54"/>
  <c r="I295" i="54" s="1"/>
  <c r="M267" i="54"/>
  <c r="M301" i="54" s="1"/>
  <c r="M309" i="54" s="1"/>
  <c r="H304" i="55"/>
  <c r="AL343" i="59"/>
  <c r="AL344" i="59" s="1"/>
  <c r="AL97" i="59" s="1"/>
  <c r="IB16" i="54"/>
  <c r="K288" i="54"/>
  <c r="HY16" i="55" s="1"/>
  <c r="O306" i="55"/>
  <c r="HZ17" i="54"/>
  <c r="L288" i="54" s="1"/>
  <c r="AP342" i="59"/>
  <c r="IA16" i="54"/>
  <c r="M268" i="54"/>
  <c r="M270" i="54" s="1"/>
  <c r="M271" i="54" s="1"/>
  <c r="AP91" i="59"/>
  <c r="AP341" i="59"/>
  <c r="M313" i="54"/>
  <c r="AT404" i="59"/>
  <c r="AT402" i="59"/>
  <c r="AT400" i="59"/>
  <c r="AT405" i="59"/>
  <c r="AT401" i="59"/>
  <c r="AT399" i="59"/>
  <c r="AT398" i="59"/>
  <c r="AT395" i="59"/>
  <c r="AT403" i="59"/>
  <c r="AT337" i="59"/>
  <c r="AT397" i="59"/>
  <c r="AT396" i="59"/>
  <c r="AT332" i="59"/>
  <c r="AT336" i="59"/>
  <c r="AT328" i="59"/>
  <c r="AT334" i="59"/>
  <c r="AT335" i="59"/>
  <c r="AT330" i="59"/>
  <c r="AT315" i="59"/>
  <c r="AT316" i="59"/>
  <c r="AT326" i="59"/>
  <c r="AT322" i="59"/>
  <c r="AT314" i="59"/>
  <c r="AT309" i="59"/>
  <c r="AT307" i="59"/>
  <c r="AT305" i="59"/>
  <c r="AT302" i="59"/>
  <c r="AT313" i="59"/>
  <c r="AT312" i="59"/>
  <c r="AT308" i="59"/>
  <c r="AT306" i="59"/>
  <c r="AT310" i="59"/>
  <c r="AT304" i="59"/>
  <c r="AT324" i="59"/>
  <c r="AT303" i="59"/>
  <c r="AT301" i="59"/>
  <c r="AT298" i="59"/>
  <c r="AT311" i="59"/>
  <c r="AT296" i="59"/>
  <c r="AT284" i="59"/>
  <c r="AT282" i="59"/>
  <c r="AT280" i="59"/>
  <c r="AT278" i="59"/>
  <c r="AT276" i="59"/>
  <c r="AT274" i="59"/>
  <c r="AT297" i="59"/>
  <c r="AT293" i="59"/>
  <c r="AT291" i="59"/>
  <c r="AT289" i="59"/>
  <c r="AT287" i="59"/>
  <c r="AT300" i="59"/>
  <c r="AT285" i="59"/>
  <c r="AT283" i="59"/>
  <c r="AT281" i="59"/>
  <c r="AT279" i="59"/>
  <c r="AT277" i="59"/>
  <c r="AT272" i="59"/>
  <c r="AT271" i="59"/>
  <c r="AT269" i="59"/>
  <c r="AT292" i="59"/>
  <c r="AT299" i="59"/>
  <c r="AT295" i="59"/>
  <c r="AT294" i="59"/>
  <c r="AT290" i="59"/>
  <c r="AT270" i="59"/>
  <c r="AT216" i="59"/>
  <c r="AT214" i="59"/>
  <c r="AT265" i="59"/>
  <c r="AT268" i="59"/>
  <c r="AT217" i="59"/>
  <c r="AT218" i="59"/>
  <c r="AT215" i="59"/>
  <c r="AT213" i="59"/>
  <c r="AT267" i="59"/>
  <c r="AT266" i="59"/>
  <c r="AT264" i="59"/>
  <c r="AT262" i="59"/>
  <c r="AT260" i="59"/>
  <c r="AT258" i="59"/>
  <c r="AT273" i="59"/>
  <c r="AT263" i="59"/>
  <c r="AT211" i="59"/>
  <c r="AT288" i="59"/>
  <c r="AT286" i="59"/>
  <c r="AT275" i="59"/>
  <c r="AT261" i="59"/>
  <c r="AT210" i="59"/>
  <c r="AT208" i="59"/>
  <c r="AT259" i="59"/>
  <c r="AT212" i="59"/>
  <c r="AT197" i="59"/>
  <c r="AT195" i="59"/>
  <c r="AT193" i="59"/>
  <c r="AT204" i="59"/>
  <c r="AT202" i="59"/>
  <c r="AT200" i="59"/>
  <c r="AT209" i="59"/>
  <c r="AT205" i="59"/>
  <c r="AT203" i="59"/>
  <c r="AT201" i="59"/>
  <c r="AT199" i="59"/>
  <c r="AT194" i="59"/>
  <c r="AT185" i="59"/>
  <c r="AT196" i="59"/>
  <c r="AT186" i="59"/>
  <c r="AT207" i="59"/>
  <c r="AT191" i="59"/>
  <c r="AT189" i="59"/>
  <c r="AT206" i="59"/>
  <c r="AT190" i="59"/>
  <c r="AT187" i="59"/>
  <c r="AT181" i="59"/>
  <c r="AT179" i="59"/>
  <c r="AT177" i="59"/>
  <c r="AT175" i="59"/>
  <c r="AT173" i="59"/>
  <c r="AT188" i="59"/>
  <c r="AT198" i="59"/>
  <c r="AT192" i="59"/>
  <c r="AT184" i="59"/>
  <c r="AT178" i="59"/>
  <c r="AT180" i="59"/>
  <c r="AT172" i="59"/>
  <c r="AT171" i="59"/>
  <c r="AT176" i="59"/>
  <c r="AT182" i="59"/>
  <c r="AT183" i="59"/>
  <c r="AT174" i="59"/>
  <c r="AT104" i="59"/>
  <c r="AT90" i="59"/>
  <c r="AT103" i="59"/>
  <c r="AT88" i="59"/>
  <c r="AT102" i="59"/>
  <c r="AT89" i="59"/>
  <c r="AT87" i="59"/>
  <c r="AT72" i="59"/>
  <c r="AT70" i="59"/>
  <c r="AT68" i="59"/>
  <c r="AT83" i="59"/>
  <c r="AT66" i="59"/>
  <c r="AT86" i="59"/>
  <c r="AT85" i="59"/>
  <c r="AT80" i="59"/>
  <c r="AT79" i="59"/>
  <c r="AT76" i="59"/>
  <c r="AT75" i="59"/>
  <c r="AT73" i="59"/>
  <c r="AT64" i="59"/>
  <c r="AT62" i="59"/>
  <c r="AT71" i="59"/>
  <c r="AT60" i="59"/>
  <c r="AT58" i="59"/>
  <c r="AT56" i="59"/>
  <c r="AT69" i="59"/>
  <c r="AT67" i="59"/>
  <c r="AT84" i="59"/>
  <c r="AT82" i="59"/>
  <c r="AT81" i="59"/>
  <c r="AT78" i="59"/>
  <c r="AT77" i="59"/>
  <c r="AT74" i="59"/>
  <c r="AT65" i="59"/>
  <c r="AT54" i="59"/>
  <c r="AT61" i="59"/>
  <c r="AT59" i="59"/>
  <c r="AT55" i="59"/>
  <c r="AT53" i="59"/>
  <c r="AT51" i="59"/>
  <c r="AT49" i="59"/>
  <c r="AT47" i="59"/>
  <c r="AT45" i="59"/>
  <c r="AT43" i="59"/>
  <c r="AT41" i="59"/>
  <c r="AT39" i="59"/>
  <c r="AT37" i="59"/>
  <c r="AT63" i="59"/>
  <c r="AT57" i="59"/>
  <c r="AT52" i="59"/>
  <c r="AT50" i="59"/>
  <c r="AT48" i="59"/>
  <c r="AT46" i="59"/>
  <c r="AT44" i="59"/>
  <c r="AT38" i="59"/>
  <c r="AT31" i="59"/>
  <c r="AT29" i="59"/>
  <c r="AT27" i="59"/>
  <c r="AT25" i="59"/>
  <c r="AT23" i="59"/>
  <c r="AT21" i="59"/>
  <c r="AT19" i="59"/>
  <c r="AT17" i="59"/>
  <c r="AT15" i="59"/>
  <c r="AT13" i="59"/>
  <c r="AT11" i="59"/>
  <c r="AT9" i="59"/>
  <c r="AT35" i="59"/>
  <c r="AT33" i="59"/>
  <c r="AT36" i="59"/>
  <c r="AT34" i="59"/>
  <c r="AT30" i="59"/>
  <c r="AT28" i="59"/>
  <c r="AT26" i="59"/>
  <c r="AT24" i="59"/>
  <c r="AT22" i="59"/>
  <c r="AT20" i="59"/>
  <c r="AT18" i="59"/>
  <c r="AT16" i="59"/>
  <c r="AT14" i="59"/>
  <c r="AT12" i="59"/>
  <c r="AT10" i="59"/>
  <c r="AT42" i="59"/>
  <c r="AT40" i="59"/>
  <c r="AT32" i="59"/>
  <c r="J315" i="54"/>
  <c r="AP92" i="59"/>
  <c r="AP340" i="59"/>
  <c r="AD343" i="59"/>
  <c r="AD344" i="59" s="1"/>
  <c r="AD97" i="59" s="1"/>
  <c r="J290" i="54"/>
  <c r="P280" i="54"/>
  <c r="M266" i="54"/>
  <c r="HN16" i="54"/>
  <c r="K252" i="54" s="1"/>
  <c r="K253" i="54" s="1"/>
  <c r="J291" i="54"/>
  <c r="J303" i="54" s="1"/>
  <c r="J311" i="54" s="1"/>
  <c r="AD94" i="59"/>
  <c r="J292" i="54"/>
  <c r="J294" i="54" s="1"/>
  <c r="J295" i="54" s="1"/>
  <c r="P278" i="54"/>
  <c r="AP93" i="59"/>
  <c r="AP428" i="59"/>
  <c r="AP430" i="59" s="1"/>
  <c r="AP431" i="59" s="1"/>
  <c r="AP98" i="59" s="1"/>
  <c r="AH107" i="59"/>
  <c r="AI106" i="59"/>
  <c r="AP251" i="59"/>
  <c r="AP254" i="59" s="1"/>
  <c r="AP255" i="59" s="1"/>
  <c r="L269" i="54"/>
  <c r="L270" i="54" s="1"/>
  <c r="L271" i="54" s="1"/>
  <c r="L313" i="54"/>
  <c r="L266" i="54"/>
  <c r="L267" i="54"/>
  <c r="L305" i="55" s="1"/>
  <c r="HP15" i="54"/>
  <c r="J252" i="54"/>
  <c r="HO15" i="54"/>
  <c r="IE15" i="54"/>
  <c r="P281" i="54"/>
  <c r="P279" i="54"/>
  <c r="P302" i="54" s="1"/>
  <c r="P310" i="54" s="1"/>
  <c r="K285" i="55"/>
  <c r="Q277" i="54"/>
  <c r="Q281" i="54" s="1"/>
  <c r="Q273" i="55"/>
  <c r="HU22" i="55"/>
  <c r="I256" i="54"/>
  <c r="I312" i="54"/>
  <c r="I299" i="54"/>
  <c r="I255" i="54"/>
  <c r="I257" i="54"/>
  <c r="I254" i="54"/>
  <c r="M251" i="54"/>
  <c r="O262" i="54" a="1"/>
  <c r="O262" i="54" s="1"/>
  <c r="O263" i="54" s="1"/>
  <c r="HR20" i="54" s="1"/>
  <c r="O264" i="54" s="1"/>
  <c r="HT19" i="54"/>
  <c r="HS19" i="54"/>
  <c r="N264" i="54"/>
  <c r="IF19" i="54"/>
  <c r="S275" i="54"/>
  <c r="HV24" i="54" s="1"/>
  <c r="T274" i="54" a="1"/>
  <c r="T274" i="54" s="1"/>
  <c r="N251" i="54"/>
  <c r="O250" i="54" a="1"/>
  <c r="O250" i="54" s="1"/>
  <c r="R276" i="54"/>
  <c r="IG23" i="54"/>
  <c r="HW23" i="54"/>
  <c r="HX23" i="54"/>
  <c r="N287" i="54"/>
  <c r="O286" i="54" a="1"/>
  <c r="O286" i="54" s="1"/>
  <c r="IA17" i="54"/>
  <c r="IH17" i="54"/>
  <c r="AL95" i="59" l="1"/>
  <c r="HZ18" i="54"/>
  <c r="M305" i="55"/>
  <c r="HN17" i="54"/>
  <c r="L252" i="54" s="1"/>
  <c r="AL99" i="59"/>
  <c r="AL105" i="59" s="1"/>
  <c r="IB17" i="54"/>
  <c r="K289" i="54"/>
  <c r="K315" i="54" s="1"/>
  <c r="P282" i="54"/>
  <c r="P283" i="54" s="1"/>
  <c r="Q279" i="54"/>
  <c r="Q306" i="55" s="1"/>
  <c r="L301" i="54"/>
  <c r="L309" i="54" s="1"/>
  <c r="Q278" i="54"/>
  <c r="AP343" i="59"/>
  <c r="AP344" i="59" s="1"/>
  <c r="AP97" i="59" s="1"/>
  <c r="IE16" i="54"/>
  <c r="HP16" i="54"/>
  <c r="Q314" i="54"/>
  <c r="Q280" i="54"/>
  <c r="Q282" i="54" s="1"/>
  <c r="Q283" i="54" s="1"/>
  <c r="J307" i="55"/>
  <c r="BB1" i="59"/>
  <c r="K256" i="54"/>
  <c r="K255" i="54"/>
  <c r="K300" i="54" s="1"/>
  <c r="K308" i="54" s="1"/>
  <c r="K257" i="54"/>
  <c r="K312" i="54"/>
  <c r="K254" i="54"/>
  <c r="K299" i="54"/>
  <c r="AT340" i="59"/>
  <c r="AT341" i="59"/>
  <c r="AT342" i="59"/>
  <c r="AP94" i="59"/>
  <c r="HN18" i="54"/>
  <c r="IE18" i="54" s="1"/>
  <c r="AT251" i="59"/>
  <c r="AT254" i="59" s="1"/>
  <c r="AT255" i="59" s="1"/>
  <c r="HM16" i="55"/>
  <c r="AT91" i="59"/>
  <c r="HO16" i="54"/>
  <c r="K249" i="55"/>
  <c r="AD96" i="59"/>
  <c r="AD99" i="59" s="1"/>
  <c r="AD105" i="59" s="1"/>
  <c r="AD95" i="59"/>
  <c r="AT93" i="59"/>
  <c r="AT92" i="59"/>
  <c r="AM106" i="59"/>
  <c r="AL107" i="59"/>
  <c r="AT428" i="59"/>
  <c r="AT430" i="59" s="1"/>
  <c r="AT431" i="59" s="1"/>
  <c r="AT98" i="59" s="1"/>
  <c r="J253" i="54"/>
  <c r="AX1" i="59" s="1"/>
  <c r="J249" i="55"/>
  <c r="HM15" i="55"/>
  <c r="P306" i="55"/>
  <c r="IE17" i="54"/>
  <c r="HO17" i="54"/>
  <c r="HP17" i="54"/>
  <c r="N265" i="54"/>
  <c r="N313" i="54" s="1"/>
  <c r="N261" i="55"/>
  <c r="HQ19" i="55"/>
  <c r="I300" i="54"/>
  <c r="I308" i="54" s="1"/>
  <c r="I304" i="55"/>
  <c r="L289" i="54"/>
  <c r="L315" i="54" s="1"/>
  <c r="L285" i="55"/>
  <c r="HY17" i="55"/>
  <c r="O265" i="54"/>
  <c r="O313" i="54" s="1"/>
  <c r="O261" i="55"/>
  <c r="HQ20" i="55"/>
  <c r="I258" i="54"/>
  <c r="I259" i="54" s="1"/>
  <c r="R277" i="54"/>
  <c r="R278" i="54" s="1"/>
  <c r="R273" i="55"/>
  <c r="HU23" i="55"/>
  <c r="L253" i="54"/>
  <c r="BF1" i="59" s="1"/>
  <c r="L249" i="55"/>
  <c r="HM17" i="55"/>
  <c r="HS20" i="54"/>
  <c r="HT20" i="54"/>
  <c r="IF20" i="54"/>
  <c r="P262" i="54" a="1"/>
  <c r="P262" i="54" s="1"/>
  <c r="Q262" i="54" s="1" a="1"/>
  <c r="Q262" i="54" s="1"/>
  <c r="Q263" i="54" s="1"/>
  <c r="HZ19" i="54"/>
  <c r="IB19" i="54" s="1"/>
  <c r="O287" i="54"/>
  <c r="P286" i="54" a="1"/>
  <c r="P286" i="54" s="1"/>
  <c r="M288" i="54"/>
  <c r="IH18" i="54"/>
  <c r="IB18" i="54"/>
  <c r="IA18" i="54"/>
  <c r="T275" i="54"/>
  <c r="HV25" i="54" s="1"/>
  <c r="U274" i="54" a="1"/>
  <c r="U274" i="54" s="1"/>
  <c r="S276" i="54"/>
  <c r="HX24" i="54"/>
  <c r="IG24" i="54"/>
  <c r="HW24" i="54"/>
  <c r="O251" i="54"/>
  <c r="P250" i="54" a="1"/>
  <c r="P250" i="54" s="1"/>
  <c r="K293" i="54" l="1"/>
  <c r="Q302" i="54"/>
  <c r="Q310" i="54" s="1"/>
  <c r="K291" i="54"/>
  <c r="K307" i="55" s="1"/>
  <c r="K292" i="54"/>
  <c r="K290" i="54"/>
  <c r="K258" i="54"/>
  <c r="K259" i="54" s="1"/>
  <c r="K304" i="55"/>
  <c r="M252" i="54"/>
  <c r="M253" i="54" s="1"/>
  <c r="BJ1" i="59" s="1"/>
  <c r="L290" i="54"/>
  <c r="HP18" i="54"/>
  <c r="HN19" i="54"/>
  <c r="HO19" i="54" s="1"/>
  <c r="HO18" i="54"/>
  <c r="L293" i="54"/>
  <c r="AT94" i="59"/>
  <c r="AP96" i="59"/>
  <c r="AP99" i="59" s="1"/>
  <c r="AP105" i="59" s="1"/>
  <c r="AP95" i="59"/>
  <c r="L291" i="54"/>
  <c r="L307" i="55" s="1"/>
  <c r="L292" i="54"/>
  <c r="AT343" i="59"/>
  <c r="AT344" i="59" s="1"/>
  <c r="AT97" i="59" s="1"/>
  <c r="BF398" i="59"/>
  <c r="BF405" i="59"/>
  <c r="BF403" i="59"/>
  <c r="BF401" i="59"/>
  <c r="BF399" i="59"/>
  <c r="BF404" i="59"/>
  <c r="BF400" i="59"/>
  <c r="BF402" i="59"/>
  <c r="BF396" i="59"/>
  <c r="BF397" i="59"/>
  <c r="BF395" i="59"/>
  <c r="BF330" i="59"/>
  <c r="BF335" i="59"/>
  <c r="BF326" i="59"/>
  <c r="BF336" i="59"/>
  <c r="BF337" i="59"/>
  <c r="BF334" i="59"/>
  <c r="BF324" i="59"/>
  <c r="BF332" i="59"/>
  <c r="BF328" i="59"/>
  <c r="BF315" i="59"/>
  <c r="BF313" i="59"/>
  <c r="BF308" i="59"/>
  <c r="BF306" i="59"/>
  <c r="BF303" i="59"/>
  <c r="BF301" i="59"/>
  <c r="BF304" i="59"/>
  <c r="BF314" i="59"/>
  <c r="BF312" i="59"/>
  <c r="BF310" i="59"/>
  <c r="BF316" i="59"/>
  <c r="BF309" i="59"/>
  <c r="BF307" i="59"/>
  <c r="BF305" i="59"/>
  <c r="BF311" i="59"/>
  <c r="BF300" i="59"/>
  <c r="BF299" i="59"/>
  <c r="BF297" i="59"/>
  <c r="BF322" i="59"/>
  <c r="BF302" i="59"/>
  <c r="BF285" i="59"/>
  <c r="BF283" i="59"/>
  <c r="BF281" i="59"/>
  <c r="BF279" i="59"/>
  <c r="BF277" i="59"/>
  <c r="BF275" i="59"/>
  <c r="BF273" i="59"/>
  <c r="BF298" i="59"/>
  <c r="BF292" i="59"/>
  <c r="BF290" i="59"/>
  <c r="BF288" i="59"/>
  <c r="BF286" i="59"/>
  <c r="BF294" i="59"/>
  <c r="BF284" i="59"/>
  <c r="BF282" i="59"/>
  <c r="BF280" i="59"/>
  <c r="BF278" i="59"/>
  <c r="BF276" i="59"/>
  <c r="BF289" i="59"/>
  <c r="BF270" i="59"/>
  <c r="BF268" i="59"/>
  <c r="BF296" i="59"/>
  <c r="BF295" i="59"/>
  <c r="BF287" i="59"/>
  <c r="BF293" i="59"/>
  <c r="BF274" i="59"/>
  <c r="BF271" i="59"/>
  <c r="BF269" i="59"/>
  <c r="BF291" i="59"/>
  <c r="BF218" i="59"/>
  <c r="BF215" i="59"/>
  <c r="BF213" i="59"/>
  <c r="BF266" i="59"/>
  <c r="BF264" i="59"/>
  <c r="BF267" i="59"/>
  <c r="BF216" i="59"/>
  <c r="BF214" i="59"/>
  <c r="BF212" i="59"/>
  <c r="BF265" i="59"/>
  <c r="BF263" i="59"/>
  <c r="BF261" i="59"/>
  <c r="BF259" i="59"/>
  <c r="BF272" i="59"/>
  <c r="BF217" i="59"/>
  <c r="BF210" i="59"/>
  <c r="BF262" i="59"/>
  <c r="BF209" i="59"/>
  <c r="BF207" i="59"/>
  <c r="BF260" i="59"/>
  <c r="BF258" i="59"/>
  <c r="BF211" i="59"/>
  <c r="BF198" i="59"/>
  <c r="BF196" i="59"/>
  <c r="BF194" i="59"/>
  <c r="BF192" i="59"/>
  <c r="BF205" i="59"/>
  <c r="BF203" i="59"/>
  <c r="BF201" i="59"/>
  <c r="BF199" i="59"/>
  <c r="BF208" i="59"/>
  <c r="BF206" i="59"/>
  <c r="BF204" i="59"/>
  <c r="BF202" i="59"/>
  <c r="BF200" i="59"/>
  <c r="BF193" i="59"/>
  <c r="BF186" i="59"/>
  <c r="BF195" i="59"/>
  <c r="BF197" i="59"/>
  <c r="BF191" i="59"/>
  <c r="BF183" i="59"/>
  <c r="BF190" i="59"/>
  <c r="BF189" i="59"/>
  <c r="BF180" i="59"/>
  <c r="BF178" i="59"/>
  <c r="BF176" i="59"/>
  <c r="BF174" i="59"/>
  <c r="BF172" i="59"/>
  <c r="BF188" i="59"/>
  <c r="BF187" i="59"/>
  <c r="BF185" i="59"/>
  <c r="BF182" i="59"/>
  <c r="BF173" i="59"/>
  <c r="BF184" i="59"/>
  <c r="BF104" i="59"/>
  <c r="BF103" i="59"/>
  <c r="BF102" i="59"/>
  <c r="BF177" i="59"/>
  <c r="BF181" i="59"/>
  <c r="BF179" i="59"/>
  <c r="BF171" i="59"/>
  <c r="BF89" i="59"/>
  <c r="BF175" i="59"/>
  <c r="BF90" i="59"/>
  <c r="BF84" i="59"/>
  <c r="BF88" i="59"/>
  <c r="BF71" i="59"/>
  <c r="BF69" i="59"/>
  <c r="BF67" i="59"/>
  <c r="BF85" i="59"/>
  <c r="BF82" i="59"/>
  <c r="BF81" i="59"/>
  <c r="BF78" i="59"/>
  <c r="BF77" i="59"/>
  <c r="BF74" i="59"/>
  <c r="BF65" i="59"/>
  <c r="BF63" i="59"/>
  <c r="BF61" i="59"/>
  <c r="BF72" i="59"/>
  <c r="BF59" i="59"/>
  <c r="BF57" i="59"/>
  <c r="BF54" i="59"/>
  <c r="BF87" i="59"/>
  <c r="BF70" i="59"/>
  <c r="BF68" i="59"/>
  <c r="BF86" i="59"/>
  <c r="BF83" i="59"/>
  <c r="BF66" i="59"/>
  <c r="BF80" i="59"/>
  <c r="BF79" i="59"/>
  <c r="BF76" i="59"/>
  <c r="BF75" i="59"/>
  <c r="BF73" i="59"/>
  <c r="BF60" i="59"/>
  <c r="BF56" i="59"/>
  <c r="BF64" i="59"/>
  <c r="BF52" i="59"/>
  <c r="BF50" i="59"/>
  <c r="BF48" i="59"/>
  <c r="BF46" i="59"/>
  <c r="BF44" i="59"/>
  <c r="BF42" i="59"/>
  <c r="BF40" i="59"/>
  <c r="BF38" i="59"/>
  <c r="BF58" i="59"/>
  <c r="BF36" i="59"/>
  <c r="BF35" i="59"/>
  <c r="BF62" i="59"/>
  <c r="BF53" i="59"/>
  <c r="BF51" i="59"/>
  <c r="BF49" i="59"/>
  <c r="BF47" i="59"/>
  <c r="BF45" i="59"/>
  <c r="BF55" i="59"/>
  <c r="BF33" i="59"/>
  <c r="BF30" i="59"/>
  <c r="BF28" i="59"/>
  <c r="BF26" i="59"/>
  <c r="BF24" i="59"/>
  <c r="BF22" i="59"/>
  <c r="BF20" i="59"/>
  <c r="BF18" i="59"/>
  <c r="BF16" i="59"/>
  <c r="BF14" i="59"/>
  <c r="BF12" i="59"/>
  <c r="BF10" i="59"/>
  <c r="BF43" i="59"/>
  <c r="BF41" i="59"/>
  <c r="BF39" i="59"/>
  <c r="BF37" i="59"/>
  <c r="BF34" i="59"/>
  <c r="BF32" i="59"/>
  <c r="BF31" i="59"/>
  <c r="BF29" i="59"/>
  <c r="BF27" i="59"/>
  <c r="BF25" i="59"/>
  <c r="BF23" i="59"/>
  <c r="BF21" i="59"/>
  <c r="BF19" i="59"/>
  <c r="BF17" i="59"/>
  <c r="BF15" i="59"/>
  <c r="BF13" i="59"/>
  <c r="BF11" i="59"/>
  <c r="BF9" i="59"/>
  <c r="AE106" i="59"/>
  <c r="AD107" i="59"/>
  <c r="AX398" i="59"/>
  <c r="AX405" i="59"/>
  <c r="AX403" i="59"/>
  <c r="AX401" i="59"/>
  <c r="AX399" i="59"/>
  <c r="AX404" i="59"/>
  <c r="AX397" i="59"/>
  <c r="AX396" i="59"/>
  <c r="AX402" i="59"/>
  <c r="AX400" i="59"/>
  <c r="AX395" i="59"/>
  <c r="AX330" i="59"/>
  <c r="AX335" i="59"/>
  <c r="AX326" i="59"/>
  <c r="AX336" i="59"/>
  <c r="AX337" i="59"/>
  <c r="AX334" i="59"/>
  <c r="AX328" i="59"/>
  <c r="AX332" i="59"/>
  <c r="AX315" i="59"/>
  <c r="AX324" i="59"/>
  <c r="AX313" i="59"/>
  <c r="AX308" i="59"/>
  <c r="AX306" i="59"/>
  <c r="AX303" i="59"/>
  <c r="AX301" i="59"/>
  <c r="AX310" i="59"/>
  <c r="AX304" i="59"/>
  <c r="AX309" i="59"/>
  <c r="AX307" i="59"/>
  <c r="AX305" i="59"/>
  <c r="AX311" i="59"/>
  <c r="AX316" i="59"/>
  <c r="AX300" i="59"/>
  <c r="AX302" i="59"/>
  <c r="AX299" i="59"/>
  <c r="AX297" i="59"/>
  <c r="AX322" i="59"/>
  <c r="AX314" i="59"/>
  <c r="AX312" i="59"/>
  <c r="AX285" i="59"/>
  <c r="AX283" i="59"/>
  <c r="AX281" i="59"/>
  <c r="AX279" i="59"/>
  <c r="AX277" i="59"/>
  <c r="AX275" i="59"/>
  <c r="AX273" i="59"/>
  <c r="AX294" i="59"/>
  <c r="AX292" i="59"/>
  <c r="AX290" i="59"/>
  <c r="AX288" i="59"/>
  <c r="AX286" i="59"/>
  <c r="AX296" i="59"/>
  <c r="AX295" i="59"/>
  <c r="AX284" i="59"/>
  <c r="AX282" i="59"/>
  <c r="AX280" i="59"/>
  <c r="AX278" i="59"/>
  <c r="AX276" i="59"/>
  <c r="AX291" i="59"/>
  <c r="AX270" i="59"/>
  <c r="AX268" i="59"/>
  <c r="AX289" i="59"/>
  <c r="AX287" i="59"/>
  <c r="AX293" i="59"/>
  <c r="AX272" i="59"/>
  <c r="AX271" i="59"/>
  <c r="AX269" i="59"/>
  <c r="AX298" i="59"/>
  <c r="AX218" i="59"/>
  <c r="AX215" i="59"/>
  <c r="AX213" i="59"/>
  <c r="AX267" i="59"/>
  <c r="AX266" i="59"/>
  <c r="AX264" i="59"/>
  <c r="AX216" i="59"/>
  <c r="AX214" i="59"/>
  <c r="AX212" i="59"/>
  <c r="AX265" i="59"/>
  <c r="AX263" i="59"/>
  <c r="AX261" i="59"/>
  <c r="AX259" i="59"/>
  <c r="AX274" i="59"/>
  <c r="AX217" i="59"/>
  <c r="AX210" i="59"/>
  <c r="AX258" i="59"/>
  <c r="AX209" i="59"/>
  <c r="AX207" i="59"/>
  <c r="AX262" i="59"/>
  <c r="AX260" i="59"/>
  <c r="AX208" i="59"/>
  <c r="AX198" i="59"/>
  <c r="AX196" i="59"/>
  <c r="AX194" i="59"/>
  <c r="AX192" i="59"/>
  <c r="AX205" i="59"/>
  <c r="AX203" i="59"/>
  <c r="AX201" i="59"/>
  <c r="AX199" i="59"/>
  <c r="AX204" i="59"/>
  <c r="AX202" i="59"/>
  <c r="AX200" i="59"/>
  <c r="AX191" i="59"/>
  <c r="AX190" i="59"/>
  <c r="AX189" i="59"/>
  <c r="AX188" i="59"/>
  <c r="AX187" i="59"/>
  <c r="AX206" i="59"/>
  <c r="AX193" i="59"/>
  <c r="AX195" i="59"/>
  <c r="AX184" i="59"/>
  <c r="AX180" i="59"/>
  <c r="AX178" i="59"/>
  <c r="AX176" i="59"/>
  <c r="AX174" i="59"/>
  <c r="AX172" i="59"/>
  <c r="AX211" i="59"/>
  <c r="AX197" i="59"/>
  <c r="AX185" i="59"/>
  <c r="AX182" i="59"/>
  <c r="AX181" i="59"/>
  <c r="AX173" i="59"/>
  <c r="AX186" i="59"/>
  <c r="AX179" i="59"/>
  <c r="AX177" i="59"/>
  <c r="AX104" i="59"/>
  <c r="AX103" i="59"/>
  <c r="AX102" i="59"/>
  <c r="AX183" i="59"/>
  <c r="AX171" i="59"/>
  <c r="AX175" i="59"/>
  <c r="AX89" i="59"/>
  <c r="AX90" i="59"/>
  <c r="AX84" i="59"/>
  <c r="AX88" i="59"/>
  <c r="AX85" i="59"/>
  <c r="AX71" i="59"/>
  <c r="AX86" i="59"/>
  <c r="AX69" i="59"/>
  <c r="AX67" i="59"/>
  <c r="AX82" i="59"/>
  <c r="AX81" i="59"/>
  <c r="AX78" i="59"/>
  <c r="AX77" i="59"/>
  <c r="AX74" i="59"/>
  <c r="AX65" i="59"/>
  <c r="AX63" i="59"/>
  <c r="AX61" i="59"/>
  <c r="AX72" i="59"/>
  <c r="AX59" i="59"/>
  <c r="AX57" i="59"/>
  <c r="AX54" i="59"/>
  <c r="AX70" i="59"/>
  <c r="AX68" i="59"/>
  <c r="AX83" i="59"/>
  <c r="AX66" i="59"/>
  <c r="AX87" i="59"/>
  <c r="AX80" i="59"/>
  <c r="AX79" i="59"/>
  <c r="AX76" i="59"/>
  <c r="AX75" i="59"/>
  <c r="AX73" i="59"/>
  <c r="AX62" i="59"/>
  <c r="AX56" i="59"/>
  <c r="AX58" i="59"/>
  <c r="AX52" i="59"/>
  <c r="AX50" i="59"/>
  <c r="AX48" i="59"/>
  <c r="AX46" i="59"/>
  <c r="AX44" i="59"/>
  <c r="AX64" i="59"/>
  <c r="AX60" i="59"/>
  <c r="AX42" i="59"/>
  <c r="AX40" i="59"/>
  <c r="AX38" i="59"/>
  <c r="AX36" i="59"/>
  <c r="AX35" i="59"/>
  <c r="AX55" i="59"/>
  <c r="AX53" i="59"/>
  <c r="AX51" i="59"/>
  <c r="AX49" i="59"/>
  <c r="AX47" i="59"/>
  <c r="AX45" i="59"/>
  <c r="AX30" i="59"/>
  <c r="AX28" i="59"/>
  <c r="AX26" i="59"/>
  <c r="AX24" i="59"/>
  <c r="AX22" i="59"/>
  <c r="AX20" i="59"/>
  <c r="AX18" i="59"/>
  <c r="AX16" i="59"/>
  <c r="AX14" i="59"/>
  <c r="AX12" i="59"/>
  <c r="AX10" i="59"/>
  <c r="AX34" i="59"/>
  <c r="AX32" i="59"/>
  <c r="AX43" i="59"/>
  <c r="AX41" i="59"/>
  <c r="AX39" i="59"/>
  <c r="AX31" i="59"/>
  <c r="AX29" i="59"/>
  <c r="AX27" i="59"/>
  <c r="AX25" i="59"/>
  <c r="AX23" i="59"/>
  <c r="AX21" i="59"/>
  <c r="AX19" i="59"/>
  <c r="AX17" i="59"/>
  <c r="AX15" i="59"/>
  <c r="AX13" i="59"/>
  <c r="AX11" i="59"/>
  <c r="AX9" i="59"/>
  <c r="AX37" i="59"/>
  <c r="AX33" i="59"/>
  <c r="BB404" i="59"/>
  <c r="BB402" i="59"/>
  <c r="BB400" i="59"/>
  <c r="BB405" i="59"/>
  <c r="BB399" i="59"/>
  <c r="BB401" i="59"/>
  <c r="BB395" i="59"/>
  <c r="BB403" i="59"/>
  <c r="BB337" i="59"/>
  <c r="BB332" i="59"/>
  <c r="BB336" i="59"/>
  <c r="BB328" i="59"/>
  <c r="BB398" i="59"/>
  <c r="BB397" i="59"/>
  <c r="BB334" i="59"/>
  <c r="BB396" i="59"/>
  <c r="BB335" i="59"/>
  <c r="BB326" i="59"/>
  <c r="BB315" i="59"/>
  <c r="BB316" i="59"/>
  <c r="BB330" i="59"/>
  <c r="BB322" i="59"/>
  <c r="BB314" i="59"/>
  <c r="BB309" i="59"/>
  <c r="BB307" i="59"/>
  <c r="BB305" i="59"/>
  <c r="BB302" i="59"/>
  <c r="BB311" i="59"/>
  <c r="BB308" i="59"/>
  <c r="BB306" i="59"/>
  <c r="BB324" i="59"/>
  <c r="BB312" i="59"/>
  <c r="BB310" i="59"/>
  <c r="BB298" i="59"/>
  <c r="BB313" i="59"/>
  <c r="BB300" i="59"/>
  <c r="BB304" i="59"/>
  <c r="BB303" i="59"/>
  <c r="BB295" i="59"/>
  <c r="BB294" i="59"/>
  <c r="BB284" i="59"/>
  <c r="BB282" i="59"/>
  <c r="BB280" i="59"/>
  <c r="BB278" i="59"/>
  <c r="BB276" i="59"/>
  <c r="BB274" i="59"/>
  <c r="BB296" i="59"/>
  <c r="BB293" i="59"/>
  <c r="BB291" i="59"/>
  <c r="BB289" i="59"/>
  <c r="BB287" i="59"/>
  <c r="BB301" i="59"/>
  <c r="BB299" i="59"/>
  <c r="BB297" i="59"/>
  <c r="BB285" i="59"/>
  <c r="BB283" i="59"/>
  <c r="BB281" i="59"/>
  <c r="BB279" i="59"/>
  <c r="BB277" i="59"/>
  <c r="BB292" i="59"/>
  <c r="BB273" i="59"/>
  <c r="BB271" i="59"/>
  <c r="BB269" i="59"/>
  <c r="BB290" i="59"/>
  <c r="BB272" i="59"/>
  <c r="BB288" i="59"/>
  <c r="BB275" i="59"/>
  <c r="BB270" i="59"/>
  <c r="BB216" i="59"/>
  <c r="BB214" i="59"/>
  <c r="BB265" i="59"/>
  <c r="BB217" i="59"/>
  <c r="BB218" i="59"/>
  <c r="BB215" i="59"/>
  <c r="BB213" i="59"/>
  <c r="BB268" i="59"/>
  <c r="BB266" i="59"/>
  <c r="BB264" i="59"/>
  <c r="BB262" i="59"/>
  <c r="BB260" i="59"/>
  <c r="BB258" i="59"/>
  <c r="BB286" i="59"/>
  <c r="BB267" i="59"/>
  <c r="BB261" i="59"/>
  <c r="BB259" i="59"/>
  <c r="BB210" i="59"/>
  <c r="BB208" i="59"/>
  <c r="BB263" i="59"/>
  <c r="BB197" i="59"/>
  <c r="BB195" i="59"/>
  <c r="BB193" i="59"/>
  <c r="BB206" i="59"/>
  <c r="BB204" i="59"/>
  <c r="BB202" i="59"/>
  <c r="BB200" i="59"/>
  <c r="BB211" i="59"/>
  <c r="BB209" i="59"/>
  <c r="BB205" i="59"/>
  <c r="BB203" i="59"/>
  <c r="BB201" i="59"/>
  <c r="BB199" i="59"/>
  <c r="BB188" i="59"/>
  <c r="BB207" i="59"/>
  <c r="BB184" i="59"/>
  <c r="BB212" i="59"/>
  <c r="BB185" i="59"/>
  <c r="BB186" i="59"/>
  <c r="BB182" i="59"/>
  <c r="BB198" i="59"/>
  <c r="BB192" i="59"/>
  <c r="BB181" i="59"/>
  <c r="BB179" i="59"/>
  <c r="BB177" i="59"/>
  <c r="BB175" i="59"/>
  <c r="BB173" i="59"/>
  <c r="BB194" i="59"/>
  <c r="BB191" i="59"/>
  <c r="BB196" i="59"/>
  <c r="BB190" i="59"/>
  <c r="BB187" i="59"/>
  <c r="BB183" i="59"/>
  <c r="BB178" i="59"/>
  <c r="BB171" i="59"/>
  <c r="BB172" i="59"/>
  <c r="BB180" i="59"/>
  <c r="BB176" i="59"/>
  <c r="BB189" i="59"/>
  <c r="BB90" i="59"/>
  <c r="BB104" i="59"/>
  <c r="BB88" i="59"/>
  <c r="BB103" i="59"/>
  <c r="BB89" i="59"/>
  <c r="BB102" i="59"/>
  <c r="BB174" i="59"/>
  <c r="BB87" i="59"/>
  <c r="BB86" i="59"/>
  <c r="BB84" i="59"/>
  <c r="BB72" i="59"/>
  <c r="BB70" i="59"/>
  <c r="BB68" i="59"/>
  <c r="BB83" i="59"/>
  <c r="BB66" i="59"/>
  <c r="BB80" i="59"/>
  <c r="BB79" i="59"/>
  <c r="BB76" i="59"/>
  <c r="BB75" i="59"/>
  <c r="BB73" i="59"/>
  <c r="BB64" i="59"/>
  <c r="BB62" i="59"/>
  <c r="BB71" i="59"/>
  <c r="BB60" i="59"/>
  <c r="BB58" i="59"/>
  <c r="BB56" i="59"/>
  <c r="BB69" i="59"/>
  <c r="BB67" i="59"/>
  <c r="BB85" i="59"/>
  <c r="BB82" i="59"/>
  <c r="BB81" i="59"/>
  <c r="BB78" i="59"/>
  <c r="BB77" i="59"/>
  <c r="BB74" i="59"/>
  <c r="BB57" i="59"/>
  <c r="BB54" i="59"/>
  <c r="BB53" i="59"/>
  <c r="BB51" i="59"/>
  <c r="BB49" i="59"/>
  <c r="BB47" i="59"/>
  <c r="BB45" i="59"/>
  <c r="BB55" i="59"/>
  <c r="BB43" i="59"/>
  <c r="BB41" i="59"/>
  <c r="BB39" i="59"/>
  <c r="BB37" i="59"/>
  <c r="BB63" i="59"/>
  <c r="BB61" i="59"/>
  <c r="BB59" i="59"/>
  <c r="BB52" i="59"/>
  <c r="BB50" i="59"/>
  <c r="BB48" i="59"/>
  <c r="BB46" i="59"/>
  <c r="BB44" i="59"/>
  <c r="BB65" i="59"/>
  <c r="BB32" i="59"/>
  <c r="BB31" i="59"/>
  <c r="BB29" i="59"/>
  <c r="BB27" i="59"/>
  <c r="BB25" i="59"/>
  <c r="BB23" i="59"/>
  <c r="BB21" i="59"/>
  <c r="BB19" i="59"/>
  <c r="BB17" i="59"/>
  <c r="BB15" i="59"/>
  <c r="BB13" i="59"/>
  <c r="BB11" i="59"/>
  <c r="BB9" i="59"/>
  <c r="BB36" i="59"/>
  <c r="BB42" i="59"/>
  <c r="BB40" i="59"/>
  <c r="BB33" i="59"/>
  <c r="BB38" i="59"/>
  <c r="BB30" i="59"/>
  <c r="BB28" i="59"/>
  <c r="BB26" i="59"/>
  <c r="BB24" i="59"/>
  <c r="BB22" i="59"/>
  <c r="BB20" i="59"/>
  <c r="BB18" i="59"/>
  <c r="BB16" i="59"/>
  <c r="BB14" i="59"/>
  <c r="BB12" i="59"/>
  <c r="BB10" i="59"/>
  <c r="BB35" i="59"/>
  <c r="BB34" i="59"/>
  <c r="N266" i="54"/>
  <c r="J255" i="54"/>
  <c r="J254" i="54"/>
  <c r="J312" i="54"/>
  <c r="J299" i="54"/>
  <c r="J257" i="54"/>
  <c r="J256" i="54"/>
  <c r="R314" i="54"/>
  <c r="N288" i="54"/>
  <c r="HY19" i="55" s="1"/>
  <c r="IH19" i="54"/>
  <c r="IA19" i="54"/>
  <c r="HZ20" i="54"/>
  <c r="IA20" i="54" s="1"/>
  <c r="IE19" i="54"/>
  <c r="N269" i="54"/>
  <c r="R281" i="54"/>
  <c r="N267" i="54"/>
  <c r="N305" i="55" s="1"/>
  <c r="R280" i="54"/>
  <c r="N268" i="54"/>
  <c r="R279" i="54"/>
  <c r="R306" i="55" s="1"/>
  <c r="O268" i="54"/>
  <c r="L303" i="54"/>
  <c r="L311" i="54" s="1"/>
  <c r="O269" i="54"/>
  <c r="S277" i="54"/>
  <c r="S278" i="54" s="1"/>
  <c r="S273" i="55"/>
  <c r="HU24" i="55"/>
  <c r="O266" i="54"/>
  <c r="O267" i="54"/>
  <c r="L312" i="54"/>
  <c r="L299" i="54"/>
  <c r="L257" i="54"/>
  <c r="L256" i="54"/>
  <c r="L255" i="54"/>
  <c r="L254" i="54"/>
  <c r="M289" i="54"/>
  <c r="M293" i="54" s="1"/>
  <c r="M285" i="55"/>
  <c r="HY18" i="55"/>
  <c r="P263" i="54"/>
  <c r="HR21" i="54" s="1"/>
  <c r="HR22" i="54" s="1"/>
  <c r="R262" i="54" a="1"/>
  <c r="R262" i="54" s="1"/>
  <c r="P287" i="54"/>
  <c r="Q286" i="54" a="1"/>
  <c r="Q286" i="54" s="1"/>
  <c r="U275" i="54"/>
  <c r="HV26" i="54" s="1"/>
  <c r="V274" i="54" a="1"/>
  <c r="V274" i="54" s="1"/>
  <c r="P251" i="54"/>
  <c r="Q250" i="54" a="1"/>
  <c r="Q250" i="54" s="1"/>
  <c r="T276" i="54"/>
  <c r="HX25" i="54"/>
  <c r="IG25" i="54"/>
  <c r="HW25" i="54"/>
  <c r="K294" i="54" l="1"/>
  <c r="K295" i="54" s="1"/>
  <c r="HM18" i="55"/>
  <c r="M249" i="55"/>
  <c r="K303" i="54"/>
  <c r="K311" i="54" s="1"/>
  <c r="N252" i="54"/>
  <c r="HM19" i="55" s="1"/>
  <c r="HP19" i="54"/>
  <c r="L294" i="54"/>
  <c r="L295" i="54" s="1"/>
  <c r="N301" i="54"/>
  <c r="N309" i="54" s="1"/>
  <c r="S279" i="54"/>
  <c r="S302" i="54" s="1"/>
  <c r="S310" i="54" s="1"/>
  <c r="HN20" i="54"/>
  <c r="HN21" i="54" s="1"/>
  <c r="N285" i="55"/>
  <c r="N270" i="54"/>
  <c r="N271" i="54" s="1"/>
  <c r="BB341" i="59"/>
  <c r="BB342" i="59"/>
  <c r="BF251" i="59"/>
  <c r="BF254" i="59" s="1"/>
  <c r="BF255" i="59" s="1"/>
  <c r="N289" i="54"/>
  <c r="AX93" i="59"/>
  <c r="AX251" i="59"/>
  <c r="AX254" i="59" s="1"/>
  <c r="AX255" i="59" s="1"/>
  <c r="BB93" i="59"/>
  <c r="BF341" i="59"/>
  <c r="BB91" i="59"/>
  <c r="BB251" i="59"/>
  <c r="BB254" i="59" s="1"/>
  <c r="BB255" i="59" s="1"/>
  <c r="AX341" i="59"/>
  <c r="BF342" i="59"/>
  <c r="M291" i="54"/>
  <c r="M307" i="55" s="1"/>
  <c r="BB92" i="59"/>
  <c r="AX92" i="59"/>
  <c r="BF92" i="59"/>
  <c r="BB340" i="59"/>
  <c r="AX340" i="59"/>
  <c r="AX342" i="59"/>
  <c r="BF91" i="59"/>
  <c r="AQ106" i="59"/>
  <c r="AP107" i="59"/>
  <c r="BJ404" i="59"/>
  <c r="BJ402" i="59"/>
  <c r="BJ400" i="59"/>
  <c r="BJ405" i="59"/>
  <c r="BJ401" i="59"/>
  <c r="BJ396" i="59"/>
  <c r="BJ395" i="59"/>
  <c r="BJ403" i="59"/>
  <c r="BJ398" i="59"/>
  <c r="BJ397" i="59"/>
  <c r="BJ337" i="59"/>
  <c r="BJ399" i="59"/>
  <c r="BJ332" i="59"/>
  <c r="BJ336" i="59"/>
  <c r="BJ328" i="59"/>
  <c r="BJ334" i="59"/>
  <c r="BJ335" i="59"/>
  <c r="BJ315" i="59"/>
  <c r="BJ330" i="59"/>
  <c r="BJ324" i="59"/>
  <c r="BJ316" i="59"/>
  <c r="BJ326" i="59"/>
  <c r="BJ322" i="59"/>
  <c r="BJ314" i="59"/>
  <c r="BJ312" i="59"/>
  <c r="BJ309" i="59"/>
  <c r="BJ307" i="59"/>
  <c r="BJ305" i="59"/>
  <c r="BJ302" i="59"/>
  <c r="BJ313" i="59"/>
  <c r="BJ311" i="59"/>
  <c r="BJ308" i="59"/>
  <c r="BJ306" i="59"/>
  <c r="BJ303" i="59"/>
  <c r="BJ298" i="59"/>
  <c r="BJ304" i="59"/>
  <c r="BJ310" i="59"/>
  <c r="BJ301" i="59"/>
  <c r="BJ300" i="59"/>
  <c r="BJ297" i="59"/>
  <c r="BJ284" i="59"/>
  <c r="BJ282" i="59"/>
  <c r="BJ280" i="59"/>
  <c r="BJ278" i="59"/>
  <c r="BJ276" i="59"/>
  <c r="BJ274" i="59"/>
  <c r="BJ295" i="59"/>
  <c r="BJ294" i="59"/>
  <c r="BJ293" i="59"/>
  <c r="BJ299" i="59"/>
  <c r="BJ291" i="59"/>
  <c r="BJ289" i="59"/>
  <c r="BJ287" i="59"/>
  <c r="BJ296" i="59"/>
  <c r="BJ285" i="59"/>
  <c r="BJ283" i="59"/>
  <c r="BJ281" i="59"/>
  <c r="BJ279" i="59"/>
  <c r="BJ277" i="59"/>
  <c r="BJ290" i="59"/>
  <c r="BJ271" i="59"/>
  <c r="BJ269" i="59"/>
  <c r="BJ288" i="59"/>
  <c r="BJ275" i="59"/>
  <c r="BJ272" i="59"/>
  <c r="BJ286" i="59"/>
  <c r="BJ273" i="59"/>
  <c r="BJ270" i="59"/>
  <c r="BJ268" i="59"/>
  <c r="BJ216" i="59"/>
  <c r="BJ214" i="59"/>
  <c r="BJ265" i="59"/>
  <c r="BJ217" i="59"/>
  <c r="BJ218" i="59"/>
  <c r="BJ215" i="59"/>
  <c r="BJ213" i="59"/>
  <c r="BJ266" i="59"/>
  <c r="BJ264" i="59"/>
  <c r="BJ262" i="59"/>
  <c r="BJ260" i="59"/>
  <c r="BJ258" i="59"/>
  <c r="BJ292" i="59"/>
  <c r="BJ259" i="59"/>
  <c r="BJ267" i="59"/>
  <c r="BJ211" i="59"/>
  <c r="BJ210" i="59"/>
  <c r="BJ208" i="59"/>
  <c r="BJ263" i="59"/>
  <c r="BJ212" i="59"/>
  <c r="BJ261" i="59"/>
  <c r="BJ197" i="59"/>
  <c r="BJ195" i="59"/>
  <c r="BJ193" i="59"/>
  <c r="BJ209" i="59"/>
  <c r="BJ207" i="59"/>
  <c r="BJ204" i="59"/>
  <c r="BJ202" i="59"/>
  <c r="BJ200" i="59"/>
  <c r="BJ206" i="59"/>
  <c r="BJ205" i="59"/>
  <c r="BJ203" i="59"/>
  <c r="BJ201" i="59"/>
  <c r="BJ199" i="59"/>
  <c r="BJ191" i="59"/>
  <c r="BJ183" i="59"/>
  <c r="BJ198" i="59"/>
  <c r="BJ192" i="59"/>
  <c r="BJ189" i="59"/>
  <c r="BJ194" i="59"/>
  <c r="BJ190" i="59"/>
  <c r="BJ187" i="59"/>
  <c r="BJ196" i="59"/>
  <c r="BJ188" i="59"/>
  <c r="BJ184" i="59"/>
  <c r="BJ185" i="59"/>
  <c r="BJ182" i="59"/>
  <c r="BJ181" i="59"/>
  <c r="BJ179" i="59"/>
  <c r="BJ177" i="59"/>
  <c r="BJ175" i="59"/>
  <c r="BJ173" i="59"/>
  <c r="BJ171" i="59"/>
  <c r="BJ186" i="59"/>
  <c r="BJ174" i="59"/>
  <c r="BJ178" i="59"/>
  <c r="BJ172" i="59"/>
  <c r="BJ176" i="59"/>
  <c r="BJ180" i="59"/>
  <c r="BJ102" i="59"/>
  <c r="BJ90" i="59"/>
  <c r="BJ88" i="59"/>
  <c r="BJ104" i="59"/>
  <c r="BJ89" i="59"/>
  <c r="BJ103" i="59"/>
  <c r="BJ87" i="59"/>
  <c r="BJ72" i="59"/>
  <c r="BJ85" i="59"/>
  <c r="BJ70" i="59"/>
  <c r="BJ68" i="59"/>
  <c r="BJ84" i="59"/>
  <c r="BJ83" i="59"/>
  <c r="BJ66" i="59"/>
  <c r="BJ80" i="59"/>
  <c r="BJ79" i="59"/>
  <c r="BJ76" i="59"/>
  <c r="BJ75" i="59"/>
  <c r="BJ73" i="59"/>
  <c r="BJ64" i="59"/>
  <c r="BJ62" i="59"/>
  <c r="BJ71" i="59"/>
  <c r="BJ60" i="59"/>
  <c r="BJ58" i="59"/>
  <c r="BJ56" i="59"/>
  <c r="BJ86" i="59"/>
  <c r="BJ69" i="59"/>
  <c r="BJ67" i="59"/>
  <c r="BJ82" i="59"/>
  <c r="BJ81" i="59"/>
  <c r="BJ78" i="59"/>
  <c r="BJ77" i="59"/>
  <c r="BJ74" i="59"/>
  <c r="BJ63" i="59"/>
  <c r="BJ57" i="59"/>
  <c r="BJ54" i="59"/>
  <c r="BJ53" i="59"/>
  <c r="BJ51" i="59"/>
  <c r="BJ49" i="59"/>
  <c r="BJ47" i="59"/>
  <c r="BJ45" i="59"/>
  <c r="BJ61" i="59"/>
  <c r="BJ59" i="59"/>
  <c r="BJ43" i="59"/>
  <c r="BJ41" i="59"/>
  <c r="BJ39" i="59"/>
  <c r="BJ37" i="59"/>
  <c r="BJ55" i="59"/>
  <c r="BJ65" i="59"/>
  <c r="BJ52" i="59"/>
  <c r="BJ50" i="59"/>
  <c r="BJ48" i="59"/>
  <c r="BJ46" i="59"/>
  <c r="BJ44" i="59"/>
  <c r="BJ35" i="59"/>
  <c r="BJ34" i="59"/>
  <c r="BJ32" i="59"/>
  <c r="BJ31" i="59"/>
  <c r="BJ29" i="59"/>
  <c r="BJ27" i="59"/>
  <c r="BJ25" i="59"/>
  <c r="BJ23" i="59"/>
  <c r="BJ21" i="59"/>
  <c r="BJ19" i="59"/>
  <c r="BJ17" i="59"/>
  <c r="BJ15" i="59"/>
  <c r="BJ13" i="59"/>
  <c r="BJ11" i="59"/>
  <c r="BJ9" i="59"/>
  <c r="BJ42" i="59"/>
  <c r="BJ40" i="59"/>
  <c r="BJ38" i="59"/>
  <c r="BJ33" i="59"/>
  <c r="BJ30" i="59"/>
  <c r="BJ28" i="59"/>
  <c r="BJ26" i="59"/>
  <c r="BJ24" i="59"/>
  <c r="BJ22" i="59"/>
  <c r="BJ20" i="59"/>
  <c r="BJ18" i="59"/>
  <c r="BJ16" i="59"/>
  <c r="BJ14" i="59"/>
  <c r="BJ12" i="59"/>
  <c r="BJ10" i="59"/>
  <c r="BJ36" i="59"/>
  <c r="BB428" i="59"/>
  <c r="BB430" i="59" s="1"/>
  <c r="BB431" i="59" s="1"/>
  <c r="BB98" i="59" s="1"/>
  <c r="BF428" i="59"/>
  <c r="BF430" i="59" s="1"/>
  <c r="BF431" i="59" s="1"/>
  <c r="BF98" i="59" s="1"/>
  <c r="AT96" i="59"/>
  <c r="AT99" i="59" s="1"/>
  <c r="AT105" i="59" s="1"/>
  <c r="AT95" i="59"/>
  <c r="AX91" i="59"/>
  <c r="AX428" i="59"/>
  <c r="AX430" i="59" s="1"/>
  <c r="AX431" i="59" s="1"/>
  <c r="AX98" i="59" s="1"/>
  <c r="BF93" i="59"/>
  <c r="BF340" i="59"/>
  <c r="J258" i="54"/>
  <c r="J259" i="54" s="1"/>
  <c r="J304" i="55"/>
  <c r="J300" i="54"/>
  <c r="J308" i="54" s="1"/>
  <c r="S314" i="54"/>
  <c r="IB20" i="54"/>
  <c r="O288" i="54"/>
  <c r="O289" i="54" s="1"/>
  <c r="N249" i="55"/>
  <c r="S280" i="54"/>
  <c r="S281" i="54"/>
  <c r="IH20" i="54"/>
  <c r="HZ21" i="54"/>
  <c r="P288" i="54" s="1"/>
  <c r="M315" i="54"/>
  <c r="R302" i="54"/>
  <c r="R310" i="54" s="1"/>
  <c r="R282" i="54"/>
  <c r="R283" i="54" s="1"/>
  <c r="M290" i="54"/>
  <c r="M292" i="54"/>
  <c r="M294" i="54" s="1"/>
  <c r="M295" i="54" s="1"/>
  <c r="L258" i="54"/>
  <c r="L259" i="54" s="1"/>
  <c r="L300" i="54"/>
  <c r="L308" i="54" s="1"/>
  <c r="L304" i="55"/>
  <c r="M256" i="54"/>
  <c r="M312" i="54"/>
  <c r="M299" i="54"/>
  <c r="M254" i="54"/>
  <c r="M257" i="54"/>
  <c r="M255" i="54"/>
  <c r="T277" i="54"/>
  <c r="T314" i="54" s="1"/>
  <c r="T273" i="55"/>
  <c r="HU25" i="55"/>
  <c r="O301" i="54"/>
  <c r="O309" i="54" s="1"/>
  <c r="O305" i="55"/>
  <c r="O270" i="54"/>
  <c r="O271" i="54" s="1"/>
  <c r="IF21" i="54"/>
  <c r="HT21" i="54"/>
  <c r="Q264" i="54"/>
  <c r="IF22" i="54"/>
  <c r="HT22" i="54"/>
  <c r="HS22" i="54"/>
  <c r="HS21" i="54"/>
  <c r="P264" i="54"/>
  <c r="S262" i="54" a="1"/>
  <c r="S262" i="54" s="1"/>
  <c r="S263" i="54" s="1"/>
  <c r="R263" i="54"/>
  <c r="HR23" i="54" s="1"/>
  <c r="Q251" i="54"/>
  <c r="R250" i="54" a="1"/>
  <c r="R250" i="54" s="1"/>
  <c r="V275" i="54"/>
  <c r="HV27" i="54" s="1"/>
  <c r="W274" i="54" a="1"/>
  <c r="W274" i="54" s="1"/>
  <c r="U276" i="54"/>
  <c r="HX26" i="54"/>
  <c r="IG26" i="54"/>
  <c r="HW26" i="54"/>
  <c r="Q287" i="54"/>
  <c r="R286" i="54" a="1"/>
  <c r="R286" i="54" s="1"/>
  <c r="HR24" i="54" l="1"/>
  <c r="S306" i="55"/>
  <c r="M303" i="54"/>
  <c r="M311" i="54" s="1"/>
  <c r="N253" i="54"/>
  <c r="BN1" i="59" s="1"/>
  <c r="BF343" i="59"/>
  <c r="BF344" i="59" s="1"/>
  <c r="BF97" i="59" s="1"/>
  <c r="AX343" i="59"/>
  <c r="AX344" i="59" s="1"/>
  <c r="AX97" i="59" s="1"/>
  <c r="BB343" i="59"/>
  <c r="BB344" i="59" s="1"/>
  <c r="BB97" i="59" s="1"/>
  <c r="AX94" i="59"/>
  <c r="AX96" i="59" s="1"/>
  <c r="AX99" i="59" s="1"/>
  <c r="AX105" i="59" s="1"/>
  <c r="S282" i="54"/>
  <c r="S283" i="54" s="1"/>
  <c r="HP21" i="54"/>
  <c r="HO21" i="54"/>
  <c r="IE21" i="54"/>
  <c r="P252" i="54"/>
  <c r="P253" i="54" s="1"/>
  <c r="P256" i="54" s="1"/>
  <c r="HN22" i="54"/>
  <c r="HO22" i="54" s="1"/>
  <c r="O252" i="54"/>
  <c r="HP20" i="54"/>
  <c r="HO20" i="54"/>
  <c r="IE20" i="54"/>
  <c r="BB94" i="59"/>
  <c r="BB95" i="59" s="1"/>
  <c r="BJ342" i="59"/>
  <c r="BJ428" i="59"/>
  <c r="BJ430" i="59" s="1"/>
  <c r="BJ431" i="59" s="1"/>
  <c r="BJ98" i="59" s="1"/>
  <c r="T278" i="54"/>
  <c r="BJ91" i="59"/>
  <c r="AU106" i="59"/>
  <c r="AT107" i="59"/>
  <c r="BJ92" i="59"/>
  <c r="BJ93" i="59"/>
  <c r="BF94" i="59"/>
  <c r="BJ251" i="59"/>
  <c r="BJ254" i="59" s="1"/>
  <c r="BJ255" i="59" s="1"/>
  <c r="BJ340" i="59"/>
  <c r="BJ341" i="59"/>
  <c r="N292" i="54"/>
  <c r="N290" i="54"/>
  <c r="N293" i="54"/>
  <c r="N291" i="54"/>
  <c r="N315" i="54"/>
  <c r="T280" i="54"/>
  <c r="IB21" i="54"/>
  <c r="HZ22" i="54"/>
  <c r="IA22" i="54" s="1"/>
  <c r="IH21" i="54"/>
  <c r="IA21" i="54"/>
  <c r="O292" i="54"/>
  <c r="O315" i="54"/>
  <c r="T279" i="54"/>
  <c r="T302" i="54" s="1"/>
  <c r="T310" i="54" s="1"/>
  <c r="HY20" i="55"/>
  <c r="O285" i="55"/>
  <c r="T281" i="54"/>
  <c r="O290" i="54"/>
  <c r="O293" i="54"/>
  <c r="O291" i="54"/>
  <c r="O303" i="54" s="1"/>
  <c r="O311" i="54" s="1"/>
  <c r="Q265" i="54"/>
  <c r="Q261" i="55"/>
  <c r="HQ22" i="55"/>
  <c r="P249" i="55"/>
  <c r="HM21" i="55"/>
  <c r="U277" i="54"/>
  <c r="U314" i="54" s="1"/>
  <c r="U273" i="55"/>
  <c r="HU26" i="55"/>
  <c r="P265" i="54"/>
  <c r="P267" i="54" s="1"/>
  <c r="P261" i="55"/>
  <c r="HQ21" i="55"/>
  <c r="M258" i="54"/>
  <c r="M259" i="54" s="1"/>
  <c r="P289" i="54"/>
  <c r="P292" i="54" s="1"/>
  <c r="P285" i="55"/>
  <c r="HY21" i="55"/>
  <c r="M300" i="54"/>
  <c r="M308" i="54" s="1"/>
  <c r="M304" i="55"/>
  <c r="S264" i="54"/>
  <c r="HS24" i="54"/>
  <c r="IF24" i="54"/>
  <c r="HT24" i="54"/>
  <c r="T262" i="54" a="1"/>
  <c r="T262" i="54" s="1"/>
  <c r="T263" i="54" s="1"/>
  <c r="HR25" i="54" s="1"/>
  <c r="HS23" i="54"/>
  <c r="R264" i="54"/>
  <c r="IF23" i="54"/>
  <c r="HT23" i="54"/>
  <c r="V276" i="54"/>
  <c r="IG27" i="54"/>
  <c r="HW27" i="54"/>
  <c r="HX27" i="54"/>
  <c r="W275" i="54"/>
  <c r="HV28" i="54" s="1"/>
  <c r="X274" i="54" a="1"/>
  <c r="X274" i="54" s="1"/>
  <c r="R251" i="54"/>
  <c r="S250" i="54" a="1"/>
  <c r="S250" i="54" s="1"/>
  <c r="R287" i="54"/>
  <c r="S286" i="54" a="1"/>
  <c r="S286" i="54" s="1"/>
  <c r="Q252" i="54"/>
  <c r="HP22" i="54"/>
  <c r="HN23" i="54" l="1"/>
  <c r="IE22" i="54"/>
  <c r="BN401" i="59"/>
  <c r="V401" i="59" s="1"/>
  <c r="N401" i="59" s="1"/>
  <c r="BN337" i="59"/>
  <c r="V337" i="59" s="1"/>
  <c r="N337" i="59" s="1"/>
  <c r="BN295" i="59"/>
  <c r="V295" i="59" s="1"/>
  <c r="N295" i="59" s="1"/>
  <c r="BN289" i="59"/>
  <c r="V289" i="59" s="1"/>
  <c r="N289" i="59" s="1"/>
  <c r="BN184" i="59"/>
  <c r="V184" i="59" s="1"/>
  <c r="N184" i="59" s="1"/>
  <c r="BN87" i="59"/>
  <c r="V87" i="59" s="1"/>
  <c r="N87" i="59" s="1"/>
  <c r="BN42" i="59"/>
  <c r="V42" i="59" s="1"/>
  <c r="N42" i="59" s="1"/>
  <c r="BN25" i="59"/>
  <c r="V25" i="59" s="1"/>
  <c r="N25" i="59" s="1"/>
  <c r="BN336" i="59"/>
  <c r="V336" i="59" s="1"/>
  <c r="N336" i="59" s="1"/>
  <c r="BN277" i="59"/>
  <c r="V277" i="59" s="1"/>
  <c r="N277" i="59" s="1"/>
  <c r="BN265" i="59"/>
  <c r="V265" i="59" s="1"/>
  <c r="N265" i="59" s="1"/>
  <c r="BN180" i="59"/>
  <c r="V180" i="59" s="1"/>
  <c r="N180" i="59" s="1"/>
  <c r="BN77" i="59"/>
  <c r="V77" i="59" s="1"/>
  <c r="N77" i="59" s="1"/>
  <c r="BN36" i="59"/>
  <c r="V36" i="59" s="1"/>
  <c r="N36" i="59" s="1"/>
  <c r="BN15" i="59"/>
  <c r="V15" i="59" s="1"/>
  <c r="N15" i="59" s="1"/>
  <c r="BN324" i="59"/>
  <c r="V324" i="59" s="1"/>
  <c r="N324" i="59" s="1"/>
  <c r="BN292" i="59"/>
  <c r="V292" i="59" s="1"/>
  <c r="N292" i="59" s="1"/>
  <c r="BN259" i="59"/>
  <c r="V259" i="59" s="1"/>
  <c r="N259" i="59" s="1"/>
  <c r="BN174" i="59"/>
  <c r="V174" i="59" s="1"/>
  <c r="N174" i="59" s="1"/>
  <c r="BN63" i="59"/>
  <c r="V63" i="59" s="1"/>
  <c r="N63" i="59" s="1"/>
  <c r="BN51" i="59"/>
  <c r="V51" i="59" s="1"/>
  <c r="N51" i="59" s="1"/>
  <c r="BN9" i="59"/>
  <c r="V9" i="59" s="1"/>
  <c r="BN306" i="59"/>
  <c r="V306" i="59" s="1"/>
  <c r="BN282" i="59"/>
  <c r="V282" i="59" s="1"/>
  <c r="N282" i="59" s="1"/>
  <c r="BN260" i="59"/>
  <c r="V260" i="59" s="1"/>
  <c r="N260" i="59" s="1"/>
  <c r="BN197" i="59"/>
  <c r="V197" i="59" s="1"/>
  <c r="N197" i="59" s="1"/>
  <c r="BN54" i="59"/>
  <c r="V54" i="59" s="1"/>
  <c r="N54" i="59" s="1"/>
  <c r="BN37" i="59"/>
  <c r="V37" i="59" s="1"/>
  <c r="N37" i="59" s="1"/>
  <c r="BN55" i="59"/>
  <c r="V55" i="59" s="1"/>
  <c r="N55" i="59" s="1"/>
  <c r="BN316" i="59"/>
  <c r="V316" i="59" s="1"/>
  <c r="N316" i="59" s="1"/>
  <c r="BN276" i="59"/>
  <c r="V276" i="59" s="1"/>
  <c r="N276" i="59" s="1"/>
  <c r="BN258" i="59"/>
  <c r="V258" i="59" s="1"/>
  <c r="N258" i="59" s="1"/>
  <c r="BN175" i="59"/>
  <c r="V175" i="59" s="1"/>
  <c r="N175" i="59" s="1"/>
  <c r="BN85" i="59"/>
  <c r="V85" i="59" s="1"/>
  <c r="N85" i="59" s="1"/>
  <c r="BN39" i="59"/>
  <c r="V39" i="59" s="1"/>
  <c r="N39" i="59" s="1"/>
  <c r="BN305" i="59"/>
  <c r="V305" i="59" s="1"/>
  <c r="N305" i="59" s="1"/>
  <c r="BN293" i="59"/>
  <c r="V293" i="59" s="1"/>
  <c r="N293" i="59" s="1"/>
  <c r="BN192" i="59"/>
  <c r="V192" i="59" s="1"/>
  <c r="N192" i="59" s="1"/>
  <c r="BN102" i="59"/>
  <c r="BN76" i="59"/>
  <c r="V76" i="59" s="1"/>
  <c r="N76" i="59" s="1"/>
  <c r="BN24" i="59"/>
  <c r="V24" i="59" s="1"/>
  <c r="N24" i="59" s="1"/>
  <c r="BN403" i="59"/>
  <c r="V403" i="59" s="1"/>
  <c r="N403" i="59" s="1"/>
  <c r="BN311" i="59"/>
  <c r="V311" i="59" s="1"/>
  <c r="N311" i="59" s="1"/>
  <c r="BN269" i="59"/>
  <c r="V269" i="59" s="1"/>
  <c r="N269" i="59" s="1"/>
  <c r="BN199" i="59"/>
  <c r="V199" i="59" s="1"/>
  <c r="N199" i="59" s="1"/>
  <c r="BN89" i="59"/>
  <c r="V89" i="59" s="1"/>
  <c r="N89" i="59" s="1"/>
  <c r="BN18" i="59"/>
  <c r="V18" i="59" s="1"/>
  <c r="N18" i="59" s="1"/>
  <c r="BN402" i="59"/>
  <c r="V402" i="59" s="1"/>
  <c r="N402" i="59" s="1"/>
  <c r="BN314" i="59"/>
  <c r="V314" i="59" s="1"/>
  <c r="N314" i="59" s="1"/>
  <c r="BN264" i="59"/>
  <c r="V264" i="59" s="1"/>
  <c r="N264" i="59" s="1"/>
  <c r="BN200" i="59"/>
  <c r="V200" i="59" s="1"/>
  <c r="N200" i="59" s="1"/>
  <c r="BN71" i="59"/>
  <c r="V71" i="59" s="1"/>
  <c r="N71" i="59" s="1"/>
  <c r="BN48" i="59"/>
  <c r="V48" i="59" s="1"/>
  <c r="N48" i="59" s="1"/>
  <c r="BN31" i="59"/>
  <c r="V31" i="59" s="1"/>
  <c r="N31" i="59" s="1"/>
  <c r="AX95" i="59"/>
  <c r="N256" i="54"/>
  <c r="N254" i="54"/>
  <c r="N255" i="54"/>
  <c r="N257" i="54"/>
  <c r="N299" i="54"/>
  <c r="N312" i="54"/>
  <c r="BN11" i="59"/>
  <c r="V11" i="59" s="1"/>
  <c r="N11" i="59" s="1"/>
  <c r="BN27" i="59"/>
  <c r="V27" i="59" s="1"/>
  <c r="N27" i="59" s="1"/>
  <c r="BN20" i="59"/>
  <c r="V20" i="59" s="1"/>
  <c r="N20" i="59" s="1"/>
  <c r="BN41" i="59"/>
  <c r="V41" i="59" s="1"/>
  <c r="N41" i="59" s="1"/>
  <c r="BN53" i="59"/>
  <c r="V53" i="59" s="1"/>
  <c r="N53" i="59" s="1"/>
  <c r="BN44" i="59"/>
  <c r="V44" i="59" s="1"/>
  <c r="N44" i="59" s="1"/>
  <c r="BN73" i="59"/>
  <c r="V73" i="59" s="1"/>
  <c r="N73" i="59" s="1"/>
  <c r="BN68" i="59"/>
  <c r="V68" i="59" s="1"/>
  <c r="N68" i="59" s="1"/>
  <c r="BN65" i="59"/>
  <c r="V65" i="59" s="1"/>
  <c r="N65" i="59" s="1"/>
  <c r="BN67" i="59"/>
  <c r="V67" i="59" s="1"/>
  <c r="N67" i="59" s="1"/>
  <c r="BN179" i="59"/>
  <c r="V179" i="59" s="1"/>
  <c r="N179" i="59" s="1"/>
  <c r="BN189" i="59"/>
  <c r="V189" i="59" s="1"/>
  <c r="N189" i="59" s="1"/>
  <c r="BN176" i="59"/>
  <c r="V176" i="59" s="1"/>
  <c r="N176" i="59" s="1"/>
  <c r="BN187" i="59"/>
  <c r="V187" i="59" s="1"/>
  <c r="N187" i="59" s="1"/>
  <c r="BN201" i="59"/>
  <c r="V201" i="59" s="1"/>
  <c r="N201" i="59" s="1"/>
  <c r="BN207" i="59"/>
  <c r="V207" i="59" s="1"/>
  <c r="N207" i="59" s="1"/>
  <c r="BN261" i="59"/>
  <c r="V261" i="59" s="1"/>
  <c r="N261" i="59" s="1"/>
  <c r="BN267" i="59"/>
  <c r="V267" i="59" s="1"/>
  <c r="N267" i="59" s="1"/>
  <c r="BN271" i="59"/>
  <c r="V271" i="59" s="1"/>
  <c r="N271" i="59" s="1"/>
  <c r="BN278" i="59"/>
  <c r="V278" i="59" s="1"/>
  <c r="N278" i="59" s="1"/>
  <c r="BN273" i="59"/>
  <c r="V273" i="59" s="1"/>
  <c r="N273" i="59" s="1"/>
  <c r="BN296" i="59"/>
  <c r="V296" i="59" s="1"/>
  <c r="N296" i="59" s="1"/>
  <c r="BN312" i="59"/>
  <c r="V312" i="59" s="1"/>
  <c r="N312" i="59" s="1"/>
  <c r="BN301" i="59"/>
  <c r="V301" i="59" s="1"/>
  <c r="N301" i="59" s="1"/>
  <c r="BN332" i="59"/>
  <c r="V332" i="59" s="1"/>
  <c r="N332" i="59" s="1"/>
  <c r="BN395" i="59"/>
  <c r="V395" i="59" s="1"/>
  <c r="BN405" i="59"/>
  <c r="V405" i="59" s="1"/>
  <c r="N405" i="59" s="1"/>
  <c r="BN13" i="59"/>
  <c r="V13" i="59" s="1"/>
  <c r="N13" i="59" s="1"/>
  <c r="BN29" i="59"/>
  <c r="V29" i="59" s="1"/>
  <c r="N29" i="59" s="1"/>
  <c r="BN22" i="59"/>
  <c r="V22" i="59" s="1"/>
  <c r="N22" i="59" s="1"/>
  <c r="BN43" i="59"/>
  <c r="V43" i="59" s="1"/>
  <c r="N43" i="59" s="1"/>
  <c r="BN35" i="59"/>
  <c r="V35" i="59" s="1"/>
  <c r="N35" i="59" s="1"/>
  <c r="BN46" i="59"/>
  <c r="V46" i="59" s="1"/>
  <c r="N46" i="59" s="1"/>
  <c r="BN75" i="59"/>
  <c r="V75" i="59" s="1"/>
  <c r="N75" i="59" s="1"/>
  <c r="BN70" i="59"/>
  <c r="V70" i="59" s="1"/>
  <c r="N70" i="59" s="1"/>
  <c r="BN74" i="59"/>
  <c r="V74" i="59" s="1"/>
  <c r="N74" i="59" s="1"/>
  <c r="BN69" i="59"/>
  <c r="V69" i="59" s="1"/>
  <c r="BN177" i="59"/>
  <c r="V177" i="59" s="1"/>
  <c r="N177" i="59" s="1"/>
  <c r="BN190" i="59"/>
  <c r="V190" i="59" s="1"/>
  <c r="N190" i="59" s="1"/>
  <c r="BN178" i="59"/>
  <c r="V178" i="59" s="1"/>
  <c r="N178" i="59" s="1"/>
  <c r="BN188" i="59"/>
  <c r="V188" i="59" s="1"/>
  <c r="N188" i="59" s="1"/>
  <c r="BN203" i="59"/>
  <c r="V203" i="59" s="1"/>
  <c r="N203" i="59" s="1"/>
  <c r="BN209" i="59"/>
  <c r="V209" i="59" s="1"/>
  <c r="N209" i="59" s="1"/>
  <c r="BN263" i="59"/>
  <c r="V263" i="59" s="1"/>
  <c r="N263" i="59" s="1"/>
  <c r="BN287" i="59"/>
  <c r="V287" i="59" s="1"/>
  <c r="N287" i="59" s="1"/>
  <c r="BN291" i="59"/>
  <c r="V291" i="59" s="1"/>
  <c r="N291" i="59" s="1"/>
  <c r="BN280" i="59"/>
  <c r="V280" i="59" s="1"/>
  <c r="N280" i="59" s="1"/>
  <c r="BN275" i="59"/>
  <c r="V275" i="59" s="1"/>
  <c r="N275" i="59" s="1"/>
  <c r="BN298" i="59"/>
  <c r="V298" i="59" s="1"/>
  <c r="N298" i="59" s="1"/>
  <c r="BN322" i="59"/>
  <c r="V322" i="59" s="1"/>
  <c r="BN303" i="59"/>
  <c r="V303" i="59" s="1"/>
  <c r="N303" i="59" s="1"/>
  <c r="BN334" i="59"/>
  <c r="V334" i="59" s="1"/>
  <c r="N334" i="59" s="1"/>
  <c r="BN396" i="59"/>
  <c r="V396" i="59" s="1"/>
  <c r="N396" i="59" s="1"/>
  <c r="BN398" i="59"/>
  <c r="V398" i="59" s="1"/>
  <c r="N398" i="59" s="1"/>
  <c r="BN17" i="59"/>
  <c r="V17" i="59" s="1"/>
  <c r="N17" i="59" s="1"/>
  <c r="BN10" i="59"/>
  <c r="V10" i="59" s="1"/>
  <c r="N10" i="59" s="1"/>
  <c r="BN26" i="59"/>
  <c r="V26" i="59" s="1"/>
  <c r="N26" i="59" s="1"/>
  <c r="BN58" i="59"/>
  <c r="V58" i="59" s="1"/>
  <c r="N58" i="59" s="1"/>
  <c r="BN60" i="59"/>
  <c r="V60" i="59" s="1"/>
  <c r="N60" i="59" s="1"/>
  <c r="BN50" i="59"/>
  <c r="V50" i="59" s="1"/>
  <c r="N50" i="59" s="1"/>
  <c r="BN79" i="59"/>
  <c r="V79" i="59" s="1"/>
  <c r="N79" i="59" s="1"/>
  <c r="BN57" i="59"/>
  <c r="V57" i="59" s="1"/>
  <c r="BN78" i="59"/>
  <c r="V78" i="59" s="1"/>
  <c r="N78" i="59" s="1"/>
  <c r="BN88" i="59"/>
  <c r="V88" i="59" s="1"/>
  <c r="N88" i="59" s="1"/>
  <c r="BN103" i="59"/>
  <c r="BN191" i="59"/>
  <c r="V191" i="59" s="1"/>
  <c r="N191" i="59" s="1"/>
  <c r="BN183" i="59"/>
  <c r="V183" i="59" s="1"/>
  <c r="N183" i="59" s="1"/>
  <c r="BN202" i="59"/>
  <c r="V202" i="59" s="1"/>
  <c r="N202" i="59" s="1"/>
  <c r="BN194" i="59"/>
  <c r="V194" i="59" s="1"/>
  <c r="N194" i="59" s="1"/>
  <c r="BN262" i="59"/>
  <c r="V262" i="59" s="1"/>
  <c r="N262" i="59" s="1"/>
  <c r="BN212" i="59"/>
  <c r="V212" i="59" s="1"/>
  <c r="N212" i="59" s="1"/>
  <c r="BN266" i="59"/>
  <c r="V266" i="59" s="1"/>
  <c r="N266" i="59" s="1"/>
  <c r="BN268" i="59"/>
  <c r="V268" i="59" s="1"/>
  <c r="N268" i="59" s="1"/>
  <c r="BN284" i="59"/>
  <c r="V284" i="59" s="1"/>
  <c r="N284" i="59" s="1"/>
  <c r="BN279" i="59"/>
  <c r="V279" i="59" s="1"/>
  <c r="N279" i="59" s="1"/>
  <c r="BN300" i="59"/>
  <c r="V300" i="59" s="1"/>
  <c r="N300" i="59" s="1"/>
  <c r="BN307" i="59"/>
  <c r="V307" i="59" s="1"/>
  <c r="N307" i="59" s="1"/>
  <c r="BN308" i="59"/>
  <c r="V308" i="59" s="1"/>
  <c r="N308" i="59" s="1"/>
  <c r="BN326" i="59"/>
  <c r="V326" i="59" s="1"/>
  <c r="N326" i="59" s="1"/>
  <c r="BN400" i="59"/>
  <c r="V400" i="59" s="1"/>
  <c r="N400" i="59" s="1"/>
  <c r="BN19" i="59"/>
  <c r="V19" i="59" s="1"/>
  <c r="N19" i="59" s="1"/>
  <c r="BN12" i="59"/>
  <c r="V12" i="59" s="1"/>
  <c r="N12" i="59" s="1"/>
  <c r="BN28" i="59"/>
  <c r="V28" i="59" s="1"/>
  <c r="N28" i="59" s="1"/>
  <c r="BN45" i="59"/>
  <c r="V45" i="59" s="1"/>
  <c r="N45" i="59" s="1"/>
  <c r="BN62" i="59"/>
  <c r="V62" i="59" s="1"/>
  <c r="N62" i="59" s="1"/>
  <c r="BN52" i="59"/>
  <c r="V52" i="59" s="1"/>
  <c r="N52" i="59" s="1"/>
  <c r="BN80" i="59"/>
  <c r="V80" i="59" s="1"/>
  <c r="N80" i="59" s="1"/>
  <c r="BN59" i="59"/>
  <c r="V59" i="59" s="1"/>
  <c r="N59" i="59" s="1"/>
  <c r="BN81" i="59"/>
  <c r="V81" i="59" s="1"/>
  <c r="N81" i="59" s="1"/>
  <c r="BN171" i="59"/>
  <c r="V171" i="59" s="1"/>
  <c r="N171" i="59" s="1"/>
  <c r="BN104" i="59"/>
  <c r="BN195" i="59"/>
  <c r="V195" i="59" s="1"/>
  <c r="N195" i="59" s="1"/>
  <c r="BN186" i="59"/>
  <c r="V186" i="59" s="1"/>
  <c r="N186" i="59" s="1"/>
  <c r="BN204" i="59"/>
  <c r="V204" i="59" s="1"/>
  <c r="N204" i="59" s="1"/>
  <c r="BN196" i="59"/>
  <c r="V196" i="59" s="1"/>
  <c r="N196" i="59" s="1"/>
  <c r="BN210" i="59"/>
  <c r="V210" i="59" s="1"/>
  <c r="N210" i="59" s="1"/>
  <c r="BN214" i="59"/>
  <c r="V214" i="59" s="1"/>
  <c r="N214" i="59" s="1"/>
  <c r="BN213" i="59"/>
  <c r="V213" i="59" s="1"/>
  <c r="N213" i="59" s="1"/>
  <c r="BN270" i="59"/>
  <c r="V270" i="59" s="1"/>
  <c r="N270" i="59" s="1"/>
  <c r="BN286" i="59"/>
  <c r="V286" i="59" s="1"/>
  <c r="N286" i="59" s="1"/>
  <c r="BN281" i="59"/>
  <c r="V281" i="59" s="1"/>
  <c r="N281" i="59" s="1"/>
  <c r="BN297" i="59"/>
  <c r="V297" i="59" s="1"/>
  <c r="N297" i="59" s="1"/>
  <c r="BN309" i="59"/>
  <c r="V309" i="59" s="1"/>
  <c r="N309" i="59" s="1"/>
  <c r="BN313" i="59"/>
  <c r="V313" i="59" s="1"/>
  <c r="N313" i="59" s="1"/>
  <c r="BN335" i="59"/>
  <c r="V335" i="59" s="1"/>
  <c r="N335" i="59" s="1"/>
  <c r="BN404" i="59"/>
  <c r="V404" i="59" s="1"/>
  <c r="N404" i="59" s="1"/>
  <c r="BN34" i="59"/>
  <c r="V34" i="59" s="1"/>
  <c r="N34" i="59" s="1"/>
  <c r="BN21" i="59"/>
  <c r="V21" i="59" s="1"/>
  <c r="N21" i="59" s="1"/>
  <c r="BN14" i="59"/>
  <c r="V14" i="59" s="1"/>
  <c r="N14" i="59" s="1"/>
  <c r="BN30" i="59"/>
  <c r="V30" i="59" s="1"/>
  <c r="N30" i="59" s="1"/>
  <c r="BN47" i="59"/>
  <c r="V47" i="59" s="1"/>
  <c r="N47" i="59" s="1"/>
  <c r="BN38" i="59"/>
  <c r="V38" i="59" s="1"/>
  <c r="N38" i="59" s="1"/>
  <c r="BN56" i="59"/>
  <c r="V56" i="59" s="1"/>
  <c r="N56" i="59" s="1"/>
  <c r="BN66" i="59"/>
  <c r="V66" i="59" s="1"/>
  <c r="N66" i="59" s="1"/>
  <c r="BN72" i="59"/>
  <c r="V72" i="59" s="1"/>
  <c r="N72" i="59" s="1"/>
  <c r="BN82" i="59"/>
  <c r="V82" i="59" s="1"/>
  <c r="N82" i="59" s="1"/>
  <c r="BN84" i="59"/>
  <c r="V84" i="59" s="1"/>
  <c r="N84" i="59" s="1"/>
  <c r="BN173" i="59"/>
  <c r="V173" i="59" s="1"/>
  <c r="N173" i="59" s="1"/>
  <c r="BN193" i="59"/>
  <c r="V193" i="59" s="1"/>
  <c r="N193" i="59" s="1"/>
  <c r="BN182" i="59"/>
  <c r="V182" i="59" s="1"/>
  <c r="N182" i="59" s="1"/>
  <c r="BN208" i="59"/>
  <c r="V208" i="59" s="1"/>
  <c r="N208" i="59" s="1"/>
  <c r="BN198" i="59"/>
  <c r="V198" i="59" s="1"/>
  <c r="N198" i="59" s="1"/>
  <c r="BN211" i="59"/>
  <c r="V211" i="59" s="1"/>
  <c r="N211" i="59" s="1"/>
  <c r="BN216" i="59"/>
  <c r="V216" i="59" s="1"/>
  <c r="N216" i="59" s="1"/>
  <c r="BN215" i="59"/>
  <c r="V215" i="59" s="1"/>
  <c r="N215" i="59" s="1"/>
  <c r="BN294" i="59"/>
  <c r="V294" i="59" s="1"/>
  <c r="N294" i="59" s="1"/>
  <c r="BN288" i="59"/>
  <c r="V288" i="59" s="1"/>
  <c r="N288" i="59" s="1"/>
  <c r="BN283" i="59"/>
  <c r="V283" i="59" s="1"/>
  <c r="N283" i="59" s="1"/>
  <c r="BN299" i="59"/>
  <c r="V299" i="59" s="1"/>
  <c r="N299" i="59" s="1"/>
  <c r="BN310" i="59"/>
  <c r="V310" i="59" s="1"/>
  <c r="N310" i="59" s="1"/>
  <c r="BN315" i="59"/>
  <c r="V315" i="59" s="1"/>
  <c r="N315" i="59" s="1"/>
  <c r="BN330" i="59"/>
  <c r="V330" i="59" s="1"/>
  <c r="N330" i="59" s="1"/>
  <c r="BN399" i="59"/>
  <c r="V399" i="59" s="1"/>
  <c r="N399" i="59" s="1"/>
  <c r="BN32" i="59"/>
  <c r="V32" i="59" s="1"/>
  <c r="N32" i="59" s="1"/>
  <c r="BN23" i="59"/>
  <c r="V23" i="59" s="1"/>
  <c r="N23" i="59" s="1"/>
  <c r="BN16" i="59"/>
  <c r="V16" i="59" s="1"/>
  <c r="N16" i="59" s="1"/>
  <c r="BN33" i="59"/>
  <c r="V33" i="59" s="1"/>
  <c r="N33" i="59" s="1"/>
  <c r="BN49" i="59"/>
  <c r="V49" i="59" s="1"/>
  <c r="N49" i="59" s="1"/>
  <c r="BN40" i="59"/>
  <c r="V40" i="59" s="1"/>
  <c r="N40" i="59" s="1"/>
  <c r="BN64" i="59"/>
  <c r="V64" i="59" s="1"/>
  <c r="N64" i="59" s="1"/>
  <c r="BN83" i="59"/>
  <c r="V83" i="59" s="1"/>
  <c r="N83" i="59" s="1"/>
  <c r="BN61" i="59"/>
  <c r="V61" i="59" s="1"/>
  <c r="N61" i="59" s="1"/>
  <c r="BN86" i="59"/>
  <c r="V86" i="59" s="1"/>
  <c r="N86" i="59" s="1"/>
  <c r="BN90" i="59"/>
  <c r="V90" i="59" s="1"/>
  <c r="N90" i="59" s="1"/>
  <c r="BN181" i="59"/>
  <c r="V181" i="59" s="1"/>
  <c r="N181" i="59" s="1"/>
  <c r="BN172" i="59"/>
  <c r="V172" i="59" s="1"/>
  <c r="N172" i="59" s="1"/>
  <c r="BN185" i="59"/>
  <c r="V185" i="59" s="1"/>
  <c r="N185" i="59" s="1"/>
  <c r="BN205" i="59"/>
  <c r="V205" i="59" s="1"/>
  <c r="N205" i="59" s="1"/>
  <c r="BN206" i="59"/>
  <c r="V206" i="59" s="1"/>
  <c r="N206" i="59" s="1"/>
  <c r="BN217" i="59"/>
  <c r="V217" i="59" s="1"/>
  <c r="N217" i="59" s="1"/>
  <c r="BN274" i="59"/>
  <c r="V274" i="59" s="1"/>
  <c r="N274" i="59" s="1"/>
  <c r="BN218" i="59"/>
  <c r="V218" i="59" s="1"/>
  <c r="N218" i="59" s="1"/>
  <c r="BN272" i="59"/>
  <c r="V272" i="59" s="1"/>
  <c r="N272" i="59" s="1"/>
  <c r="BN290" i="59"/>
  <c r="V290" i="59" s="1"/>
  <c r="N290" i="59" s="1"/>
  <c r="BN285" i="59"/>
  <c r="V285" i="59" s="1"/>
  <c r="N285" i="59" s="1"/>
  <c r="BN302" i="59"/>
  <c r="V302" i="59" s="1"/>
  <c r="N302" i="59" s="1"/>
  <c r="BN304" i="59"/>
  <c r="V304" i="59" s="1"/>
  <c r="N304" i="59" s="1"/>
  <c r="BN328" i="59"/>
  <c r="V328" i="59" s="1"/>
  <c r="N328" i="59" s="1"/>
  <c r="BN397" i="59"/>
  <c r="V397" i="59" s="1"/>
  <c r="N397" i="59" s="1"/>
  <c r="IB22" i="54"/>
  <c r="IH22" i="54"/>
  <c r="HZ23" i="54"/>
  <c r="R288" i="54" s="1"/>
  <c r="BB96" i="59"/>
  <c r="BB99" i="59" s="1"/>
  <c r="BB105" i="59" s="1"/>
  <c r="BC106" i="59" s="1"/>
  <c r="O253" i="54"/>
  <c r="O249" i="55"/>
  <c r="HM20" i="55"/>
  <c r="U278" i="54"/>
  <c r="P255" i="54"/>
  <c r="P300" i="54" s="1"/>
  <c r="P308" i="54" s="1"/>
  <c r="O294" i="54"/>
  <c r="O295" i="54" s="1"/>
  <c r="T282" i="54"/>
  <c r="T283" i="54" s="1"/>
  <c r="U280" i="54"/>
  <c r="N294" i="54"/>
  <c r="N295" i="54" s="1"/>
  <c r="N69" i="59"/>
  <c r="Q288" i="54"/>
  <c r="Q285" i="55" s="1"/>
  <c r="BJ343" i="59"/>
  <c r="BJ344" i="59" s="1"/>
  <c r="BJ97" i="59" s="1"/>
  <c r="U279" i="54"/>
  <c r="U306" i="55" s="1"/>
  <c r="N57" i="59"/>
  <c r="N303" i="54"/>
  <c r="N311" i="54" s="1"/>
  <c r="N307" i="55"/>
  <c r="BJ94" i="59"/>
  <c r="U281" i="54"/>
  <c r="AY106" i="59"/>
  <c r="AX107" i="59"/>
  <c r="BF96" i="59"/>
  <c r="BF99" i="59" s="1"/>
  <c r="BF105" i="59" s="1"/>
  <c r="BF95" i="59"/>
  <c r="P257" i="54"/>
  <c r="P258" i="54" s="1"/>
  <c r="P259" i="54" s="1"/>
  <c r="P254" i="54"/>
  <c r="P299" i="54"/>
  <c r="P312" i="54"/>
  <c r="T306" i="55"/>
  <c r="P268" i="54"/>
  <c r="P313" i="54"/>
  <c r="P315" i="54"/>
  <c r="P291" i="54"/>
  <c r="P303" i="54" s="1"/>
  <c r="P311" i="54" s="1"/>
  <c r="P290" i="54"/>
  <c r="P293" i="54"/>
  <c r="P294" i="54" s="1"/>
  <c r="P295" i="54" s="1"/>
  <c r="O307" i="55"/>
  <c r="P266" i="54"/>
  <c r="Q253" i="54"/>
  <c r="Q312" i="54" s="1"/>
  <c r="Q249" i="55"/>
  <c r="HM22" i="55"/>
  <c r="V277" i="54"/>
  <c r="V280" i="54" s="1"/>
  <c r="V273" i="55"/>
  <c r="HU27" i="55"/>
  <c r="P301" i="54"/>
  <c r="P309" i="54" s="1"/>
  <c r="P305" i="55"/>
  <c r="S265" i="54"/>
  <c r="S268" i="54" s="1"/>
  <c r="S261" i="55"/>
  <c r="HQ24" i="55"/>
  <c r="R265" i="54"/>
  <c r="R313" i="54" s="1"/>
  <c r="R261" i="55"/>
  <c r="HQ23" i="55"/>
  <c r="P269" i="54"/>
  <c r="Q268" i="54"/>
  <c r="Q267" i="54"/>
  <c r="Q313" i="54"/>
  <c r="Q266" i="54"/>
  <c r="Q269" i="54"/>
  <c r="HS25" i="54"/>
  <c r="IF25" i="54"/>
  <c r="HT25" i="54"/>
  <c r="T264" i="54"/>
  <c r="U262" i="54" a="1"/>
  <c r="U262" i="54" s="1"/>
  <c r="R252" i="54"/>
  <c r="HO23" i="54"/>
  <c r="IE23" i="54"/>
  <c r="HP23" i="54"/>
  <c r="X275" i="54"/>
  <c r="HV29" i="54" s="1"/>
  <c r="Y274" i="54" a="1"/>
  <c r="Y274" i="54" s="1"/>
  <c r="W276" i="54"/>
  <c r="HX28" i="54"/>
  <c r="IG28" i="54"/>
  <c r="HW28" i="54"/>
  <c r="S287" i="54"/>
  <c r="T286" i="54" a="1"/>
  <c r="T286" i="54" s="1"/>
  <c r="S251" i="54"/>
  <c r="HN24" i="54" s="1"/>
  <c r="T250" i="54" a="1"/>
  <c r="T250" i="54" s="1"/>
  <c r="Q289" i="54" l="1"/>
  <c r="Q292" i="54" s="1"/>
  <c r="HY22" i="55"/>
  <c r="U302" i="54"/>
  <c r="U310" i="54" s="1"/>
  <c r="N258" i="54"/>
  <c r="N259" i="54" s="1"/>
  <c r="HZ24" i="54"/>
  <c r="IH23" i="54"/>
  <c r="IA23" i="54"/>
  <c r="IB23" i="54"/>
  <c r="P304" i="55"/>
  <c r="V112" i="59"/>
  <c r="N112" i="59" s="1"/>
  <c r="N300" i="54"/>
  <c r="N308" i="54" s="1"/>
  <c r="N304" i="55"/>
  <c r="U282" i="54"/>
  <c r="U283" i="54" s="1"/>
  <c r="BN341" i="59"/>
  <c r="V114" i="59"/>
  <c r="V92" i="59"/>
  <c r="N340" i="59"/>
  <c r="BN340" i="59"/>
  <c r="BN428" i="59"/>
  <c r="BN430" i="59" s="1"/>
  <c r="BN431" i="59" s="1"/>
  <c r="BN98" i="59" s="1"/>
  <c r="BN93" i="59"/>
  <c r="V340" i="59"/>
  <c r="BN91" i="59"/>
  <c r="BN251" i="59"/>
  <c r="BN254" i="59" s="1"/>
  <c r="BN255" i="59" s="1"/>
  <c r="BN92" i="59"/>
  <c r="BN342" i="59"/>
  <c r="V93" i="59"/>
  <c r="N92" i="59"/>
  <c r="N251" i="59"/>
  <c r="N254" i="59" s="1"/>
  <c r="N255" i="59" s="1"/>
  <c r="V251" i="59"/>
  <c r="V254" i="59" s="1"/>
  <c r="V255" i="59" s="1"/>
  <c r="BB107" i="59"/>
  <c r="Q291" i="54"/>
  <c r="Q303" i="54" s="1"/>
  <c r="Q311" i="54" s="1"/>
  <c r="V279" i="54"/>
  <c r="V306" i="55" s="1"/>
  <c r="Q315" i="54"/>
  <c r="V278" i="54"/>
  <c r="P270" i="54"/>
  <c r="P271" i="54" s="1"/>
  <c r="V314" i="54"/>
  <c r="O299" i="54"/>
  <c r="O312" i="54"/>
  <c r="O257" i="54"/>
  <c r="O256" i="54"/>
  <c r="O254" i="54"/>
  <c r="O255" i="54"/>
  <c r="Q299" i="54"/>
  <c r="Q256" i="54"/>
  <c r="R269" i="54"/>
  <c r="BJ96" i="59"/>
  <c r="BJ99" i="59" s="1"/>
  <c r="BJ105" i="59" s="1"/>
  <c r="BJ95" i="59"/>
  <c r="Q254" i="54"/>
  <c r="Q257" i="54"/>
  <c r="Q255" i="54"/>
  <c r="Q300" i="54" s="1"/>
  <c r="Q308" i="54" s="1"/>
  <c r="R267" i="54"/>
  <c r="R301" i="54" s="1"/>
  <c r="R309" i="54" s="1"/>
  <c r="V342" i="59"/>
  <c r="V338" i="59"/>
  <c r="V113" i="59" s="1"/>
  <c r="V339" i="59"/>
  <c r="N322" i="59"/>
  <c r="V341" i="59"/>
  <c r="N306" i="59"/>
  <c r="N341" i="59" s="1"/>
  <c r="P307" i="55"/>
  <c r="R266" i="54"/>
  <c r="V91" i="59"/>
  <c r="N9" i="59"/>
  <c r="N91" i="59" s="1"/>
  <c r="N94" i="59" s="1"/>
  <c r="V428" i="59"/>
  <c r="V430" i="59" s="1"/>
  <c r="V431" i="59" s="1"/>
  <c r="V98" i="59" s="1"/>
  <c r="N395" i="59"/>
  <c r="N428" i="59" s="1"/>
  <c r="N430" i="59" s="1"/>
  <c r="N431" i="59" s="1"/>
  <c r="N98" i="59" s="1"/>
  <c r="BF107" i="59"/>
  <c r="BG106" i="59"/>
  <c r="R268" i="54"/>
  <c r="N114" i="59"/>
  <c r="N93" i="59"/>
  <c r="Q290" i="54"/>
  <c r="V281" i="54"/>
  <c r="V282" i="54" s="1"/>
  <c r="V283" i="54" s="1"/>
  <c r="Q293" i="54"/>
  <c r="Q294" i="54" s="1"/>
  <c r="Q295" i="54" s="1"/>
  <c r="S313" i="54"/>
  <c r="S267" i="54"/>
  <c r="S301" i="54" s="1"/>
  <c r="S309" i="54" s="1"/>
  <c r="S269" i="54"/>
  <c r="S270" i="54" s="1"/>
  <c r="S271" i="54" s="1"/>
  <c r="S266" i="54"/>
  <c r="R289" i="54"/>
  <c r="R291" i="54" s="1"/>
  <c r="R285" i="55"/>
  <c r="HY23" i="55"/>
  <c r="R253" i="54"/>
  <c r="R254" i="54" s="1"/>
  <c r="R249" i="55"/>
  <c r="HM23" i="55"/>
  <c r="W277" i="54"/>
  <c r="W281" i="54" s="1"/>
  <c r="W273" i="55"/>
  <c r="HU28" i="55"/>
  <c r="T265" i="54"/>
  <c r="T267" i="54" s="1"/>
  <c r="T261" i="55"/>
  <c r="HQ25" i="55"/>
  <c r="Q301" i="54"/>
  <c r="Q309" i="54" s="1"/>
  <c r="Q305" i="55"/>
  <c r="Q270" i="54"/>
  <c r="Q271" i="54" s="1"/>
  <c r="V262" i="54" a="1"/>
  <c r="V262" i="54" s="1"/>
  <c r="V263" i="54" s="1"/>
  <c r="U263" i="54"/>
  <c r="HR26" i="54" s="1"/>
  <c r="S288" i="54"/>
  <c r="IB24" i="54"/>
  <c r="IA24" i="54"/>
  <c r="IH24" i="54"/>
  <c r="S252" i="54"/>
  <c r="IE24" i="54"/>
  <c r="HP24" i="54"/>
  <c r="HO24" i="54"/>
  <c r="Y275" i="54"/>
  <c r="HV30" i="54" s="1"/>
  <c r="Z274" i="54" a="1"/>
  <c r="Z274" i="54" s="1"/>
  <c r="X276" i="54"/>
  <c r="HX29" i="54"/>
  <c r="IG29" i="54"/>
  <c r="HW29" i="54"/>
  <c r="T251" i="54"/>
  <c r="HN25" i="54" s="1"/>
  <c r="U250" i="54" a="1"/>
  <c r="U250" i="54" s="1"/>
  <c r="T287" i="54"/>
  <c r="HZ25" i="54" s="1"/>
  <c r="U286" i="54" a="1"/>
  <c r="U286" i="54" s="1"/>
  <c r="V115" i="59" l="1"/>
  <c r="Q307" i="55"/>
  <c r="V302" i="54"/>
  <c r="V310" i="54" s="1"/>
  <c r="S305" i="55"/>
  <c r="R255" i="54"/>
  <c r="R300" i="54" s="1"/>
  <c r="R308" i="54" s="1"/>
  <c r="HR27" i="54"/>
  <c r="IF27" i="54" s="1"/>
  <c r="BN94" i="59"/>
  <c r="V94" i="59" s="1"/>
  <c r="R305" i="55"/>
  <c r="R270" i="54"/>
  <c r="R271" i="54" s="1"/>
  <c r="R299" i="54"/>
  <c r="R312" i="54"/>
  <c r="Q304" i="55"/>
  <c r="BN343" i="59"/>
  <c r="BN344" i="59" s="1"/>
  <c r="BN97" i="59" s="1"/>
  <c r="T266" i="54"/>
  <c r="Q258" i="54"/>
  <c r="Q259" i="54" s="1"/>
  <c r="O258" i="54"/>
  <c r="O259" i="54" s="1"/>
  <c r="T268" i="54"/>
  <c r="V343" i="59"/>
  <c r="V344" i="59" s="1"/>
  <c r="V97" i="59" s="1"/>
  <c r="O304" i="55"/>
  <c r="O300" i="54"/>
  <c r="O308" i="54" s="1"/>
  <c r="T269" i="54"/>
  <c r="W279" i="54"/>
  <c r="W306" i="55" s="1"/>
  <c r="R293" i="54"/>
  <c r="T313" i="54"/>
  <c r="R257" i="54"/>
  <c r="N113" i="59"/>
  <c r="N342" i="59"/>
  <c r="N343" i="59" s="1"/>
  <c r="N344" i="59" s="1"/>
  <c r="N97" i="59" s="1"/>
  <c r="N338" i="59"/>
  <c r="N339" i="59"/>
  <c r="N115" i="59" s="1"/>
  <c r="N96" i="59"/>
  <c r="N95" i="59"/>
  <c r="HE14" i="54" s="1"/>
  <c r="BK106" i="59"/>
  <c r="BJ107" i="59"/>
  <c r="W314" i="54"/>
  <c r="R290" i="54"/>
  <c r="W280" i="54"/>
  <c r="W282" i="54" s="1"/>
  <c r="W283" i="54" s="1"/>
  <c r="R315" i="54"/>
  <c r="R292" i="54"/>
  <c r="W278" i="54"/>
  <c r="R256" i="54"/>
  <c r="S253" i="54"/>
  <c r="S254" i="54" s="1"/>
  <c r="S249" i="55"/>
  <c r="HM24" i="55"/>
  <c r="R303" i="54"/>
  <c r="R311" i="54" s="1"/>
  <c r="R307" i="55"/>
  <c r="T301" i="54"/>
  <c r="T309" i="54" s="1"/>
  <c r="T305" i="55"/>
  <c r="X277" i="54"/>
  <c r="X278" i="54" s="1"/>
  <c r="X273" i="55"/>
  <c r="HU29" i="55"/>
  <c r="S289" i="54"/>
  <c r="S292" i="54" s="1"/>
  <c r="S285" i="55"/>
  <c r="HY24" i="55"/>
  <c r="U264" i="54"/>
  <c r="IF26" i="54"/>
  <c r="HT26" i="54"/>
  <c r="HS26" i="54"/>
  <c r="W262" i="54" a="1"/>
  <c r="W262" i="54" s="1"/>
  <c r="W263" i="54" s="1"/>
  <c r="HR28" i="54" s="1"/>
  <c r="Z275" i="54"/>
  <c r="HV31" i="54" s="1"/>
  <c r="AA274" i="54" a="1"/>
  <c r="AA274" i="54" s="1"/>
  <c r="T252" i="54"/>
  <c r="HP25" i="54"/>
  <c r="HO25" i="54"/>
  <c r="IE25" i="54"/>
  <c r="U287" i="54"/>
  <c r="HZ26" i="54" s="1"/>
  <c r="V286" i="54" a="1"/>
  <c r="V286" i="54" s="1"/>
  <c r="T288" i="54"/>
  <c r="IA25" i="54"/>
  <c r="IH25" i="54"/>
  <c r="IB25" i="54"/>
  <c r="U251" i="54"/>
  <c r="HN26" i="54" s="1"/>
  <c r="V250" i="54" a="1"/>
  <c r="V250" i="54" s="1"/>
  <c r="Y276" i="54"/>
  <c r="HX30" i="54"/>
  <c r="IG30" i="54"/>
  <c r="HW30" i="54"/>
  <c r="HT27" i="54" l="1"/>
  <c r="HS27" i="54"/>
  <c r="V264" i="54"/>
  <c r="X279" i="54"/>
  <c r="X302" i="54" s="1"/>
  <c r="X310" i="54" s="1"/>
  <c r="X314" i="54"/>
  <c r="R304" i="55"/>
  <c r="T270" i="54"/>
  <c r="T271" i="54" s="1"/>
  <c r="R258" i="54"/>
  <c r="R259" i="54" s="1"/>
  <c r="BN96" i="59"/>
  <c r="BN99" i="59" s="1"/>
  <c r="BN105" i="59" s="1"/>
  <c r="BN107" i="59" s="1"/>
  <c r="BN95" i="59"/>
  <c r="V95" i="59"/>
  <c r="HI14" i="54" s="1"/>
  <c r="V96" i="59"/>
  <c r="V99" i="59" s="1"/>
  <c r="AT100" i="59" s="1"/>
  <c r="AT108" i="59" s="1"/>
  <c r="S290" i="54"/>
  <c r="W302" i="54"/>
  <c r="W310" i="54" s="1"/>
  <c r="R294" i="54"/>
  <c r="R295" i="54" s="1"/>
  <c r="S312" i="54"/>
  <c r="S299" i="54"/>
  <c r="X281" i="54"/>
  <c r="N99" i="59"/>
  <c r="S256" i="54"/>
  <c r="S257" i="54"/>
  <c r="S293" i="54"/>
  <c r="S294" i="54" s="1"/>
  <c r="S295" i="54" s="1"/>
  <c r="S255" i="54"/>
  <c r="S304" i="55" s="1"/>
  <c r="S291" i="54"/>
  <c r="S303" i="54" s="1"/>
  <c r="S311" i="54" s="1"/>
  <c r="S315" i="54"/>
  <c r="X280" i="54"/>
  <c r="T253" i="54"/>
  <c r="T254" i="54" s="1"/>
  <c r="T249" i="55"/>
  <c r="HM25" i="55"/>
  <c r="U265" i="54"/>
  <c r="U269" i="54" s="1"/>
  <c r="U261" i="55"/>
  <c r="HQ26" i="55"/>
  <c r="Y277" i="54"/>
  <c r="Y314" i="54" s="1"/>
  <c r="Y273" i="55"/>
  <c r="HU30" i="55"/>
  <c r="T289" i="54"/>
  <c r="T290" i="54" s="1"/>
  <c r="T285" i="55"/>
  <c r="HY25" i="55"/>
  <c r="V265" i="54"/>
  <c r="V313" i="54" s="1"/>
  <c r="V261" i="55"/>
  <c r="HQ27" i="55"/>
  <c r="W264" i="54"/>
  <c r="HT28" i="54"/>
  <c r="IF28" i="54"/>
  <c r="HS28" i="54"/>
  <c r="X262" i="54" a="1"/>
  <c r="X262" i="54" s="1"/>
  <c r="X263" i="54" s="1"/>
  <c r="HR29" i="54" s="1"/>
  <c r="AA275" i="54"/>
  <c r="HV32" i="54" s="1"/>
  <c r="AB274" i="54" a="1"/>
  <c r="AB274" i="54" s="1"/>
  <c r="V287" i="54"/>
  <c r="HZ27" i="54" s="1"/>
  <c r="W286" i="54" a="1"/>
  <c r="W286" i="54" s="1"/>
  <c r="Z276" i="54"/>
  <c r="IG31" i="54"/>
  <c r="HW31" i="54"/>
  <c r="HX31" i="54"/>
  <c r="U252" i="54"/>
  <c r="HP26" i="54"/>
  <c r="HO26" i="54"/>
  <c r="IE26" i="54"/>
  <c r="U288" i="54"/>
  <c r="IH26" i="54"/>
  <c r="IB26" i="54"/>
  <c r="IA26" i="54"/>
  <c r="V251" i="54"/>
  <c r="HN27" i="54" s="1"/>
  <c r="W250" i="54" a="1"/>
  <c r="W250" i="54" s="1"/>
  <c r="X306" i="55" l="1"/>
  <c r="T312" i="54"/>
  <c r="S258" i="54"/>
  <c r="S259" i="54" s="1"/>
  <c r="BO106" i="59"/>
  <c r="Z100" i="59"/>
  <c r="AH100" i="59"/>
  <c r="AH108" i="59" s="1"/>
  <c r="AL100" i="59"/>
  <c r="AL108" i="59" s="1"/>
  <c r="AP100" i="59"/>
  <c r="AP108" i="59" s="1"/>
  <c r="AD100" i="59"/>
  <c r="AD108" i="59" s="1"/>
  <c r="AX100" i="59"/>
  <c r="AX108" i="59" s="1"/>
  <c r="BJ100" i="59"/>
  <c r="BJ108" i="59" s="1"/>
  <c r="BF100" i="59"/>
  <c r="BF108" i="59" s="1"/>
  <c r="V100" i="59"/>
  <c r="BN100" i="59"/>
  <c r="BN108" i="59" s="1"/>
  <c r="BB100" i="59"/>
  <c r="BB108" i="59" s="1"/>
  <c r="X282" i="54"/>
  <c r="X283" i="54" s="1"/>
  <c r="S300" i="54"/>
  <c r="S308" i="54" s="1"/>
  <c r="V268" i="54"/>
  <c r="S307" i="55"/>
  <c r="V269" i="54"/>
  <c r="T255" i="54"/>
  <c r="T256" i="54"/>
  <c r="T299" i="54"/>
  <c r="T315" i="54"/>
  <c r="U313" i="54"/>
  <c r="V267" i="54"/>
  <c r="V305" i="55" s="1"/>
  <c r="V266" i="54"/>
  <c r="T293" i="54"/>
  <c r="U267" i="54"/>
  <c r="U266" i="54"/>
  <c r="U268" i="54"/>
  <c r="U270" i="54" s="1"/>
  <c r="U271" i="54" s="1"/>
  <c r="T291" i="54"/>
  <c r="T303" i="54" s="1"/>
  <c r="T311" i="54" s="1"/>
  <c r="Y278" i="54"/>
  <c r="T292" i="54"/>
  <c r="T257" i="54"/>
  <c r="BN101" i="59"/>
  <c r="BN109" i="59" s="1"/>
  <c r="BF101" i="59"/>
  <c r="BF109" i="59" s="1"/>
  <c r="AX101" i="59"/>
  <c r="AX109" i="59" s="1"/>
  <c r="AP101" i="59"/>
  <c r="AP109" i="59" s="1"/>
  <c r="AH101" i="59"/>
  <c r="AH109" i="59" s="1"/>
  <c r="Z101" i="59"/>
  <c r="R101" i="59"/>
  <c r="BB101" i="59"/>
  <c r="BB109" i="59" s="1"/>
  <c r="BJ101" i="59"/>
  <c r="BJ109" i="59" s="1"/>
  <c r="AD101" i="59"/>
  <c r="AD109" i="59" s="1"/>
  <c r="AL101" i="59"/>
  <c r="AL109" i="59" s="1"/>
  <c r="AT101" i="59"/>
  <c r="AT109" i="59" s="1"/>
  <c r="N101" i="59"/>
  <c r="Y281" i="54"/>
  <c r="Y280" i="54"/>
  <c r="Y279" i="54"/>
  <c r="Y302" i="54" s="1"/>
  <c r="Y310" i="54" s="1"/>
  <c r="W265" i="54"/>
  <c r="W268" i="54" s="1"/>
  <c r="W261" i="55"/>
  <c r="HQ28" i="55"/>
  <c r="Z277" i="54"/>
  <c r="Z281" i="54" s="1"/>
  <c r="Z273" i="55"/>
  <c r="HU31" i="55"/>
  <c r="V301" i="54"/>
  <c r="V309" i="54" s="1"/>
  <c r="U289" i="54"/>
  <c r="U290" i="54" s="1"/>
  <c r="U285" i="55"/>
  <c r="HY26" i="55"/>
  <c r="U301" i="54"/>
  <c r="U309" i="54" s="1"/>
  <c r="U305" i="55"/>
  <c r="U253" i="54"/>
  <c r="U254" i="54" s="1"/>
  <c r="U249" i="55"/>
  <c r="HM26" i="55"/>
  <c r="T300" i="54"/>
  <c r="T308" i="54" s="1"/>
  <c r="T304" i="55"/>
  <c r="IF29" i="54"/>
  <c r="HT29" i="54"/>
  <c r="X264" i="54"/>
  <c r="HS29" i="54"/>
  <c r="Y262" i="54" a="1"/>
  <c r="Y262" i="54" s="1"/>
  <c r="Y263" i="54" s="1"/>
  <c r="HR30" i="54" s="1"/>
  <c r="AB275" i="54"/>
  <c r="HV33" i="54" s="1"/>
  <c r="AC274" i="54" a="1"/>
  <c r="AC274" i="54" s="1"/>
  <c r="AA276" i="54"/>
  <c r="HX32" i="54"/>
  <c r="IG32" i="54"/>
  <c r="HW32" i="54"/>
  <c r="W251" i="54"/>
  <c r="HN28" i="54" s="1"/>
  <c r="X250" i="54" a="1"/>
  <c r="X250" i="54" s="1"/>
  <c r="V252" i="54"/>
  <c r="HO27" i="54"/>
  <c r="IE27" i="54"/>
  <c r="HP27" i="54"/>
  <c r="W287" i="54"/>
  <c r="HZ28" i="54" s="1"/>
  <c r="X286" i="54" a="1"/>
  <c r="X286" i="54" s="1"/>
  <c r="V288" i="54"/>
  <c r="IB27" i="54"/>
  <c r="IA27" i="54"/>
  <c r="IH27" i="54"/>
  <c r="V270" i="54" l="1"/>
  <c r="V271" i="54" s="1"/>
  <c r="T258" i="54"/>
  <c r="T259" i="54" s="1"/>
  <c r="T307" i="55"/>
  <c r="Y282" i="54"/>
  <c r="Y283" i="54" s="1"/>
  <c r="T294" i="54"/>
  <c r="T295" i="54" s="1"/>
  <c r="Z280" i="54"/>
  <c r="Z282" i="54" s="1"/>
  <c r="Z283" i="54" s="1"/>
  <c r="Z278" i="54"/>
  <c r="U291" i="54"/>
  <c r="U303" i="54" s="1"/>
  <c r="U311" i="54" s="1"/>
  <c r="U292" i="54"/>
  <c r="U315" i="54"/>
  <c r="W267" i="54"/>
  <c r="W301" i="54" s="1"/>
  <c r="W309" i="54" s="1"/>
  <c r="U255" i="54"/>
  <c r="U300" i="54" s="1"/>
  <c r="U308" i="54" s="1"/>
  <c r="W313" i="54"/>
  <c r="U256" i="54"/>
  <c r="U299" i="54"/>
  <c r="U312" i="54"/>
  <c r="U257" i="54"/>
  <c r="W269" i="54"/>
  <c r="W270" i="54" s="1"/>
  <c r="W271" i="54" s="1"/>
  <c r="U293" i="54"/>
  <c r="W266" i="54"/>
  <c r="Y306" i="55"/>
  <c r="Z279" i="54"/>
  <c r="Z306" i="55" s="1"/>
  <c r="Z314" i="54"/>
  <c r="V253" i="54"/>
  <c r="V254" i="54" s="1"/>
  <c r="V249" i="55"/>
  <c r="HM27" i="55"/>
  <c r="X265" i="54"/>
  <c r="X313" i="54" s="1"/>
  <c r="X261" i="55"/>
  <c r="HQ29" i="55"/>
  <c r="V289" i="54"/>
  <c r="V292" i="54" s="1"/>
  <c r="V285" i="55"/>
  <c r="HY27" i="55"/>
  <c r="AA277" i="54"/>
  <c r="AA279" i="54" s="1"/>
  <c r="AA273" i="55"/>
  <c r="HU32" i="55"/>
  <c r="Y264" i="54"/>
  <c r="IF30" i="54"/>
  <c r="HT30" i="54"/>
  <c r="HS30" i="54"/>
  <c r="Z262" i="54" a="1"/>
  <c r="Z262" i="54" s="1"/>
  <c r="Z263" i="54" s="1"/>
  <c r="HR31" i="54" s="1"/>
  <c r="X251" i="54"/>
  <c r="HN29" i="54" s="1"/>
  <c r="Y250" i="54" a="1"/>
  <c r="Y250" i="54" s="1"/>
  <c r="W252" i="54"/>
  <c r="IE28" i="54"/>
  <c r="HP28" i="54"/>
  <c r="HO28" i="54"/>
  <c r="AC275" i="54"/>
  <c r="HV34" i="54" s="1"/>
  <c r="AD274" i="54" a="1"/>
  <c r="AD274" i="54" s="1"/>
  <c r="X287" i="54"/>
  <c r="HZ29" i="54" s="1"/>
  <c r="Y286" i="54" a="1"/>
  <c r="Y286" i="54" s="1"/>
  <c r="W288" i="54"/>
  <c r="IB28" i="54"/>
  <c r="IA28" i="54"/>
  <c r="IH28" i="54"/>
  <c r="AB276" i="54"/>
  <c r="HX33" i="54"/>
  <c r="IG33" i="54"/>
  <c r="HW33" i="54"/>
  <c r="U307" i="55" l="1"/>
  <c r="Z302" i="54"/>
  <c r="Z310" i="54" s="1"/>
  <c r="U294" i="54"/>
  <c r="U295" i="54" s="1"/>
  <c r="V290" i="54"/>
  <c r="V293" i="54"/>
  <c r="V315" i="54"/>
  <c r="V255" i="54"/>
  <c r="V304" i="55" s="1"/>
  <c r="U258" i="54"/>
  <c r="U259" i="54" s="1"/>
  <c r="V291" i="54"/>
  <c r="V303" i="54" s="1"/>
  <c r="V311" i="54" s="1"/>
  <c r="V299" i="54"/>
  <c r="V312" i="54"/>
  <c r="V256" i="54"/>
  <c r="U304" i="55"/>
  <c r="V257" i="54"/>
  <c r="AA281" i="54"/>
  <c r="AA314" i="54"/>
  <c r="W305" i="55"/>
  <c r="AA278" i="54"/>
  <c r="AA280" i="54"/>
  <c r="X269" i="54"/>
  <c r="X268" i="54"/>
  <c r="X266" i="54"/>
  <c r="X267" i="54"/>
  <c r="X305" i="55" s="1"/>
  <c r="AB277" i="54"/>
  <c r="AB314" i="54" s="1"/>
  <c r="AB273" i="55"/>
  <c r="HU33" i="55"/>
  <c r="AA302" i="54"/>
  <c r="AA310" i="54" s="1"/>
  <c r="AA306" i="55"/>
  <c r="Y265" i="54"/>
  <c r="Y267" i="54" s="1"/>
  <c r="Y261" i="55"/>
  <c r="HQ30" i="55"/>
  <c r="W289" i="54"/>
  <c r="W315" i="54" s="1"/>
  <c r="W285" i="55"/>
  <c r="HY28" i="55"/>
  <c r="W253" i="54"/>
  <c r="W256" i="54" s="1"/>
  <c r="W249" i="55"/>
  <c r="HM28" i="55"/>
  <c r="V294" i="54"/>
  <c r="V295" i="54" s="1"/>
  <c r="AA262" i="54" a="1"/>
  <c r="AA262" i="54" s="1"/>
  <c r="HS31" i="54"/>
  <c r="IF31" i="54"/>
  <c r="HT31" i="54"/>
  <c r="Z264" i="54"/>
  <c r="Y287" i="54"/>
  <c r="HZ30" i="54" s="1"/>
  <c r="Z286" i="54" a="1"/>
  <c r="Z286" i="54" s="1"/>
  <c r="AD275" i="54"/>
  <c r="HV35" i="54" s="1"/>
  <c r="AE274" i="54" a="1"/>
  <c r="AE274" i="54" s="1"/>
  <c r="X288" i="54"/>
  <c r="IA29" i="54"/>
  <c r="IH29" i="54"/>
  <c r="IB29" i="54"/>
  <c r="AC276" i="54"/>
  <c r="HX34" i="54"/>
  <c r="IG34" i="54"/>
  <c r="HW34" i="54"/>
  <c r="Y251" i="54"/>
  <c r="HN30" i="54" s="1"/>
  <c r="Z250" i="54" a="1"/>
  <c r="Z250" i="54" s="1"/>
  <c r="X252" i="54"/>
  <c r="HP29" i="54"/>
  <c r="HO29" i="54"/>
  <c r="IE29" i="54"/>
  <c r="W299" i="54" l="1"/>
  <c r="W312" i="54"/>
  <c r="AB278" i="54"/>
  <c r="AB280" i="54"/>
  <c r="AB279" i="54"/>
  <c r="AB281" i="54"/>
  <c r="AA282" i="54"/>
  <c r="AA283" i="54" s="1"/>
  <c r="V300" i="54"/>
  <c r="V308" i="54" s="1"/>
  <c r="X301" i="54"/>
  <c r="X309" i="54" s="1"/>
  <c r="Y268" i="54"/>
  <c r="Y269" i="54"/>
  <c r="Y266" i="54"/>
  <c r="V307" i="55"/>
  <c r="Y313" i="54"/>
  <c r="W290" i="54"/>
  <c r="V258" i="54"/>
  <c r="V259" i="54" s="1"/>
  <c r="X270" i="54"/>
  <c r="X271" i="54" s="1"/>
  <c r="W292" i="54"/>
  <c r="W291" i="54"/>
  <c r="W303" i="54" s="1"/>
  <c r="W311" i="54" s="1"/>
  <c r="W255" i="54"/>
  <c r="W304" i="55" s="1"/>
  <c r="W254" i="54"/>
  <c r="W257" i="54"/>
  <c r="W258" i="54" s="1"/>
  <c r="W259" i="54" s="1"/>
  <c r="W293" i="54"/>
  <c r="X253" i="54"/>
  <c r="X312" i="54" s="1"/>
  <c r="X249" i="55"/>
  <c r="HM29" i="55"/>
  <c r="Y301" i="54"/>
  <c r="Y309" i="54" s="1"/>
  <c r="Y305" i="55"/>
  <c r="AC277" i="54"/>
  <c r="AC280" i="54" s="1"/>
  <c r="AC273" i="55"/>
  <c r="HU34" i="55"/>
  <c r="Z265" i="54"/>
  <c r="Z267" i="54" s="1"/>
  <c r="Z261" i="55"/>
  <c r="HQ31" i="55"/>
  <c r="X289" i="54"/>
  <c r="X315" i="54" s="1"/>
  <c r="X285" i="55"/>
  <c r="HY29" i="55"/>
  <c r="AB302" i="54"/>
  <c r="AB310" i="54" s="1"/>
  <c r="AB306" i="55"/>
  <c r="AB262" i="54" a="1"/>
  <c r="AB262" i="54" s="1"/>
  <c r="AB263" i="54" s="1"/>
  <c r="HR33" i="54" s="1"/>
  <c r="AA263" i="54"/>
  <c r="HR32" i="54" s="1"/>
  <c r="AE275" i="54"/>
  <c r="HV36" i="54" s="1"/>
  <c r="AF274" i="54" a="1"/>
  <c r="AF274" i="54" s="1"/>
  <c r="Z287" i="54"/>
  <c r="HZ31" i="54" s="1"/>
  <c r="AA286" i="54" a="1"/>
  <c r="AA286" i="54" s="1"/>
  <c r="AC314" i="54"/>
  <c r="Y288" i="54"/>
  <c r="IH30" i="54"/>
  <c r="IB30" i="54"/>
  <c r="IA30" i="54"/>
  <c r="AD276" i="54"/>
  <c r="IG35" i="54"/>
  <c r="HW35" i="54"/>
  <c r="HX35" i="54"/>
  <c r="Y252" i="54"/>
  <c r="HP30" i="54"/>
  <c r="HO30" i="54"/>
  <c r="IE30" i="54"/>
  <c r="Z251" i="54"/>
  <c r="HN31" i="54" s="1"/>
  <c r="AA250" i="54" a="1"/>
  <c r="AA250" i="54" s="1"/>
  <c r="Y270" i="54" l="1"/>
  <c r="Y271" i="54" s="1"/>
  <c r="X256" i="54"/>
  <c r="X255" i="54"/>
  <c r="W294" i="54"/>
  <c r="W295" i="54" s="1"/>
  <c r="X257" i="54"/>
  <c r="X254" i="54"/>
  <c r="X293" i="54"/>
  <c r="X299" i="54"/>
  <c r="AB282" i="54"/>
  <c r="AB283" i="54" s="1"/>
  <c r="AC279" i="54"/>
  <c r="AC302" i="54" s="1"/>
  <c r="AC310" i="54" s="1"/>
  <c r="W300" i="54"/>
  <c r="W308" i="54" s="1"/>
  <c r="Z269" i="54"/>
  <c r="W307" i="55"/>
  <c r="Z268" i="54"/>
  <c r="AC278" i="54"/>
  <c r="AC281" i="54"/>
  <c r="AC282" i="54" s="1"/>
  <c r="AC283" i="54" s="1"/>
  <c r="X290" i="54"/>
  <c r="X292" i="54"/>
  <c r="X291" i="54"/>
  <c r="X303" i="54" s="1"/>
  <c r="X311" i="54" s="1"/>
  <c r="Z266" i="54"/>
  <c r="Z301" i="54"/>
  <c r="Z309" i="54" s="1"/>
  <c r="Z305" i="55"/>
  <c r="AD277" i="54"/>
  <c r="AD281" i="54" s="1"/>
  <c r="AD273" i="55"/>
  <c r="HU35" i="55"/>
  <c r="Y289" i="54"/>
  <c r="Y292" i="54" s="1"/>
  <c r="Y285" i="55"/>
  <c r="HY30" i="55"/>
  <c r="Y253" i="54"/>
  <c r="Y254" i="54" s="1"/>
  <c r="Y249" i="55"/>
  <c r="HM30" i="55"/>
  <c r="Z313" i="54"/>
  <c r="X300" i="54"/>
  <c r="X308" i="54" s="1"/>
  <c r="X304" i="55"/>
  <c r="IF32" i="54"/>
  <c r="AA264" i="54"/>
  <c r="HT32" i="54"/>
  <c r="HS32" i="54"/>
  <c r="AC262" i="54" a="1"/>
  <c r="AC262" i="54" s="1"/>
  <c r="IF33" i="54"/>
  <c r="HT33" i="54"/>
  <c r="AB264" i="54"/>
  <c r="HS33" i="54"/>
  <c r="AA287" i="54"/>
  <c r="HZ32" i="54" s="1"/>
  <c r="AB286" i="54" a="1"/>
  <c r="AB286" i="54" s="1"/>
  <c r="Z288" i="54"/>
  <c r="IB31" i="54"/>
  <c r="IA31" i="54"/>
  <c r="IH31" i="54"/>
  <c r="AA251" i="54"/>
  <c r="HN32" i="54" s="1"/>
  <c r="AB250" i="54" a="1"/>
  <c r="AB250" i="54" s="1"/>
  <c r="Z252" i="54"/>
  <c r="HO31" i="54"/>
  <c r="IE31" i="54"/>
  <c r="HP31" i="54"/>
  <c r="AF275" i="54"/>
  <c r="HV37" i="54" s="1"/>
  <c r="AG274" i="54" a="1"/>
  <c r="AG274" i="54" s="1"/>
  <c r="AE276" i="54"/>
  <c r="HX36" i="54"/>
  <c r="IG36" i="54"/>
  <c r="HW36" i="54"/>
  <c r="Y315" i="54" l="1"/>
  <c r="X258" i="54"/>
  <c r="X259" i="54" s="1"/>
  <c r="Z270" i="54"/>
  <c r="Z271" i="54" s="1"/>
  <c r="X294" i="54"/>
  <c r="X295" i="54" s="1"/>
  <c r="AD279" i="54"/>
  <c r="AD302" i="54" s="1"/>
  <c r="AD310" i="54" s="1"/>
  <c r="Y293" i="54"/>
  <c r="Y294" i="54" s="1"/>
  <c r="Y295" i="54" s="1"/>
  <c r="Y290" i="54"/>
  <c r="Y291" i="54"/>
  <c r="Y303" i="54" s="1"/>
  <c r="Y311" i="54" s="1"/>
  <c r="AC306" i="55"/>
  <c r="AD280" i="54"/>
  <c r="AD282" i="54" s="1"/>
  <c r="AD283" i="54" s="1"/>
  <c r="AD314" i="54"/>
  <c r="Y255" i="54"/>
  <c r="Y300" i="54" s="1"/>
  <c r="Y308" i="54" s="1"/>
  <c r="Y257" i="54"/>
  <c r="AD278" i="54"/>
  <c r="Y299" i="54"/>
  <c r="Y312" i="54"/>
  <c r="Y256" i="54"/>
  <c r="X307" i="55"/>
  <c r="Z289" i="54"/>
  <c r="Z315" i="54" s="1"/>
  <c r="Z285" i="55"/>
  <c r="HY31" i="55"/>
  <c r="Z253" i="54"/>
  <c r="Z312" i="54" s="1"/>
  <c r="Z249" i="55"/>
  <c r="HM31" i="55"/>
  <c r="AA265" i="54"/>
  <c r="AA267" i="54" s="1"/>
  <c r="AA261" i="55"/>
  <c r="HQ32" i="55"/>
  <c r="AE277" i="54"/>
  <c r="AE281" i="54" s="1"/>
  <c r="AE273" i="55"/>
  <c r="HU36" i="55"/>
  <c r="AB265" i="54"/>
  <c r="AB269" i="54" s="1"/>
  <c r="AB261" i="55"/>
  <c r="HQ33" i="55"/>
  <c r="AC263" i="54"/>
  <c r="HR34" i="54" s="1"/>
  <c r="AD262" i="54" a="1"/>
  <c r="AD262" i="54" s="1"/>
  <c r="AD263" i="54" s="1"/>
  <c r="HR35" i="54" s="1"/>
  <c r="AG275" i="54"/>
  <c r="HV38" i="54" s="1"/>
  <c r="AH274" i="54" a="1"/>
  <c r="AH274" i="54" s="1"/>
  <c r="AB251" i="54"/>
  <c r="HN33" i="54" s="1"/>
  <c r="AC250" i="54" a="1"/>
  <c r="AC250" i="54" s="1"/>
  <c r="AF276" i="54"/>
  <c r="HX37" i="54"/>
  <c r="IG37" i="54"/>
  <c r="HW37" i="54"/>
  <c r="AA252" i="54"/>
  <c r="IE32" i="54"/>
  <c r="HP32" i="54"/>
  <c r="HO32" i="54"/>
  <c r="AB287" i="54"/>
  <c r="HZ33" i="54" s="1"/>
  <c r="AC286" i="54" a="1"/>
  <c r="AC286" i="54" s="1"/>
  <c r="AA288" i="54"/>
  <c r="IB32" i="54"/>
  <c r="IA32" i="54"/>
  <c r="IH32" i="54"/>
  <c r="AD306" i="55" l="1"/>
  <c r="Z254" i="54"/>
  <c r="Z255" i="54"/>
  <c r="Z300" i="54" s="1"/>
  <c r="Z308" i="54" s="1"/>
  <c r="Z256" i="54"/>
  <c r="Z257" i="54"/>
  <c r="Z299" i="54"/>
  <c r="Y258" i="54"/>
  <c r="Y259" i="54" s="1"/>
  <c r="Y307" i="55"/>
  <c r="AA266" i="54"/>
  <c r="Z290" i="54"/>
  <c r="Z292" i="54"/>
  <c r="AA268" i="54"/>
  <c r="Z291" i="54"/>
  <c r="Z303" i="54" s="1"/>
  <c r="Z311" i="54" s="1"/>
  <c r="Z293" i="54"/>
  <c r="AA269" i="54"/>
  <c r="AB266" i="54"/>
  <c r="AB267" i="54"/>
  <c r="AB305" i="55" s="1"/>
  <c r="Y304" i="55"/>
  <c r="AE314" i="54"/>
  <c r="AE280" i="54"/>
  <c r="AE282" i="54" s="1"/>
  <c r="AE283" i="54" s="1"/>
  <c r="AA313" i="54"/>
  <c r="AE279" i="54"/>
  <c r="AE302" i="54" s="1"/>
  <c r="AE310" i="54" s="1"/>
  <c r="AB313" i="54"/>
  <c r="AE278" i="54"/>
  <c r="AB268" i="54"/>
  <c r="AB270" i="54" s="1"/>
  <c r="AB271" i="54" s="1"/>
  <c r="AF277" i="54"/>
  <c r="AF280" i="54" s="1"/>
  <c r="AF273" i="55"/>
  <c r="HU37" i="55"/>
  <c r="AA301" i="54"/>
  <c r="AA309" i="54" s="1"/>
  <c r="AA305" i="55"/>
  <c r="AA253" i="54"/>
  <c r="AA257" i="54" s="1"/>
  <c r="AA249" i="55"/>
  <c r="HM32" i="55"/>
  <c r="AA289" i="54"/>
  <c r="AA315" i="54" s="1"/>
  <c r="AA285" i="55"/>
  <c r="HY32" i="55"/>
  <c r="AD264" i="54"/>
  <c r="HS35" i="54"/>
  <c r="IF35" i="54"/>
  <c r="HT35" i="54"/>
  <c r="HT34" i="54"/>
  <c r="HS34" i="54"/>
  <c r="AC264" i="54"/>
  <c r="IF34" i="54"/>
  <c r="AE262" i="54" a="1"/>
  <c r="AE262" i="54" s="1"/>
  <c r="AE263" i="54" s="1"/>
  <c r="HR36" i="54" s="1"/>
  <c r="AC287" i="54"/>
  <c r="HZ34" i="54" s="1"/>
  <c r="AD286" i="54" a="1"/>
  <c r="AD286" i="54" s="1"/>
  <c r="AB288" i="54"/>
  <c r="IA33" i="54"/>
  <c r="IH33" i="54"/>
  <c r="IB33" i="54"/>
  <c r="AC251" i="54"/>
  <c r="HN34" i="54" s="1"/>
  <c r="AD250" i="54" a="1"/>
  <c r="AD250" i="54" s="1"/>
  <c r="AB252" i="54"/>
  <c r="HP33" i="54"/>
  <c r="HO33" i="54"/>
  <c r="IE33" i="54"/>
  <c r="AH275" i="54"/>
  <c r="HV39" i="54" s="1"/>
  <c r="AI274" i="54" a="1"/>
  <c r="AI274" i="54" s="1"/>
  <c r="AG276" i="54"/>
  <c r="HX38" i="54"/>
  <c r="IG38" i="54"/>
  <c r="HW38" i="54"/>
  <c r="Z258" i="54" l="1"/>
  <c r="Z259" i="54" s="1"/>
  <c r="Z307" i="55"/>
  <c r="AB301" i="54"/>
  <c r="AB309" i="54" s="1"/>
  <c r="Z304" i="55"/>
  <c r="Z294" i="54"/>
  <c r="Z295" i="54" s="1"/>
  <c r="AA270" i="54"/>
  <c r="AA271" i="54" s="1"/>
  <c r="AA292" i="54"/>
  <c r="AA290" i="54"/>
  <c r="AA293" i="54"/>
  <c r="AE306" i="55"/>
  <c r="AF279" i="54"/>
  <c r="AF306" i="55" s="1"/>
  <c r="AA312" i="54"/>
  <c r="AF314" i="54"/>
  <c r="AF278" i="54"/>
  <c r="AF281" i="54"/>
  <c r="AF282" i="54" s="1"/>
  <c r="AF283" i="54" s="1"/>
  <c r="AA254" i="54"/>
  <c r="AA299" i="54"/>
  <c r="AA255" i="54"/>
  <c r="AA304" i="55" s="1"/>
  <c r="AA256" i="54"/>
  <c r="AA258" i="54" s="1"/>
  <c r="AA259" i="54" s="1"/>
  <c r="AA291" i="54"/>
  <c r="AA303" i="54" s="1"/>
  <c r="AA311" i="54" s="1"/>
  <c r="AB253" i="54"/>
  <c r="AB256" i="54" s="1"/>
  <c r="AB249" i="55"/>
  <c r="HM33" i="55"/>
  <c r="AD265" i="54"/>
  <c r="AD266" i="54" s="1"/>
  <c r="AD261" i="55"/>
  <c r="HQ35" i="55"/>
  <c r="AG277" i="54"/>
  <c r="AG314" i="54" s="1"/>
  <c r="AG273" i="55"/>
  <c r="HU38" i="55"/>
  <c r="AB289" i="54"/>
  <c r="AB290" i="54" s="1"/>
  <c r="AB285" i="55"/>
  <c r="HY33" i="55"/>
  <c r="AC265" i="54"/>
  <c r="AC267" i="54" s="1"/>
  <c r="AC261" i="55"/>
  <c r="HQ34" i="55"/>
  <c r="AF262" i="54" a="1"/>
  <c r="AF262" i="54" s="1"/>
  <c r="AF263" i="54" s="1"/>
  <c r="HR37" i="54" s="1"/>
  <c r="HT37" i="54" s="1"/>
  <c r="IF36" i="54"/>
  <c r="HS36" i="54"/>
  <c r="AE264" i="54"/>
  <c r="HT36" i="54"/>
  <c r="AH276" i="54"/>
  <c r="IG39" i="54"/>
  <c r="HW39" i="54"/>
  <c r="HX39" i="54"/>
  <c r="AD287" i="54"/>
  <c r="HZ35" i="54" s="1"/>
  <c r="AE286" i="54" a="1"/>
  <c r="AE286" i="54" s="1"/>
  <c r="AD251" i="54"/>
  <c r="HN35" i="54" s="1"/>
  <c r="AE250" i="54" a="1"/>
  <c r="AE250" i="54" s="1"/>
  <c r="AC288" i="54"/>
  <c r="IH34" i="54"/>
  <c r="IB34" i="54"/>
  <c r="IA34" i="54"/>
  <c r="AB312" i="54"/>
  <c r="AB299" i="54"/>
  <c r="AC252" i="54"/>
  <c r="HP34" i="54"/>
  <c r="HO34" i="54"/>
  <c r="IE34" i="54"/>
  <c r="AI275" i="54"/>
  <c r="HV40" i="54" s="1"/>
  <c r="AJ274" i="54" a="1"/>
  <c r="AJ274" i="54" s="1"/>
  <c r="AB291" i="54" l="1"/>
  <c r="AB292" i="54"/>
  <c r="AB293" i="54"/>
  <c r="AB315" i="54"/>
  <c r="AD313" i="54"/>
  <c r="AD267" i="54"/>
  <c r="AD301" i="54" s="1"/>
  <c r="AD309" i="54" s="1"/>
  <c r="AA300" i="54"/>
  <c r="AA308" i="54" s="1"/>
  <c r="AD268" i="54"/>
  <c r="AA294" i="54"/>
  <c r="AA295" i="54" s="1"/>
  <c r="AF302" i="54"/>
  <c r="AF310" i="54" s="1"/>
  <c r="AB255" i="54"/>
  <c r="AB300" i="54" s="1"/>
  <c r="AB308" i="54" s="1"/>
  <c r="AG278" i="54"/>
  <c r="AG280" i="54"/>
  <c r="AG279" i="54"/>
  <c r="AG302" i="54" s="1"/>
  <c r="AG310" i="54" s="1"/>
  <c r="AB257" i="54"/>
  <c r="AB258" i="54" s="1"/>
  <c r="AB259" i="54" s="1"/>
  <c r="AG281" i="54"/>
  <c r="AB254" i="54"/>
  <c r="AD269" i="54"/>
  <c r="AC269" i="54"/>
  <c r="AA307" i="55"/>
  <c r="AC313" i="54"/>
  <c r="AC268" i="54"/>
  <c r="AC301" i="54"/>
  <c r="AC309" i="54" s="1"/>
  <c r="AC305" i="55"/>
  <c r="AC289" i="54"/>
  <c r="AC315" i="54" s="1"/>
  <c r="AC285" i="55"/>
  <c r="HY34" i="55"/>
  <c r="AH277" i="54"/>
  <c r="AH279" i="54" s="1"/>
  <c r="AH273" i="55"/>
  <c r="HU39" i="55"/>
  <c r="AE265" i="54"/>
  <c r="AE266" i="54" s="1"/>
  <c r="AE261" i="55"/>
  <c r="HQ36" i="55"/>
  <c r="AC253" i="54"/>
  <c r="AC257" i="54" s="1"/>
  <c r="AC249" i="55"/>
  <c r="HM34" i="55"/>
  <c r="AC266" i="54"/>
  <c r="AB303" i="54"/>
  <c r="AB311" i="54" s="1"/>
  <c r="AB307" i="55"/>
  <c r="IF37" i="54"/>
  <c r="HS37" i="54"/>
  <c r="AF264" i="54"/>
  <c r="AG262" i="54" a="1"/>
  <c r="AG262" i="54" s="1"/>
  <c r="AG263" i="54" s="1"/>
  <c r="HR38" i="54" s="1"/>
  <c r="HT38" i="54" s="1"/>
  <c r="AB294" i="54"/>
  <c r="AB295" i="54" s="1"/>
  <c r="AD252" i="54"/>
  <c r="HO35" i="54"/>
  <c r="IE35" i="54"/>
  <c r="HP35" i="54"/>
  <c r="AE287" i="54"/>
  <c r="HZ36" i="54" s="1"/>
  <c r="AF286" i="54" a="1"/>
  <c r="AF286" i="54" s="1"/>
  <c r="AE251" i="54"/>
  <c r="HN36" i="54" s="1"/>
  <c r="AF250" i="54" a="1"/>
  <c r="AF250" i="54" s="1"/>
  <c r="AD288" i="54"/>
  <c r="IB35" i="54"/>
  <c r="IA35" i="54"/>
  <c r="IH35" i="54"/>
  <c r="AJ275" i="54"/>
  <c r="HV41" i="54" s="1"/>
  <c r="AK274" i="54" a="1"/>
  <c r="AK274" i="54" s="1"/>
  <c r="AC312" i="54"/>
  <c r="AC299" i="54"/>
  <c r="AI276" i="54"/>
  <c r="HX40" i="54"/>
  <c r="IG40" i="54"/>
  <c r="HW40" i="54"/>
  <c r="AD270" i="54" l="1"/>
  <c r="AD271" i="54" s="1"/>
  <c r="AD305" i="55"/>
  <c r="AH278" i="54"/>
  <c r="AH314" i="54"/>
  <c r="AB304" i="55"/>
  <c r="AG306" i="55"/>
  <c r="AG282" i="54"/>
  <c r="AG283" i="54" s="1"/>
  <c r="AC290" i="54"/>
  <c r="AC292" i="54"/>
  <c r="AC293" i="54"/>
  <c r="AC270" i="54"/>
  <c r="AC271" i="54" s="1"/>
  <c r="AH281" i="54"/>
  <c r="AC291" i="54"/>
  <c r="AC303" i="54" s="1"/>
  <c r="AC311" i="54" s="1"/>
  <c r="AE268" i="54"/>
  <c r="AE269" i="54"/>
  <c r="AC254" i="54"/>
  <c r="AE313" i="54"/>
  <c r="AE267" i="54"/>
  <c r="AE301" i="54" s="1"/>
  <c r="AE309" i="54" s="1"/>
  <c r="AC255" i="54"/>
  <c r="AC300" i="54" s="1"/>
  <c r="AC308" i="54" s="1"/>
  <c r="AH280" i="54"/>
  <c r="AH282" i="54" s="1"/>
  <c r="AH283" i="54" s="1"/>
  <c r="AC256" i="54"/>
  <c r="AC258" i="54" s="1"/>
  <c r="AC259" i="54" s="1"/>
  <c r="AI277" i="54"/>
  <c r="AI280" i="54" s="1"/>
  <c r="AI273" i="55"/>
  <c r="HU40" i="55"/>
  <c r="AH302" i="54"/>
  <c r="AH310" i="54" s="1"/>
  <c r="AH306" i="55"/>
  <c r="AF265" i="54"/>
  <c r="AF261" i="55"/>
  <c r="HQ37" i="55"/>
  <c r="AD289" i="54"/>
  <c r="AD292" i="54" s="1"/>
  <c r="AD285" i="55"/>
  <c r="HY35" i="55"/>
  <c r="AD253" i="54"/>
  <c r="AD299" i="54" s="1"/>
  <c r="AD249" i="55"/>
  <c r="HM35" i="55"/>
  <c r="HS38" i="54"/>
  <c r="IF38" i="54"/>
  <c r="AH262" i="54" a="1"/>
  <c r="AH262" i="54" s="1"/>
  <c r="AH263" i="54" s="1"/>
  <c r="HR39" i="54" s="1"/>
  <c r="IF39" i="54" s="1"/>
  <c r="AG264" i="54"/>
  <c r="AF251" i="54"/>
  <c r="HN37" i="54" s="1"/>
  <c r="AG250" i="54" a="1"/>
  <c r="AG250" i="54" s="1"/>
  <c r="AK275" i="54"/>
  <c r="HV42" i="54" s="1"/>
  <c r="AL274" i="54" a="1"/>
  <c r="AL274" i="54" s="1"/>
  <c r="AE252" i="54"/>
  <c r="IE36" i="54"/>
  <c r="HP36" i="54"/>
  <c r="HO36" i="54"/>
  <c r="AF287" i="54"/>
  <c r="HZ37" i="54" s="1"/>
  <c r="AG286" i="54" a="1"/>
  <c r="AG286" i="54" s="1"/>
  <c r="AJ276" i="54"/>
  <c r="HX41" i="54"/>
  <c r="IG41" i="54"/>
  <c r="HW41" i="54"/>
  <c r="AE288" i="54"/>
  <c r="IB36" i="54"/>
  <c r="IA36" i="54"/>
  <c r="IH36" i="54"/>
  <c r="AI278" i="54" l="1"/>
  <c r="AC294" i="54"/>
  <c r="AC295" i="54" s="1"/>
  <c r="AI279" i="54"/>
  <c r="AI302" i="54" s="1"/>
  <c r="AI310" i="54" s="1"/>
  <c r="AI314" i="54"/>
  <c r="AI281" i="54"/>
  <c r="AI282" i="54" s="1"/>
  <c r="AI283" i="54" s="1"/>
  <c r="AE270" i="54"/>
  <c r="AE271" i="54" s="1"/>
  <c r="AC307" i="55"/>
  <c r="AE305" i="55"/>
  <c r="AC304" i="55"/>
  <c r="AD257" i="54"/>
  <c r="AD291" i="54"/>
  <c r="AD307" i="55" s="1"/>
  <c r="AD293" i="54"/>
  <c r="AD294" i="54" s="1"/>
  <c r="AD295" i="54" s="1"/>
  <c r="AD256" i="54"/>
  <c r="AD315" i="54"/>
  <c r="AD290" i="54"/>
  <c r="AD254" i="54"/>
  <c r="AD255" i="54"/>
  <c r="AD300" i="54" s="1"/>
  <c r="AD308" i="54" s="1"/>
  <c r="AD312" i="54"/>
  <c r="AJ277" i="54"/>
  <c r="AJ314" i="54" s="1"/>
  <c r="AJ273" i="55"/>
  <c r="HU41" i="55"/>
  <c r="AI306" i="55"/>
  <c r="AE253" i="54"/>
  <c r="AE299" i="54" s="1"/>
  <c r="AE249" i="55"/>
  <c r="HM36" i="55"/>
  <c r="AE289" i="54"/>
  <c r="AE315" i="54" s="1"/>
  <c r="AE285" i="55"/>
  <c r="HY36" i="55"/>
  <c r="AG265" i="54"/>
  <c r="AG313" i="54" s="1"/>
  <c r="AG261" i="55"/>
  <c r="HQ38" i="55"/>
  <c r="AF269" i="54"/>
  <c r="AF313" i="54"/>
  <c r="AF267" i="54"/>
  <c r="AF266" i="54"/>
  <c r="AF268" i="54"/>
  <c r="AI262" i="54" a="1"/>
  <c r="AI262" i="54" s="1"/>
  <c r="AI263" i="54" s="1"/>
  <c r="HR40" i="54" s="1"/>
  <c r="AH264" i="54"/>
  <c r="HT39" i="54"/>
  <c r="HS39" i="54"/>
  <c r="AL275" i="54"/>
  <c r="HV43" i="54" s="1"/>
  <c r="AM274" i="54" a="1"/>
  <c r="AM274" i="54" s="1"/>
  <c r="AG287" i="54"/>
  <c r="HZ38" i="54" s="1"/>
  <c r="AH286" i="54" a="1"/>
  <c r="AH286" i="54" s="1"/>
  <c r="AG251" i="54"/>
  <c r="HN38" i="54" s="1"/>
  <c r="AH250" i="54" a="1"/>
  <c r="AH250" i="54" s="1"/>
  <c r="AF288" i="54"/>
  <c r="IA37" i="54"/>
  <c r="IH37" i="54"/>
  <c r="IB37" i="54"/>
  <c r="AF252" i="54"/>
  <c r="HP37" i="54"/>
  <c r="HO37" i="54"/>
  <c r="IE37" i="54"/>
  <c r="AK276" i="54"/>
  <c r="HX42" i="54"/>
  <c r="IG42" i="54"/>
  <c r="HW42" i="54"/>
  <c r="AD303" i="54" l="1"/>
  <c r="AD311" i="54" s="1"/>
  <c r="AJ280" i="54"/>
  <c r="AJ279" i="54"/>
  <c r="AJ302" i="54" s="1"/>
  <c r="AJ310" i="54" s="1"/>
  <c r="AJ278" i="54"/>
  <c r="AJ281" i="54"/>
  <c r="AE290" i="54"/>
  <c r="AE312" i="54"/>
  <c r="AE291" i="54"/>
  <c r="AE303" i="54" s="1"/>
  <c r="AE311" i="54" s="1"/>
  <c r="AE293" i="54"/>
  <c r="AE292" i="54"/>
  <c r="AF270" i="54"/>
  <c r="AF271" i="54" s="1"/>
  <c r="AD258" i="54"/>
  <c r="AD259" i="54" s="1"/>
  <c r="AE257" i="54"/>
  <c r="AE254" i="54"/>
  <c r="AE255" i="54"/>
  <c r="AE304" i="55" s="1"/>
  <c r="AE256" i="54"/>
  <c r="AD304" i="55"/>
  <c r="AK277" i="54"/>
  <c r="AK278" i="54" s="1"/>
  <c r="AK273" i="55"/>
  <c r="HU42" i="55"/>
  <c r="AG269" i="54"/>
  <c r="AG267" i="54"/>
  <c r="AF289" i="54"/>
  <c r="AF315" i="54" s="1"/>
  <c r="AF285" i="55"/>
  <c r="HY37" i="55"/>
  <c r="AG268" i="54"/>
  <c r="AF301" i="54"/>
  <c r="AF309" i="54" s="1"/>
  <c r="AF305" i="55"/>
  <c r="AH265" i="54"/>
  <c r="AH267" i="54" s="1"/>
  <c r="AH261" i="55"/>
  <c r="HQ39" i="55"/>
  <c r="AF253" i="54"/>
  <c r="AF254" i="54" s="1"/>
  <c r="AF249" i="55"/>
  <c r="HM37" i="55"/>
  <c r="AG266" i="54"/>
  <c r="AJ262" i="54" a="1"/>
  <c r="AJ262" i="54" s="1"/>
  <c r="AJ263" i="54" s="1"/>
  <c r="HR41" i="54" s="1"/>
  <c r="HS41" i="54" s="1"/>
  <c r="AJ282" i="54"/>
  <c r="AJ283" i="54" s="1"/>
  <c r="AI264" i="54"/>
  <c r="HS40" i="54"/>
  <c r="HT40" i="54"/>
  <c r="IF40" i="54"/>
  <c r="AH251" i="54"/>
  <c r="HN39" i="54" s="1"/>
  <c r="AI250" i="54" a="1"/>
  <c r="AI250" i="54" s="1"/>
  <c r="AG252" i="54"/>
  <c r="HP38" i="54"/>
  <c r="HO38" i="54"/>
  <c r="IE38" i="54"/>
  <c r="AH287" i="54"/>
  <c r="HZ39" i="54" s="1"/>
  <c r="AI286" i="54" a="1"/>
  <c r="AI286" i="54" s="1"/>
  <c r="AG288" i="54"/>
  <c r="IH38" i="54"/>
  <c r="IB38" i="54"/>
  <c r="IA38" i="54"/>
  <c r="AM275" i="54"/>
  <c r="HV44" i="54" s="1"/>
  <c r="AN274" i="54" a="1"/>
  <c r="AN274" i="54" s="1"/>
  <c r="AK280" i="54"/>
  <c r="AL276" i="54"/>
  <c r="IG43" i="54"/>
  <c r="HW43" i="54"/>
  <c r="HX43" i="54"/>
  <c r="AJ306" i="55" l="1"/>
  <c r="AE307" i="55"/>
  <c r="AE294" i="54"/>
  <c r="AE295" i="54" s="1"/>
  <c r="AF291" i="54"/>
  <c r="AF312" i="54"/>
  <c r="AF299" i="54"/>
  <c r="AF290" i="54"/>
  <c r="AF293" i="54"/>
  <c r="AF292" i="54"/>
  <c r="AE258" i="54"/>
  <c r="AE259" i="54" s="1"/>
  <c r="AK281" i="54"/>
  <c r="AK282" i="54" s="1"/>
  <c r="AK283" i="54" s="1"/>
  <c r="AK279" i="54"/>
  <c r="AK306" i="55" s="1"/>
  <c r="AF255" i="54"/>
  <c r="AF300" i="54" s="1"/>
  <c r="AF308" i="54" s="1"/>
  <c r="AK314" i="54"/>
  <c r="AF256" i="54"/>
  <c r="AF257" i="54"/>
  <c r="AE300" i="54"/>
  <c r="AE308" i="54" s="1"/>
  <c r="AH266" i="54"/>
  <c r="AH313" i="54"/>
  <c r="AG289" i="54"/>
  <c r="AG315" i="54" s="1"/>
  <c r="AG285" i="55"/>
  <c r="HY38" i="55"/>
  <c r="AI265" i="54"/>
  <c r="AI313" i="54" s="1"/>
  <c r="AI261" i="55"/>
  <c r="HQ40" i="55"/>
  <c r="AF303" i="54"/>
  <c r="AF311" i="54" s="1"/>
  <c r="AF307" i="55"/>
  <c r="AG270" i="54"/>
  <c r="AG271" i="54" s="1"/>
  <c r="AL277" i="54"/>
  <c r="AL314" i="54" s="1"/>
  <c r="AL273" i="55"/>
  <c r="HU43" i="55"/>
  <c r="AG253" i="54"/>
  <c r="AG254" i="54" s="1"/>
  <c r="AG249" i="55"/>
  <c r="HM38" i="55"/>
  <c r="AH301" i="54"/>
  <c r="AH309" i="54" s="1"/>
  <c r="AH305" i="55"/>
  <c r="AH268" i="54"/>
  <c r="AH269" i="54"/>
  <c r="AG301" i="54"/>
  <c r="AG309" i="54" s="1"/>
  <c r="AG305" i="55"/>
  <c r="AJ264" i="54"/>
  <c r="HT41" i="54"/>
  <c r="IF41" i="54"/>
  <c r="AK262" i="54" a="1"/>
  <c r="AK262" i="54" s="1"/>
  <c r="AL262" i="54" s="1" a="1"/>
  <c r="AL262" i="54" s="1"/>
  <c r="AL263" i="54" s="1"/>
  <c r="AI251" i="54"/>
  <c r="HN40" i="54" s="1"/>
  <c r="AJ250" i="54" a="1"/>
  <c r="AJ250" i="54" s="1"/>
  <c r="AH252" i="54"/>
  <c r="HO39" i="54"/>
  <c r="IE39" i="54"/>
  <c r="HP39" i="54"/>
  <c r="AN275" i="54"/>
  <c r="HV45" i="54" s="1"/>
  <c r="AO274" i="54" a="1"/>
  <c r="AO274" i="54" s="1"/>
  <c r="AI287" i="54"/>
  <c r="HZ40" i="54" s="1"/>
  <c r="AJ286" i="54" a="1"/>
  <c r="AJ286" i="54" s="1"/>
  <c r="AM276" i="54"/>
  <c r="HX44" i="54"/>
  <c r="IG44" i="54"/>
  <c r="HW44" i="54"/>
  <c r="AH288" i="54"/>
  <c r="IB39" i="54"/>
  <c r="IA39" i="54"/>
  <c r="IH39" i="54"/>
  <c r="AK302" i="54" l="1"/>
  <c r="AK310" i="54" s="1"/>
  <c r="AF294" i="54"/>
  <c r="AF295" i="54" s="1"/>
  <c r="AF304" i="55"/>
  <c r="AG257" i="54"/>
  <c r="AG299" i="54"/>
  <c r="AG312" i="54"/>
  <c r="AG256" i="54"/>
  <c r="AG255" i="54"/>
  <c r="AG300" i="54" s="1"/>
  <c r="AG308" i="54" s="1"/>
  <c r="AF258" i="54"/>
  <c r="AF259" i="54" s="1"/>
  <c r="AG290" i="54"/>
  <c r="AG293" i="54"/>
  <c r="AG291" i="54"/>
  <c r="AG303" i="54" s="1"/>
  <c r="AG311" i="54" s="1"/>
  <c r="AG292" i="54"/>
  <c r="AL279" i="54"/>
  <c r="AL302" i="54" s="1"/>
  <c r="AL310" i="54" s="1"/>
  <c r="AI266" i="54"/>
  <c r="AL278" i="54"/>
  <c r="AL281" i="54"/>
  <c r="AI267" i="54"/>
  <c r="AI301" i="54" s="1"/>
  <c r="AI309" i="54" s="1"/>
  <c r="AI268" i="54"/>
  <c r="AI269" i="54"/>
  <c r="AL280" i="54"/>
  <c r="AH270" i="54"/>
  <c r="AH271" i="54" s="1"/>
  <c r="AM277" i="54"/>
  <c r="AM314" i="54" s="1"/>
  <c r="AM273" i="55"/>
  <c r="HU44" i="55"/>
  <c r="AH289" i="54"/>
  <c r="AH291" i="54" s="1"/>
  <c r="AH285" i="55"/>
  <c r="HY39" i="55"/>
  <c r="AJ265" i="54"/>
  <c r="AJ261" i="55"/>
  <c r="HQ41" i="55"/>
  <c r="AH253" i="54"/>
  <c r="AH299" i="54" s="1"/>
  <c r="AH249" i="55"/>
  <c r="HM39" i="55"/>
  <c r="AK263" i="54"/>
  <c r="HR42" i="54" s="1"/>
  <c r="HR43" i="54" s="1"/>
  <c r="AM262" i="54" a="1"/>
  <c r="AM262" i="54" s="1"/>
  <c r="AM263" i="54" s="1"/>
  <c r="AJ251" i="54"/>
  <c r="HN41" i="54" s="1"/>
  <c r="AK250" i="54" a="1"/>
  <c r="AK250" i="54" s="1"/>
  <c r="AI252" i="54"/>
  <c r="IE40" i="54"/>
  <c r="HP40" i="54"/>
  <c r="HO40" i="54"/>
  <c r="AJ287" i="54"/>
  <c r="HZ41" i="54" s="1"/>
  <c r="AK286" i="54" a="1"/>
  <c r="AK286" i="54" s="1"/>
  <c r="AI288" i="54"/>
  <c r="IB40" i="54"/>
  <c r="IA40" i="54"/>
  <c r="IH40" i="54"/>
  <c r="AO275" i="54"/>
  <c r="HV46" i="54" s="1"/>
  <c r="AP274" i="54" a="1"/>
  <c r="AP274" i="54" s="1"/>
  <c r="AN276" i="54"/>
  <c r="HX45" i="54"/>
  <c r="IG45" i="54"/>
  <c r="HW45" i="54"/>
  <c r="AG258" i="54" l="1"/>
  <c r="AG259" i="54" s="1"/>
  <c r="AG304" i="55"/>
  <c r="AH255" i="54"/>
  <c r="AH304" i="55" s="1"/>
  <c r="AH256" i="54"/>
  <c r="AH312" i="54"/>
  <c r="AH257" i="54"/>
  <c r="AL306" i="55"/>
  <c r="AG294" i="54"/>
  <c r="AG295" i="54" s="1"/>
  <c r="AM279" i="54"/>
  <c r="AM302" i="54" s="1"/>
  <c r="AM310" i="54" s="1"/>
  <c r="AM280" i="54"/>
  <c r="AM278" i="54"/>
  <c r="AM281" i="54"/>
  <c r="AH254" i="54"/>
  <c r="AG307" i="55"/>
  <c r="AL282" i="54"/>
  <c r="AL283" i="54" s="1"/>
  <c r="AH315" i="54"/>
  <c r="AH293" i="54"/>
  <c r="AH292" i="54"/>
  <c r="AH290" i="54"/>
  <c r="AI270" i="54"/>
  <c r="AI271" i="54" s="1"/>
  <c r="AI305" i="55"/>
  <c r="AJ313" i="54"/>
  <c r="AJ269" i="54"/>
  <c r="AJ266" i="54"/>
  <c r="AJ268" i="54"/>
  <c r="AJ267" i="54"/>
  <c r="AI289" i="54"/>
  <c r="AI290" i="54" s="1"/>
  <c r="AI285" i="55"/>
  <c r="HY40" i="55"/>
  <c r="AH303" i="54"/>
  <c r="AH311" i="54" s="1"/>
  <c r="AH307" i="55"/>
  <c r="AH300" i="54"/>
  <c r="AH308" i="54" s="1"/>
  <c r="AN277" i="54"/>
  <c r="AN279" i="54" s="1"/>
  <c r="AN273" i="55"/>
  <c r="HU45" i="55"/>
  <c r="AI253" i="54"/>
  <c r="AI257" i="54" s="1"/>
  <c r="AI249" i="55"/>
  <c r="HM40" i="55"/>
  <c r="HS42" i="54"/>
  <c r="AK264" i="54"/>
  <c r="HT42" i="54"/>
  <c r="HS43" i="54"/>
  <c r="AL264" i="54"/>
  <c r="IF43" i="54"/>
  <c r="HT43" i="54"/>
  <c r="HR44" i="54"/>
  <c r="HS44" i="54" s="1"/>
  <c r="IF42" i="54"/>
  <c r="AN262" i="54" a="1"/>
  <c r="AN262" i="54" s="1"/>
  <c r="AN263" i="54" s="1"/>
  <c r="HR45" i="54" s="1"/>
  <c r="AK251" i="54"/>
  <c r="HN42" i="54" s="1"/>
  <c r="AL250" i="54" a="1"/>
  <c r="AL250" i="54" s="1"/>
  <c r="AJ288" i="54"/>
  <c r="IA41" i="54"/>
  <c r="IH41" i="54"/>
  <c r="IB41" i="54"/>
  <c r="AP275" i="54"/>
  <c r="HV47" i="54" s="1"/>
  <c r="AQ274" i="54" a="1"/>
  <c r="AQ274" i="54" s="1"/>
  <c r="AJ252" i="54"/>
  <c r="HP41" i="54"/>
  <c r="HO41" i="54"/>
  <c r="IE41" i="54"/>
  <c r="AO276" i="54"/>
  <c r="HX46" i="54"/>
  <c r="IG46" i="54"/>
  <c r="HW46" i="54"/>
  <c r="AK287" i="54"/>
  <c r="HZ42" i="54" s="1"/>
  <c r="AL286" i="54" a="1"/>
  <c r="AL286" i="54" s="1"/>
  <c r="AH258" i="54" l="1"/>
  <c r="AH259" i="54" s="1"/>
  <c r="AI291" i="54"/>
  <c r="AI307" i="55" s="1"/>
  <c r="AM306" i="55"/>
  <c r="AM282" i="54"/>
  <c r="AM283" i="54" s="1"/>
  <c r="AH294" i="54"/>
  <c r="AH295" i="54" s="1"/>
  <c r="AI256" i="54"/>
  <c r="AI258" i="54" s="1"/>
  <c r="AI259" i="54" s="1"/>
  <c r="AI255" i="54"/>
  <c r="AI300" i="54" s="1"/>
  <c r="AI308" i="54" s="1"/>
  <c r="AI254" i="54"/>
  <c r="AI312" i="54"/>
  <c r="AI299" i="54"/>
  <c r="AN314" i="54"/>
  <c r="AI315" i="54"/>
  <c r="AN281" i="54"/>
  <c r="AI292" i="54"/>
  <c r="AN278" i="54"/>
  <c r="AN280" i="54"/>
  <c r="AI293" i="54"/>
  <c r="AN302" i="54"/>
  <c r="AN310" i="54" s="1"/>
  <c r="AN306" i="55"/>
  <c r="AJ289" i="54"/>
  <c r="AJ290" i="54" s="1"/>
  <c r="AJ285" i="55"/>
  <c r="HY41" i="55"/>
  <c r="AK265" i="54"/>
  <c r="AK261" i="55"/>
  <c r="HQ42" i="55"/>
  <c r="AJ301" i="54"/>
  <c r="AJ309" i="54" s="1"/>
  <c r="AJ305" i="55"/>
  <c r="AJ270" i="54"/>
  <c r="AJ271" i="54" s="1"/>
  <c r="AO277" i="54"/>
  <c r="AO280" i="54" s="1"/>
  <c r="AO273" i="55"/>
  <c r="HU46" i="55"/>
  <c r="AJ253" i="54"/>
  <c r="AJ256" i="54" s="1"/>
  <c r="AJ249" i="55"/>
  <c r="HM41" i="55"/>
  <c r="AL265" i="54"/>
  <c r="AL261" i="55"/>
  <c r="HQ43" i="55"/>
  <c r="HT44" i="54"/>
  <c r="AM264" i="54"/>
  <c r="IF44" i="54"/>
  <c r="AO262" i="54" a="1"/>
  <c r="AO262" i="54" s="1"/>
  <c r="IF45" i="54"/>
  <c r="HT45" i="54"/>
  <c r="AN264" i="54"/>
  <c r="HS45" i="54"/>
  <c r="AQ275" i="54"/>
  <c r="HV48" i="54" s="1"/>
  <c r="AR274" i="54" a="1"/>
  <c r="AR274" i="54" s="1"/>
  <c r="AL287" i="54"/>
  <c r="HZ43" i="54" s="1"/>
  <c r="AM286" i="54" a="1"/>
  <c r="AM286" i="54" s="1"/>
  <c r="AP276" i="54"/>
  <c r="IG47" i="54"/>
  <c r="HW47" i="54"/>
  <c r="HX47" i="54"/>
  <c r="AK288" i="54"/>
  <c r="IH42" i="54"/>
  <c r="IB42" i="54"/>
  <c r="IA42" i="54"/>
  <c r="AL251" i="54"/>
  <c r="HN43" i="54" s="1"/>
  <c r="AM250" i="54" a="1"/>
  <c r="AM250" i="54" s="1"/>
  <c r="AK252" i="54"/>
  <c r="HP42" i="54"/>
  <c r="HO42" i="54"/>
  <c r="IE42" i="54"/>
  <c r="AJ315" i="54" l="1"/>
  <c r="AI304" i="55"/>
  <c r="AI303" i="54"/>
  <c r="AI311" i="54" s="1"/>
  <c r="AJ291" i="54"/>
  <c r="AJ307" i="55" s="1"/>
  <c r="AJ292" i="54"/>
  <c r="AI294" i="54"/>
  <c r="AI295" i="54" s="1"/>
  <c r="AJ293" i="54"/>
  <c r="AJ257" i="54"/>
  <c r="AJ258" i="54" s="1"/>
  <c r="AJ259" i="54" s="1"/>
  <c r="AO278" i="54"/>
  <c r="AO314" i="54"/>
  <c r="AN282" i="54"/>
  <c r="AN283" i="54" s="1"/>
  <c r="AJ254" i="54"/>
  <c r="AO279" i="54"/>
  <c r="AO306" i="55" s="1"/>
  <c r="AJ299" i="54"/>
  <c r="AJ312" i="54"/>
  <c r="AJ255" i="54"/>
  <c r="AJ304" i="55" s="1"/>
  <c r="AO281" i="54"/>
  <c r="AO282" i="54" s="1"/>
  <c r="AO283" i="54" s="1"/>
  <c r="AK266" i="54"/>
  <c r="AK267" i="54"/>
  <c r="AK313" i="54"/>
  <c r="AK268" i="54"/>
  <c r="AK269" i="54"/>
  <c r="AJ303" i="54"/>
  <c r="AJ311" i="54" s="1"/>
  <c r="AK289" i="54"/>
  <c r="AK290" i="54" s="1"/>
  <c r="AK285" i="55"/>
  <c r="HY42" i="55"/>
  <c r="AP277" i="54"/>
  <c r="AP278" i="54" s="1"/>
  <c r="AP273" i="55"/>
  <c r="HU47" i="55"/>
  <c r="AL313" i="54"/>
  <c r="AL269" i="54"/>
  <c r="AL267" i="54"/>
  <c r="AL266" i="54"/>
  <c r="AM265" i="54"/>
  <c r="AM261" i="55"/>
  <c r="HQ44" i="55"/>
  <c r="AK253" i="54"/>
  <c r="AK255" i="54" s="1"/>
  <c r="AK249" i="55"/>
  <c r="HM42" i="55"/>
  <c r="AN265" i="54"/>
  <c r="AN267" i="54" s="1"/>
  <c r="AN261" i="55"/>
  <c r="HQ45" i="55"/>
  <c r="AL268" i="54"/>
  <c r="AP262" i="54" a="1"/>
  <c r="AP262" i="54" s="1"/>
  <c r="AP263" i="54" s="1"/>
  <c r="HR47" i="54" s="1"/>
  <c r="AO263" i="54"/>
  <c r="HR46" i="54" s="1"/>
  <c r="AM251" i="54"/>
  <c r="HN44" i="54" s="1"/>
  <c r="AN250" i="54" a="1"/>
  <c r="AN250" i="54" s="1"/>
  <c r="AL252" i="54"/>
  <c r="HO43" i="54"/>
  <c r="IE43" i="54"/>
  <c r="HP43" i="54"/>
  <c r="AM287" i="54"/>
  <c r="HZ44" i="54" s="1"/>
  <c r="AN286" i="54" a="1"/>
  <c r="AN286" i="54" s="1"/>
  <c r="AL288" i="54"/>
  <c r="IB43" i="54"/>
  <c r="IA43" i="54"/>
  <c r="IH43" i="54"/>
  <c r="AR275" i="54"/>
  <c r="HV49" i="54" s="1"/>
  <c r="AS274" i="54" a="1"/>
  <c r="AS274" i="54" s="1"/>
  <c r="AQ276" i="54"/>
  <c r="HX48" i="54"/>
  <c r="IG48" i="54"/>
  <c r="HW48" i="54"/>
  <c r="AJ294" i="54" l="1"/>
  <c r="AJ295" i="54" s="1"/>
  <c r="AK256" i="54"/>
  <c r="AP281" i="54"/>
  <c r="AP314" i="54"/>
  <c r="AP279" i="54"/>
  <c r="AP306" i="55" s="1"/>
  <c r="AP280" i="54"/>
  <c r="AJ300" i="54"/>
  <c r="AJ308" i="54" s="1"/>
  <c r="AO302" i="54"/>
  <c r="AO310" i="54" s="1"/>
  <c r="AK257" i="54"/>
  <c r="AK299" i="54"/>
  <c r="AK312" i="54"/>
  <c r="AK315" i="54"/>
  <c r="AK292" i="54"/>
  <c r="AL270" i="54"/>
  <c r="AL271" i="54" s="1"/>
  <c r="AK291" i="54"/>
  <c r="AK303" i="54" s="1"/>
  <c r="AK311" i="54" s="1"/>
  <c r="AK254" i="54"/>
  <c r="AK293" i="54"/>
  <c r="AN268" i="54"/>
  <c r="AK270" i="54"/>
  <c r="AK271" i="54" s="1"/>
  <c r="AN266" i="54"/>
  <c r="AN301" i="54"/>
  <c r="AN309" i="54" s="1"/>
  <c r="AN305" i="55"/>
  <c r="AQ277" i="54"/>
  <c r="AQ314" i="54" s="1"/>
  <c r="AQ273" i="55"/>
  <c r="HU48" i="55"/>
  <c r="AM266" i="54"/>
  <c r="AM268" i="54"/>
  <c r="AM269" i="54"/>
  <c r="AM313" i="54"/>
  <c r="AM267" i="54"/>
  <c r="AL253" i="54"/>
  <c r="AL256" i="54" s="1"/>
  <c r="AL249" i="55"/>
  <c r="HM43" i="55"/>
  <c r="AN313" i="54"/>
  <c r="AK300" i="54"/>
  <c r="AK308" i="54" s="1"/>
  <c r="AK304" i="55"/>
  <c r="AP302" i="54"/>
  <c r="AP310" i="54" s="1"/>
  <c r="AK301" i="54"/>
  <c r="AK309" i="54" s="1"/>
  <c r="AK305" i="55"/>
  <c r="AL289" i="54"/>
  <c r="AL315" i="54" s="1"/>
  <c r="AL285" i="55"/>
  <c r="HY43" i="55"/>
  <c r="AN269" i="54"/>
  <c r="AL301" i="54"/>
  <c r="AL309" i="54" s="1"/>
  <c r="AL305" i="55"/>
  <c r="IF46" i="54"/>
  <c r="HT46" i="54"/>
  <c r="HS46" i="54"/>
  <c r="AO264" i="54"/>
  <c r="AQ262" i="54" a="1"/>
  <c r="AQ262" i="54" s="1"/>
  <c r="AQ263" i="54" s="1"/>
  <c r="HR48" i="54" s="1"/>
  <c r="AP264" i="54"/>
  <c r="IF47" i="54"/>
  <c r="HT47" i="54"/>
  <c r="HS47" i="54"/>
  <c r="AR276" i="54"/>
  <c r="HX49" i="54"/>
  <c r="IG49" i="54"/>
  <c r="HW49" i="54"/>
  <c r="AN287" i="54"/>
  <c r="HZ45" i="54" s="1"/>
  <c r="AO286" i="54" a="1"/>
  <c r="AO286" i="54" s="1"/>
  <c r="AN251" i="54"/>
  <c r="HN45" i="54" s="1"/>
  <c r="AO250" i="54" a="1"/>
  <c r="AO250" i="54" s="1"/>
  <c r="AS275" i="54"/>
  <c r="HV50" i="54" s="1"/>
  <c r="AT274" i="54" a="1"/>
  <c r="AT274" i="54" s="1"/>
  <c r="AM288" i="54"/>
  <c r="IB44" i="54"/>
  <c r="IA44" i="54"/>
  <c r="IH44" i="54"/>
  <c r="AM252" i="54"/>
  <c r="IE44" i="54"/>
  <c r="HP44" i="54"/>
  <c r="HO44" i="54"/>
  <c r="AK258" i="54" l="1"/>
  <c r="AK259" i="54" s="1"/>
  <c r="AQ280" i="54"/>
  <c r="AQ279" i="54"/>
  <c r="AQ278" i="54"/>
  <c r="AP282" i="54"/>
  <c r="AP283" i="54" s="1"/>
  <c r="AQ281" i="54"/>
  <c r="AQ282" i="54" s="1"/>
  <c r="AQ283" i="54" s="1"/>
  <c r="AL312" i="54"/>
  <c r="AK307" i="55"/>
  <c r="AK294" i="54"/>
  <c r="AK295" i="54" s="1"/>
  <c r="AL254" i="54"/>
  <c r="AL257" i="54"/>
  <c r="AL258" i="54" s="1"/>
  <c r="AL259" i="54" s="1"/>
  <c r="AL255" i="54"/>
  <c r="AL304" i="55" s="1"/>
  <c r="AL299" i="54"/>
  <c r="AN270" i="54"/>
  <c r="AN271" i="54" s="1"/>
  <c r="AL292" i="54"/>
  <c r="AL290" i="54"/>
  <c r="AM270" i="54"/>
  <c r="AM271" i="54" s="1"/>
  <c r="AL291" i="54"/>
  <c r="AL307" i="55" s="1"/>
  <c r="AL293" i="54"/>
  <c r="AM289" i="54"/>
  <c r="AM293" i="54" s="1"/>
  <c r="AM285" i="55"/>
  <c r="HY44" i="55"/>
  <c r="AM253" i="54"/>
  <c r="AM312" i="54" s="1"/>
  <c r="AM249" i="55"/>
  <c r="HM44" i="55"/>
  <c r="AM301" i="54"/>
  <c r="AM309" i="54" s="1"/>
  <c r="AM305" i="55"/>
  <c r="AR277" i="54"/>
  <c r="AR278" i="54" s="1"/>
  <c r="AR273" i="55"/>
  <c r="HU49" i="55"/>
  <c r="AQ302" i="54"/>
  <c r="AQ310" i="54" s="1"/>
  <c r="AQ306" i="55"/>
  <c r="AP265" i="54"/>
  <c r="AP313" i="54" s="1"/>
  <c r="AP261" i="55"/>
  <c r="HQ47" i="55"/>
  <c r="AO265" i="54"/>
  <c r="AO267" i="54" s="1"/>
  <c r="AO261" i="55"/>
  <c r="HQ46" i="55"/>
  <c r="AQ264" i="54"/>
  <c r="HT48" i="54"/>
  <c r="HS48" i="54"/>
  <c r="IF48" i="54"/>
  <c r="AR262" i="54" a="1"/>
  <c r="AR262" i="54" s="1"/>
  <c r="AR263" i="54" s="1"/>
  <c r="HR49" i="54" s="1"/>
  <c r="AO287" i="54"/>
  <c r="HZ46" i="54" s="1"/>
  <c r="AP286" i="54" a="1"/>
  <c r="AP286" i="54" s="1"/>
  <c r="AN288" i="54"/>
  <c r="IA45" i="54"/>
  <c r="IH45" i="54"/>
  <c r="IB45" i="54"/>
  <c r="AT275" i="54"/>
  <c r="HV51" i="54" s="1"/>
  <c r="AU274" i="54" a="1"/>
  <c r="AU274" i="54" s="1"/>
  <c r="AS276" i="54"/>
  <c r="HX50" i="54"/>
  <c r="IG50" i="54"/>
  <c r="HW50" i="54"/>
  <c r="AN252" i="54"/>
  <c r="HP45" i="54"/>
  <c r="HO45" i="54"/>
  <c r="IE45" i="54"/>
  <c r="AO251" i="54"/>
  <c r="HN46" i="54" s="1"/>
  <c r="AP250" i="54" a="1"/>
  <c r="AP250" i="54" s="1"/>
  <c r="AL300" i="54" l="1"/>
  <c r="AL308" i="54" s="1"/>
  <c r="AR279" i="54"/>
  <c r="AM257" i="54"/>
  <c r="AM254" i="54"/>
  <c r="AM255" i="54"/>
  <c r="AM304" i="55" s="1"/>
  <c r="AM256" i="54"/>
  <c r="AM299" i="54"/>
  <c r="AL294" i="54"/>
  <c r="AL295" i="54" s="1"/>
  <c r="AR281" i="54"/>
  <c r="AR314" i="54"/>
  <c r="AR280" i="54"/>
  <c r="AM315" i="54"/>
  <c r="AM292" i="54"/>
  <c r="AM294" i="54" s="1"/>
  <c r="AM295" i="54" s="1"/>
  <c r="AM290" i="54"/>
  <c r="AP267" i="54"/>
  <c r="AP301" i="54" s="1"/>
  <c r="AP309" i="54" s="1"/>
  <c r="AM291" i="54"/>
  <c r="AM303" i="54" s="1"/>
  <c r="AM311" i="54" s="1"/>
  <c r="AP266" i="54"/>
  <c r="AP269" i="54"/>
  <c r="AP268" i="54"/>
  <c r="AO269" i="54"/>
  <c r="AO313" i="54"/>
  <c r="AO266" i="54"/>
  <c r="AO268" i="54"/>
  <c r="AL303" i="54"/>
  <c r="AL311" i="54" s="1"/>
  <c r="AO301" i="54"/>
  <c r="AO309" i="54" s="1"/>
  <c r="AO305" i="55"/>
  <c r="AN289" i="54"/>
  <c r="AN293" i="54" s="1"/>
  <c r="AN285" i="55"/>
  <c r="HY45" i="55"/>
  <c r="AS277" i="54"/>
  <c r="AS314" i="54" s="1"/>
  <c r="AS273" i="55"/>
  <c r="HU50" i="55"/>
  <c r="AR302" i="54"/>
  <c r="AR310" i="54" s="1"/>
  <c r="AR306" i="55"/>
  <c r="AN253" i="54"/>
  <c r="AN254" i="54" s="1"/>
  <c r="AN249" i="55"/>
  <c r="HM45" i="55"/>
  <c r="AQ265" i="54"/>
  <c r="AQ266" i="54" s="1"/>
  <c r="AQ261" i="55"/>
  <c r="HQ48" i="55"/>
  <c r="HS49" i="54"/>
  <c r="IF49" i="54"/>
  <c r="HT49" i="54"/>
  <c r="AR264" i="54"/>
  <c r="AS262" i="54" a="1"/>
  <c r="AS262" i="54" s="1"/>
  <c r="AS263" i="54" s="1"/>
  <c r="HR50" i="54" s="1"/>
  <c r="AP251" i="54"/>
  <c r="HN47" i="54" s="1"/>
  <c r="AQ250" i="54" a="1"/>
  <c r="AQ250" i="54" s="1"/>
  <c r="AO252" i="54"/>
  <c r="HP46" i="54"/>
  <c r="HO46" i="54"/>
  <c r="IE46" i="54"/>
  <c r="AN299" i="54"/>
  <c r="AP287" i="54"/>
  <c r="HZ47" i="54" s="1"/>
  <c r="AQ286" i="54" a="1"/>
  <c r="AQ286" i="54" s="1"/>
  <c r="AU275" i="54"/>
  <c r="HV52" i="54" s="1"/>
  <c r="AV274" i="54" a="1"/>
  <c r="AV274" i="54" s="1"/>
  <c r="AT276" i="54"/>
  <c r="IG51" i="54"/>
  <c r="HW51" i="54"/>
  <c r="HX51" i="54"/>
  <c r="AO288" i="54"/>
  <c r="IH46" i="54"/>
  <c r="IB46" i="54"/>
  <c r="IA46" i="54"/>
  <c r="AO270" i="54" l="1"/>
  <c r="AO271" i="54" s="1"/>
  <c r="AM300" i="54"/>
  <c r="AM308" i="54" s="1"/>
  <c r="AN315" i="54"/>
  <c r="AR282" i="54"/>
  <c r="AR283" i="54" s="1"/>
  <c r="AN290" i="54"/>
  <c r="AN291" i="54"/>
  <c r="AN307" i="55" s="1"/>
  <c r="AM258" i="54"/>
  <c r="AM259" i="54" s="1"/>
  <c r="AN292" i="54"/>
  <c r="AN294" i="54" s="1"/>
  <c r="AN295" i="54" s="1"/>
  <c r="AN312" i="54"/>
  <c r="AN256" i="54"/>
  <c r="AN255" i="54"/>
  <c r="AN304" i="55" s="1"/>
  <c r="AN257" i="54"/>
  <c r="AP270" i="54"/>
  <c r="AP271" i="54" s="1"/>
  <c r="AS279" i="54"/>
  <c r="AS302" i="54" s="1"/>
  <c r="AS310" i="54" s="1"/>
  <c r="AM307" i="55"/>
  <c r="AS278" i="54"/>
  <c r="AS281" i="54"/>
  <c r="AS280" i="54"/>
  <c r="AP305" i="55"/>
  <c r="AQ268" i="54"/>
  <c r="AQ313" i="54"/>
  <c r="AQ267" i="54"/>
  <c r="AQ301" i="54" s="1"/>
  <c r="AQ309" i="54" s="1"/>
  <c r="AT277" i="54"/>
  <c r="AT279" i="54" s="1"/>
  <c r="AT273" i="55"/>
  <c r="HU51" i="55"/>
  <c r="AQ269" i="54"/>
  <c r="AO253" i="54"/>
  <c r="AO299" i="54" s="1"/>
  <c r="AO249" i="55"/>
  <c r="HM46" i="55"/>
  <c r="AN303" i="54"/>
  <c r="AN311" i="54" s="1"/>
  <c r="AR265" i="54"/>
  <c r="AR269" i="54" s="1"/>
  <c r="AR261" i="55"/>
  <c r="HQ49" i="55"/>
  <c r="AO289" i="54"/>
  <c r="AO293" i="54" s="1"/>
  <c r="AO285" i="55"/>
  <c r="HY46" i="55"/>
  <c r="AT262" i="54" a="1"/>
  <c r="AT262" i="54" s="1"/>
  <c r="AT263" i="54" s="1"/>
  <c r="HR51" i="54" s="1"/>
  <c r="IF50" i="54"/>
  <c r="HT50" i="54"/>
  <c r="AS264" i="54"/>
  <c r="HS50" i="54"/>
  <c r="AV275" i="54"/>
  <c r="HV53" i="54" s="1"/>
  <c r="AW274" i="54" a="1"/>
  <c r="AW274" i="54" s="1"/>
  <c r="AU276" i="54"/>
  <c r="HX52" i="54"/>
  <c r="IG52" i="54"/>
  <c r="HW52" i="54"/>
  <c r="AQ287" i="54"/>
  <c r="HZ48" i="54" s="1"/>
  <c r="AR286" i="54" a="1"/>
  <c r="AR286" i="54" s="1"/>
  <c r="AP288" i="54"/>
  <c r="IB47" i="54"/>
  <c r="IA47" i="54"/>
  <c r="IH47" i="54"/>
  <c r="AQ251" i="54"/>
  <c r="HN48" i="54" s="1"/>
  <c r="AR250" i="54" a="1"/>
  <c r="AR250" i="54" s="1"/>
  <c r="AP252" i="54"/>
  <c r="HO47" i="54"/>
  <c r="IE47" i="54"/>
  <c r="HP47" i="54"/>
  <c r="AN300" i="54" l="1"/>
  <c r="AN308" i="54" s="1"/>
  <c r="AR313" i="54"/>
  <c r="AT278" i="54"/>
  <c r="AT280" i="54"/>
  <c r="AT281" i="54"/>
  <c r="AT314" i="54"/>
  <c r="AS282" i="54"/>
  <c r="AS283" i="54" s="1"/>
  <c r="AN258" i="54"/>
  <c r="AN259" i="54" s="1"/>
  <c r="AR267" i="54"/>
  <c r="AR301" i="54" s="1"/>
  <c r="AR309" i="54" s="1"/>
  <c r="AR268" i="54"/>
  <c r="AR270" i="54" s="1"/>
  <c r="AR271" i="54" s="1"/>
  <c r="AS306" i="55"/>
  <c r="AQ270" i="54"/>
  <c r="AQ271" i="54" s="1"/>
  <c r="AO292" i="54"/>
  <c r="AO294" i="54" s="1"/>
  <c r="AO295" i="54" s="1"/>
  <c r="AQ305" i="55"/>
  <c r="AO312" i="54"/>
  <c r="AO291" i="54"/>
  <c r="AO307" i="55" s="1"/>
  <c r="AO315" i="54"/>
  <c r="AO256" i="54"/>
  <c r="AO254" i="54"/>
  <c r="AO255" i="54"/>
  <c r="AO300" i="54" s="1"/>
  <c r="AO308" i="54" s="1"/>
  <c r="AO257" i="54"/>
  <c r="AO290" i="54"/>
  <c r="AR266" i="54"/>
  <c r="AS265" i="54"/>
  <c r="AS269" i="54" s="1"/>
  <c r="AS261" i="55"/>
  <c r="HQ50" i="55"/>
  <c r="AT302" i="54"/>
  <c r="AT310" i="54" s="1"/>
  <c r="AT306" i="55"/>
  <c r="AP289" i="54"/>
  <c r="AP293" i="54" s="1"/>
  <c r="AP285" i="55"/>
  <c r="HY47" i="55"/>
  <c r="AP253" i="54"/>
  <c r="AP312" i="54" s="1"/>
  <c r="AP249" i="55"/>
  <c r="HM47" i="55"/>
  <c r="AU277" i="54"/>
  <c r="AU279" i="54" s="1"/>
  <c r="AU273" i="55"/>
  <c r="HU52" i="55"/>
  <c r="AT264" i="54"/>
  <c r="IF51" i="54"/>
  <c r="HT51" i="54"/>
  <c r="HS51" i="54"/>
  <c r="AU262" i="54" a="1"/>
  <c r="AU262" i="54" s="1"/>
  <c r="AU263" i="54" s="1"/>
  <c r="HR52" i="54" s="1"/>
  <c r="AQ288" i="54"/>
  <c r="IB48" i="54"/>
  <c r="IA48" i="54"/>
  <c r="IH48" i="54"/>
  <c r="AV276" i="54"/>
  <c r="HX53" i="54"/>
  <c r="IG53" i="54"/>
  <c r="HW53" i="54"/>
  <c r="AQ252" i="54"/>
  <c r="IE48" i="54"/>
  <c r="HP48" i="54"/>
  <c r="HO48" i="54"/>
  <c r="AR287" i="54"/>
  <c r="HZ49" i="54" s="1"/>
  <c r="AS286" i="54" a="1"/>
  <c r="AS286" i="54" s="1"/>
  <c r="AR251" i="54"/>
  <c r="HN49" i="54" s="1"/>
  <c r="AS250" i="54" a="1"/>
  <c r="AS250" i="54" s="1"/>
  <c r="AW275" i="54"/>
  <c r="HV54" i="54" s="1"/>
  <c r="AX274" i="54" a="1"/>
  <c r="AX274" i="54" s="1"/>
  <c r="AT282" i="54" l="1"/>
  <c r="AT283" i="54" s="1"/>
  <c r="AP290" i="54"/>
  <c r="AP291" i="54"/>
  <c r="AP307" i="55" s="1"/>
  <c r="AR305" i="55"/>
  <c r="AP292" i="54"/>
  <c r="AP294" i="54" s="1"/>
  <c r="AP295" i="54" s="1"/>
  <c r="AU314" i="54"/>
  <c r="AP315" i="54"/>
  <c r="AP254" i="54"/>
  <c r="AP255" i="54"/>
  <c r="AP304" i="55" s="1"/>
  <c r="AS267" i="54"/>
  <c r="AS301" i="54" s="1"/>
  <c r="AS309" i="54" s="1"/>
  <c r="AU278" i="54"/>
  <c r="AU281" i="54"/>
  <c r="AU280" i="54"/>
  <c r="AO303" i="54"/>
  <c r="AO311" i="54" s="1"/>
  <c r="AS266" i="54"/>
  <c r="AP256" i="54"/>
  <c r="AS268" i="54"/>
  <c r="AS270" i="54" s="1"/>
  <c r="AS271" i="54" s="1"/>
  <c r="AP257" i="54"/>
  <c r="AS313" i="54"/>
  <c r="AP299" i="54"/>
  <c r="AO258" i="54"/>
  <c r="AO259" i="54" s="1"/>
  <c r="AO304" i="55"/>
  <c r="AU302" i="54"/>
  <c r="AU310" i="54" s="1"/>
  <c r="AU306" i="55"/>
  <c r="AP300" i="54"/>
  <c r="AP308" i="54" s="1"/>
  <c r="AT265" i="54"/>
  <c r="AT267" i="54" s="1"/>
  <c r="AT261" i="55"/>
  <c r="HQ51" i="55"/>
  <c r="AV277" i="54"/>
  <c r="AV314" i="54" s="1"/>
  <c r="AV273" i="55"/>
  <c r="HU53" i="55"/>
  <c r="AQ253" i="54"/>
  <c r="AQ299" i="54" s="1"/>
  <c r="AQ249" i="55"/>
  <c r="HM48" i="55"/>
  <c r="AQ289" i="54"/>
  <c r="AQ293" i="54" s="1"/>
  <c r="AQ285" i="55"/>
  <c r="HY48" i="55"/>
  <c r="AU264" i="54"/>
  <c r="HT52" i="54"/>
  <c r="HS52" i="54"/>
  <c r="IF52" i="54"/>
  <c r="AV262" i="54" a="1"/>
  <c r="AV262" i="54" s="1"/>
  <c r="AV263" i="54" s="1"/>
  <c r="HR53" i="54" s="1"/>
  <c r="AS251" i="54"/>
  <c r="HN50" i="54" s="1"/>
  <c r="AT250" i="54" a="1"/>
  <c r="AT250" i="54" s="1"/>
  <c r="AW276" i="54"/>
  <c r="HX54" i="54"/>
  <c r="IG54" i="54"/>
  <c r="HW54" i="54"/>
  <c r="AR252" i="54"/>
  <c r="HP49" i="54"/>
  <c r="HO49" i="54"/>
  <c r="IE49" i="54"/>
  <c r="AS287" i="54"/>
  <c r="HZ50" i="54" s="1"/>
  <c r="AT286" i="54" a="1"/>
  <c r="AT286" i="54" s="1"/>
  <c r="AX275" i="54"/>
  <c r="HV55" i="54" s="1"/>
  <c r="AY274" i="54" a="1"/>
  <c r="AY274" i="54" s="1"/>
  <c r="AR288" i="54"/>
  <c r="IA49" i="54"/>
  <c r="IH49" i="54"/>
  <c r="IB49" i="54"/>
  <c r="AV280" i="54"/>
  <c r="AV279" i="54" l="1"/>
  <c r="AV302" i="54" s="1"/>
  <c r="AV310" i="54" s="1"/>
  <c r="AP303" i="54"/>
  <c r="AP311" i="54" s="1"/>
  <c r="AV278" i="54"/>
  <c r="AV281" i="54"/>
  <c r="AV282" i="54" s="1"/>
  <c r="AV283" i="54" s="1"/>
  <c r="AS305" i="55"/>
  <c r="AT268" i="54"/>
  <c r="AU282" i="54"/>
  <c r="AU283" i="54" s="1"/>
  <c r="AQ292" i="54"/>
  <c r="AQ294" i="54" s="1"/>
  <c r="AQ295" i="54" s="1"/>
  <c r="AQ315" i="54"/>
  <c r="AP258" i="54"/>
  <c r="AP259" i="54" s="1"/>
  <c r="AQ290" i="54"/>
  <c r="AQ291" i="54"/>
  <c r="AQ307" i="55" s="1"/>
  <c r="AT266" i="54"/>
  <c r="AT269" i="54"/>
  <c r="AT313" i="54"/>
  <c r="AQ256" i="54"/>
  <c r="AQ255" i="54"/>
  <c r="AQ300" i="54" s="1"/>
  <c r="AQ308" i="54" s="1"/>
  <c r="AQ257" i="54"/>
  <c r="AQ254" i="54"/>
  <c r="AQ312" i="54"/>
  <c r="AR289" i="54"/>
  <c r="AR315" i="54" s="1"/>
  <c r="AR285" i="55"/>
  <c r="HY49" i="55"/>
  <c r="AV306" i="55"/>
  <c r="AT301" i="54"/>
  <c r="AT309" i="54" s="1"/>
  <c r="AT305" i="55"/>
  <c r="AR253" i="54"/>
  <c r="AR299" i="54" s="1"/>
  <c r="AR249" i="55"/>
  <c r="HM49" i="55"/>
  <c r="AW277" i="54"/>
  <c r="AW279" i="54" s="1"/>
  <c r="AW273" i="55"/>
  <c r="HU54" i="55"/>
  <c r="AU265" i="54"/>
  <c r="AU267" i="54" s="1"/>
  <c r="AU261" i="55"/>
  <c r="HQ52" i="55"/>
  <c r="AW262" i="54" a="1"/>
  <c r="AW262" i="54" s="1"/>
  <c r="IF53" i="54"/>
  <c r="HT53" i="54"/>
  <c r="AV264" i="54"/>
  <c r="HS53" i="54"/>
  <c r="AY275" i="54"/>
  <c r="HV56" i="54" s="1"/>
  <c r="AZ274" i="54" a="1"/>
  <c r="AZ274" i="54" s="1"/>
  <c r="AS252" i="54"/>
  <c r="HP50" i="54"/>
  <c r="HO50" i="54"/>
  <c r="IE50" i="54"/>
  <c r="AX276" i="54"/>
  <c r="IG55" i="54"/>
  <c r="HW55" i="54"/>
  <c r="HX55" i="54"/>
  <c r="AT287" i="54"/>
  <c r="HZ51" i="54" s="1"/>
  <c r="AU286" i="54" a="1"/>
  <c r="AU286" i="54" s="1"/>
  <c r="AS288" i="54"/>
  <c r="IH50" i="54"/>
  <c r="IB50" i="54"/>
  <c r="IA50" i="54"/>
  <c r="AT251" i="54"/>
  <c r="HN51" i="54" s="1"/>
  <c r="AU250" i="54" a="1"/>
  <c r="AU250" i="54" s="1"/>
  <c r="AR291" i="54" l="1"/>
  <c r="AT270" i="54"/>
  <c r="AT271" i="54" s="1"/>
  <c r="AR312" i="54"/>
  <c r="AR293" i="54"/>
  <c r="AR290" i="54"/>
  <c r="AR254" i="54"/>
  <c r="AR257" i="54"/>
  <c r="AQ303" i="54"/>
  <c r="AQ311" i="54" s="1"/>
  <c r="AR255" i="54"/>
  <c r="AR300" i="54" s="1"/>
  <c r="AR308" i="54" s="1"/>
  <c r="AR256" i="54"/>
  <c r="AW278" i="54"/>
  <c r="AQ258" i="54"/>
  <c r="AQ259" i="54" s="1"/>
  <c r="AW314" i="54"/>
  <c r="AW280" i="54"/>
  <c r="AR292" i="54"/>
  <c r="AW281" i="54"/>
  <c r="AU268" i="54"/>
  <c r="AU266" i="54"/>
  <c r="AQ304" i="55"/>
  <c r="AU313" i="54"/>
  <c r="AU269" i="54"/>
  <c r="AU301" i="54"/>
  <c r="AU309" i="54" s="1"/>
  <c r="AU305" i="55"/>
  <c r="AR303" i="54"/>
  <c r="AR311" i="54" s="1"/>
  <c r="AR307" i="55"/>
  <c r="AX277" i="54"/>
  <c r="AX279" i="54" s="1"/>
  <c r="AX273" i="55"/>
  <c r="HU55" i="55"/>
  <c r="AS289" i="54"/>
  <c r="AS290" i="54" s="1"/>
  <c r="AS285" i="55"/>
  <c r="HY50" i="55"/>
  <c r="AW302" i="54"/>
  <c r="AW310" i="54" s="1"/>
  <c r="AW306" i="55"/>
  <c r="AS253" i="54"/>
  <c r="AS256" i="54" s="1"/>
  <c r="AS249" i="55"/>
  <c r="HM50" i="55"/>
  <c r="AV265" i="54"/>
  <c r="AV313" i="54" s="1"/>
  <c r="AV261" i="55"/>
  <c r="HQ53" i="55"/>
  <c r="AW263" i="54"/>
  <c r="HR54" i="54" s="1"/>
  <c r="AX262" i="54" a="1"/>
  <c r="AX262" i="54" s="1"/>
  <c r="AX263" i="54" s="1"/>
  <c r="AT252" i="54"/>
  <c r="HO51" i="54"/>
  <c r="IE51" i="54"/>
  <c r="HP51" i="54"/>
  <c r="AU287" i="54"/>
  <c r="HZ52" i="54" s="1"/>
  <c r="AV286" i="54" a="1"/>
  <c r="AV286" i="54" s="1"/>
  <c r="AU251" i="54"/>
  <c r="HN52" i="54" s="1"/>
  <c r="AV250" i="54" a="1"/>
  <c r="AV250" i="54" s="1"/>
  <c r="AT288" i="54"/>
  <c r="IB51" i="54"/>
  <c r="IA51" i="54"/>
  <c r="IH51" i="54"/>
  <c r="AZ275" i="54"/>
  <c r="HV57" i="54" s="1"/>
  <c r="BA274" i="54" a="1"/>
  <c r="BA274" i="54" s="1"/>
  <c r="AY276" i="54"/>
  <c r="HX56" i="54"/>
  <c r="IG56" i="54"/>
  <c r="HW56" i="54"/>
  <c r="AR294" i="54" l="1"/>
  <c r="AR295" i="54" s="1"/>
  <c r="AR258" i="54"/>
  <c r="AR259" i="54" s="1"/>
  <c r="AS291" i="54"/>
  <c r="AS303" i="54" s="1"/>
  <c r="AS311" i="54" s="1"/>
  <c r="AS292" i="54"/>
  <c r="AS293" i="54"/>
  <c r="AS315" i="54"/>
  <c r="AV268" i="54"/>
  <c r="AR304" i="55"/>
  <c r="AW282" i="54"/>
  <c r="AW283" i="54" s="1"/>
  <c r="AV269" i="54"/>
  <c r="AV266" i="54"/>
  <c r="AV267" i="54"/>
  <c r="AV305" i="55" s="1"/>
  <c r="AX314" i="54"/>
  <c r="AU270" i="54"/>
  <c r="AU271" i="54" s="1"/>
  <c r="AS254" i="54"/>
  <c r="AS257" i="54"/>
  <c r="AS258" i="54" s="1"/>
  <c r="AS259" i="54" s="1"/>
  <c r="AS299" i="54"/>
  <c r="AX278" i="54"/>
  <c r="AS312" i="54"/>
  <c r="AS255" i="54"/>
  <c r="AS300" i="54" s="1"/>
  <c r="AS308" i="54" s="1"/>
  <c r="AX281" i="54"/>
  <c r="AX280" i="54"/>
  <c r="AY277" i="54"/>
  <c r="AY314" i="54" s="1"/>
  <c r="AY273" i="55"/>
  <c r="HU56" i="55"/>
  <c r="AS307" i="55"/>
  <c r="AT253" i="54"/>
  <c r="AT255" i="54" s="1"/>
  <c r="AT249" i="55"/>
  <c r="HM51" i="55"/>
  <c r="AT289" i="54"/>
  <c r="AT292" i="54" s="1"/>
  <c r="AT285" i="55"/>
  <c r="HY51" i="55"/>
  <c r="AX302" i="54"/>
  <c r="AX310" i="54" s="1"/>
  <c r="AX306" i="55"/>
  <c r="AV301" i="54"/>
  <c r="AV309" i="54" s="1"/>
  <c r="HR55" i="54"/>
  <c r="HT54" i="54"/>
  <c r="HS54" i="54"/>
  <c r="AW264" i="54"/>
  <c r="IF54" i="54"/>
  <c r="AY262" i="54" a="1"/>
  <c r="AY262" i="54" s="1"/>
  <c r="AY263" i="54" s="1"/>
  <c r="HR56" i="54" s="1"/>
  <c r="AZ276" i="54"/>
  <c r="HX57" i="54"/>
  <c r="IG57" i="54"/>
  <c r="HW57" i="54"/>
  <c r="AV251" i="54"/>
  <c r="HN53" i="54" s="1"/>
  <c r="AW250" i="54" a="1"/>
  <c r="AW250" i="54" s="1"/>
  <c r="AU252" i="54"/>
  <c r="IE52" i="54"/>
  <c r="HP52" i="54"/>
  <c r="HO52" i="54"/>
  <c r="AV287" i="54"/>
  <c r="HZ53" i="54" s="1"/>
  <c r="AW286" i="54" a="1"/>
  <c r="AW286" i="54" s="1"/>
  <c r="AU288" i="54"/>
  <c r="IB52" i="54"/>
  <c r="IA52" i="54"/>
  <c r="IH52" i="54"/>
  <c r="BA275" i="54"/>
  <c r="HV58" i="54" s="1"/>
  <c r="BB274" i="54" a="1"/>
  <c r="BB274" i="54" s="1"/>
  <c r="BB275" i="54" s="1"/>
  <c r="HV59" i="54" s="1"/>
  <c r="AT299" i="54" l="1"/>
  <c r="AS294" i="54"/>
  <c r="AS295" i="54" s="1"/>
  <c r="AV270" i="54"/>
  <c r="AV271" i="54" s="1"/>
  <c r="AX282" i="54"/>
  <c r="AX283" i="54" s="1"/>
  <c r="AT291" i="54"/>
  <c r="AT303" i="54" s="1"/>
  <c r="AT311" i="54" s="1"/>
  <c r="AT293" i="54"/>
  <c r="AT294" i="54" s="1"/>
  <c r="AT295" i="54" s="1"/>
  <c r="AT290" i="54"/>
  <c r="AT315" i="54"/>
  <c r="AT256" i="54"/>
  <c r="AT257" i="54"/>
  <c r="AT312" i="54"/>
  <c r="AT254" i="54"/>
  <c r="AS304" i="55"/>
  <c r="AY279" i="54"/>
  <c r="AY302" i="54" s="1"/>
  <c r="AY310" i="54" s="1"/>
  <c r="AY278" i="54"/>
  <c r="AY280" i="54"/>
  <c r="AY281" i="54"/>
  <c r="AT300" i="54"/>
  <c r="AT308" i="54" s="1"/>
  <c r="AT304" i="55"/>
  <c r="AU289" i="54"/>
  <c r="AU292" i="54" s="1"/>
  <c r="AU285" i="55"/>
  <c r="HY52" i="55"/>
  <c r="AW265" i="54"/>
  <c r="AW268" i="54" s="1"/>
  <c r="AW261" i="55"/>
  <c r="HQ54" i="55"/>
  <c r="AU253" i="54"/>
  <c r="AU299" i="54" s="1"/>
  <c r="AU249" i="55"/>
  <c r="HM52" i="55"/>
  <c r="AZ277" i="54"/>
  <c r="AZ314" i="54" s="1"/>
  <c r="AZ273" i="55"/>
  <c r="HU57" i="55"/>
  <c r="IF56" i="54"/>
  <c r="AY264" i="54"/>
  <c r="HT56" i="54"/>
  <c r="HS56" i="54"/>
  <c r="AZ262" i="54" a="1"/>
  <c r="AZ262" i="54" s="1"/>
  <c r="AZ263" i="54" s="1"/>
  <c r="HR57" i="54" s="1"/>
  <c r="IF55" i="54"/>
  <c r="HT55" i="54"/>
  <c r="HS55" i="54"/>
  <c r="AX264" i="54"/>
  <c r="AW251" i="54"/>
  <c r="HN54" i="54" s="1"/>
  <c r="AX250" i="54" a="1"/>
  <c r="AX250" i="54" s="1"/>
  <c r="AV252" i="54"/>
  <c r="HP53" i="54"/>
  <c r="HO53" i="54"/>
  <c r="IE53" i="54"/>
  <c r="BB276" i="54"/>
  <c r="IG59" i="54"/>
  <c r="HW59" i="54"/>
  <c r="HX59" i="54"/>
  <c r="BA276" i="54"/>
  <c r="HX58" i="54"/>
  <c r="IG58" i="54"/>
  <c r="HW58" i="54"/>
  <c r="AW287" i="54"/>
  <c r="HZ54" i="54" s="1"/>
  <c r="AX286" i="54" a="1"/>
  <c r="AX286" i="54" s="1"/>
  <c r="AV288" i="54"/>
  <c r="IA53" i="54"/>
  <c r="IH53" i="54"/>
  <c r="IB53" i="54"/>
  <c r="AU293" i="54" l="1"/>
  <c r="AU294" i="54" s="1"/>
  <c r="AU295" i="54" s="1"/>
  <c r="AU315" i="54"/>
  <c r="AU290" i="54"/>
  <c r="AU291" i="54"/>
  <c r="AU307" i="55" s="1"/>
  <c r="AU256" i="54"/>
  <c r="AU255" i="54"/>
  <c r="AU304" i="55" s="1"/>
  <c r="AU254" i="54"/>
  <c r="AU312" i="54"/>
  <c r="AT307" i="55"/>
  <c r="AW266" i="54"/>
  <c r="AW267" i="54"/>
  <c r="AW301" i="54" s="1"/>
  <c r="AW309" i="54" s="1"/>
  <c r="AW313" i="54"/>
  <c r="AT258" i="54"/>
  <c r="AT259" i="54" s="1"/>
  <c r="AU257" i="54"/>
  <c r="AZ278" i="54"/>
  <c r="AZ279" i="54"/>
  <c r="AZ306" i="55" s="1"/>
  <c r="AZ280" i="54"/>
  <c r="AZ281" i="54"/>
  <c r="AY282" i="54"/>
  <c r="AY283" i="54" s="1"/>
  <c r="AY306" i="55"/>
  <c r="AW269" i="54"/>
  <c r="AW270" i="54" s="1"/>
  <c r="AW271" i="54" s="1"/>
  <c r="AV289" i="54"/>
  <c r="AV315" i="54" s="1"/>
  <c r="AV285" i="55"/>
  <c r="HY53" i="55"/>
  <c r="BA277" i="54"/>
  <c r="BA279" i="54" s="1"/>
  <c r="BA273" i="55"/>
  <c r="HU58" i="55"/>
  <c r="AY265" i="54"/>
  <c r="AY268" i="54" s="1"/>
  <c r="AY261" i="55"/>
  <c r="HQ56" i="55"/>
  <c r="BB277" i="54"/>
  <c r="BB278" i="54" s="1"/>
  <c r="BB273" i="55"/>
  <c r="HU59" i="55"/>
  <c r="AV253" i="54"/>
  <c r="AV255" i="54" s="1"/>
  <c r="AV249" i="55"/>
  <c r="HM53" i="55"/>
  <c r="AX265" i="54"/>
  <c r="AX269" i="54" s="1"/>
  <c r="AX261" i="55"/>
  <c r="HQ55" i="55"/>
  <c r="BA262" i="54" a="1"/>
  <c r="BA262" i="54" s="1"/>
  <c r="BA263" i="54" s="1"/>
  <c r="HR58" i="54" s="1"/>
  <c r="AZ264" i="54"/>
  <c r="HS57" i="54"/>
  <c r="IF57" i="54"/>
  <c r="HT57" i="54"/>
  <c r="AX287" i="54"/>
  <c r="HZ55" i="54" s="1"/>
  <c r="AY286" i="54" a="1"/>
  <c r="AY286" i="54" s="1"/>
  <c r="AW288" i="54"/>
  <c r="IH54" i="54"/>
  <c r="IB54" i="54"/>
  <c r="IA54" i="54"/>
  <c r="AX251" i="54"/>
  <c r="HN55" i="54" s="1"/>
  <c r="AY250" i="54" a="1"/>
  <c r="AY250" i="54" s="1"/>
  <c r="AW252" i="54"/>
  <c r="HP54" i="54"/>
  <c r="HO54" i="54"/>
  <c r="IE54" i="54"/>
  <c r="AU258" i="54" l="1"/>
  <c r="AU259" i="54" s="1"/>
  <c r="E274" i="55" a="1"/>
  <c r="E274" i="55" s="1"/>
  <c r="E275" i="55" s="1"/>
  <c r="HV10" i="55" s="1"/>
  <c r="AU300" i="54"/>
  <c r="AU308" i="54" s="1"/>
  <c r="AU303" i="54"/>
  <c r="AU311" i="54" s="1"/>
  <c r="AV256" i="54"/>
  <c r="AW305" i="55"/>
  <c r="AV257" i="54"/>
  <c r="AV254" i="54"/>
  <c r="AV312" i="54"/>
  <c r="AX266" i="54"/>
  <c r="AX313" i="54"/>
  <c r="AX267" i="54"/>
  <c r="AX305" i="55" s="1"/>
  <c r="AY269" i="54"/>
  <c r="AY270" i="54" s="1"/>
  <c r="AY271" i="54" s="1"/>
  <c r="AX268" i="54"/>
  <c r="AX270" i="54" s="1"/>
  <c r="AX271" i="54" s="1"/>
  <c r="AZ282" i="54"/>
  <c r="AZ283" i="54" s="1"/>
  <c r="AZ302" i="54"/>
  <c r="AZ310" i="54" s="1"/>
  <c r="AY267" i="54"/>
  <c r="AY305" i="55" s="1"/>
  <c r="AV292" i="54"/>
  <c r="AY313" i="54"/>
  <c r="AV290" i="54"/>
  <c r="AY266" i="54"/>
  <c r="AV291" i="54"/>
  <c r="AV303" i="54" s="1"/>
  <c r="AV311" i="54" s="1"/>
  <c r="AV293" i="54"/>
  <c r="BB281" i="54"/>
  <c r="BB280" i="54"/>
  <c r="BA278" i="54"/>
  <c r="BA281" i="54"/>
  <c r="BA280" i="54"/>
  <c r="BA314" i="54"/>
  <c r="BB314" i="54"/>
  <c r="AV299" i="54"/>
  <c r="BB279" i="54"/>
  <c r="BB302" i="54" s="1"/>
  <c r="BB310" i="54" s="1"/>
  <c r="AZ265" i="54"/>
  <c r="AZ266" i="54" s="1"/>
  <c r="AZ261" i="55"/>
  <c r="HQ57" i="55"/>
  <c r="AW253" i="54"/>
  <c r="AW256" i="54" s="1"/>
  <c r="AW249" i="55"/>
  <c r="HM54" i="55"/>
  <c r="AV300" i="54"/>
  <c r="AV308" i="54" s="1"/>
  <c r="AV304" i="55"/>
  <c r="BA302" i="54"/>
  <c r="BA310" i="54" s="1"/>
  <c r="BA306" i="55"/>
  <c r="AW289" i="54"/>
  <c r="AW291" i="54" s="1"/>
  <c r="AW285" i="55"/>
  <c r="HY54" i="55"/>
  <c r="BB262" i="54" a="1"/>
  <c r="BB262" i="54" s="1"/>
  <c r="BB263" i="54" s="1"/>
  <c r="HR59" i="54" s="1"/>
  <c r="BA264" i="54"/>
  <c r="IF58" i="54"/>
  <c r="HT58" i="54"/>
  <c r="HS58" i="54"/>
  <c r="AY251" i="54"/>
  <c r="HN56" i="54" s="1"/>
  <c r="AZ250" i="54" a="1"/>
  <c r="AZ250" i="54" s="1"/>
  <c r="AY287" i="54"/>
  <c r="HZ56" i="54" s="1"/>
  <c r="AZ286" i="54" a="1"/>
  <c r="AZ286" i="54" s="1"/>
  <c r="AX288" i="54"/>
  <c r="IB55" i="54"/>
  <c r="IA55" i="54"/>
  <c r="IH55" i="54"/>
  <c r="AX252" i="54"/>
  <c r="HO55" i="54"/>
  <c r="IE55" i="54"/>
  <c r="HP55" i="54"/>
  <c r="F274" i="55" l="1" a="1"/>
  <c r="F274" i="55" s="1"/>
  <c r="F275" i="55" s="1"/>
  <c r="HV11" i="55" s="1"/>
  <c r="AX301" i="54"/>
  <c r="AX309" i="54" s="1"/>
  <c r="AV258" i="54"/>
  <c r="AV259" i="54" s="1"/>
  <c r="BB282" i="54"/>
  <c r="BB283" i="54" s="1"/>
  <c r="AV307" i="55"/>
  <c r="AV294" i="54"/>
  <c r="AV295" i="54" s="1"/>
  <c r="AW315" i="54"/>
  <c r="BA282" i="54"/>
  <c r="BA283" i="54" s="1"/>
  <c r="AY301" i="54"/>
  <c r="AY309" i="54" s="1"/>
  <c r="BB306" i="55"/>
  <c r="AZ268" i="54"/>
  <c r="AW292" i="54"/>
  <c r="AW290" i="54"/>
  <c r="AW293" i="54"/>
  <c r="AW255" i="54"/>
  <c r="AW300" i="54" s="1"/>
  <c r="AW308" i="54" s="1"/>
  <c r="AW257" i="54"/>
  <c r="AW258" i="54" s="1"/>
  <c r="AW259" i="54" s="1"/>
  <c r="AW312" i="54"/>
  <c r="AW299" i="54"/>
  <c r="AZ267" i="54"/>
  <c r="AZ269" i="54"/>
  <c r="AZ313" i="54"/>
  <c r="BA265" i="54"/>
  <c r="BA269" i="54" s="1"/>
  <c r="BA261" i="55"/>
  <c r="HQ58" i="55"/>
  <c r="AW303" i="54"/>
  <c r="AW311" i="54" s="1"/>
  <c r="AW307" i="55"/>
  <c r="AX289" i="54"/>
  <c r="AX293" i="54" s="1"/>
  <c r="AX285" i="55"/>
  <c r="HY55" i="55"/>
  <c r="AW254" i="54"/>
  <c r="AX253" i="54"/>
  <c r="AX312" i="54" s="1"/>
  <c r="AX249" i="55"/>
  <c r="HM55" i="55"/>
  <c r="E276" i="55"/>
  <c r="E277" i="55" s="1"/>
  <c r="HX10" i="55"/>
  <c r="IG10" i="55"/>
  <c r="HW10" i="55"/>
  <c r="HS59" i="54"/>
  <c r="BB264" i="54"/>
  <c r="IF59" i="54"/>
  <c r="HT59" i="54"/>
  <c r="AY288" i="54"/>
  <c r="IB56" i="54"/>
  <c r="IA56" i="54"/>
  <c r="IH56" i="54"/>
  <c r="AZ287" i="54"/>
  <c r="HZ57" i="54" s="1"/>
  <c r="BA286" i="54" a="1"/>
  <c r="BA286" i="54" s="1"/>
  <c r="AZ251" i="54"/>
  <c r="HN57" i="54" s="1"/>
  <c r="BA250" i="54" a="1"/>
  <c r="BA250" i="54" s="1"/>
  <c r="AY252" i="54"/>
  <c r="IE56" i="54"/>
  <c r="HP56" i="54"/>
  <c r="HO56" i="54"/>
  <c r="IG11" i="55" l="1"/>
  <c r="F276" i="55"/>
  <c r="F277" i="55" s="1"/>
  <c r="F278" i="55" s="1"/>
  <c r="HW11" i="55"/>
  <c r="HX11" i="55"/>
  <c r="G274" i="55" a="1"/>
  <c r="G274" i="55" s="1"/>
  <c r="G275" i="55" s="1"/>
  <c r="HV12" i="55" s="1"/>
  <c r="HX12" i="55" s="1"/>
  <c r="BA313" i="54"/>
  <c r="BA267" i="54"/>
  <c r="BA301" i="54" s="1"/>
  <c r="BA309" i="54" s="1"/>
  <c r="AX254" i="54"/>
  <c r="AX256" i="54"/>
  <c r="AX257" i="54"/>
  <c r="AX299" i="54"/>
  <c r="AX255" i="54"/>
  <c r="AX304" i="55" s="1"/>
  <c r="AZ270" i="54"/>
  <c r="AZ271" i="54" s="1"/>
  <c r="AW294" i="54"/>
  <c r="AW295" i="54" s="1"/>
  <c r="AX291" i="54"/>
  <c r="AX303" i="54" s="1"/>
  <c r="AX311" i="54" s="1"/>
  <c r="AX290" i="54"/>
  <c r="AX315" i="54"/>
  <c r="AX292" i="54"/>
  <c r="AX294" i="54" s="1"/>
  <c r="AX295" i="54" s="1"/>
  <c r="BA268" i="54"/>
  <c r="BA270" i="54" s="1"/>
  <c r="BA271" i="54" s="1"/>
  <c r="BA266" i="54"/>
  <c r="AW304" i="55"/>
  <c r="F280" i="55"/>
  <c r="E314" i="55"/>
  <c r="E281" i="55"/>
  <c r="E280" i="55"/>
  <c r="E279" i="55"/>
  <c r="E302" i="55" s="1"/>
  <c r="E278" i="55"/>
  <c r="AY253" i="54"/>
  <c r="AY257" i="54" s="1"/>
  <c r="AY249" i="55"/>
  <c r="HM56" i="55"/>
  <c r="AY289" i="54"/>
  <c r="AY293" i="54" s="1"/>
  <c r="AY285" i="55"/>
  <c r="HY56" i="55"/>
  <c r="AZ301" i="54"/>
  <c r="AZ309" i="54" s="1"/>
  <c r="AZ305" i="55"/>
  <c r="BB265" i="54"/>
  <c r="BB267" i="54" s="1"/>
  <c r="BB261" i="55"/>
  <c r="E262" i="55" s="1" a="1"/>
  <c r="E262" i="55" s="1"/>
  <c r="HQ59" i="55"/>
  <c r="BA251" i="54"/>
  <c r="HN58" i="54" s="1"/>
  <c r="BB250" i="54" a="1"/>
  <c r="BB250" i="54" s="1"/>
  <c r="BB251" i="54" s="1"/>
  <c r="HN59" i="54" s="1"/>
  <c r="AZ252" i="54"/>
  <c r="HP57" i="54"/>
  <c r="HO57" i="54"/>
  <c r="IE57" i="54"/>
  <c r="BA287" i="54"/>
  <c r="HZ58" i="54" s="1"/>
  <c r="BB286" i="54" a="1"/>
  <c r="BB286" i="54" s="1"/>
  <c r="BB287" i="54" s="1"/>
  <c r="HZ59" i="54" s="1"/>
  <c r="AZ288" i="54"/>
  <c r="IA57" i="54"/>
  <c r="IH57" i="54"/>
  <c r="IB57" i="54"/>
  <c r="F281" i="55" l="1"/>
  <c r="F279" i="55"/>
  <c r="F302" i="55" s="1"/>
  <c r="F310" i="55" s="1"/>
  <c r="F314" i="55"/>
  <c r="BA305" i="55"/>
  <c r="HW12" i="55"/>
  <c r="H274" i="55" a="1"/>
  <c r="H274" i="55" s="1"/>
  <c r="H275" i="55" s="1"/>
  <c r="HV13" i="55" s="1"/>
  <c r="H276" i="55" s="1"/>
  <c r="H277" i="55" s="1"/>
  <c r="G276" i="55"/>
  <c r="G277" i="55" s="1"/>
  <c r="G278" i="55" s="1"/>
  <c r="IG12" i="55"/>
  <c r="AY290" i="54"/>
  <c r="AY291" i="54"/>
  <c r="AY303" i="54" s="1"/>
  <c r="AY311" i="54" s="1"/>
  <c r="AY292" i="54"/>
  <c r="AY294" i="54" s="1"/>
  <c r="AY295" i="54" s="1"/>
  <c r="AX300" i="54"/>
  <c r="AX308" i="54" s="1"/>
  <c r="AY315" i="54"/>
  <c r="AX258" i="54"/>
  <c r="AX259" i="54" s="1"/>
  <c r="AX307" i="55"/>
  <c r="F282" i="55"/>
  <c r="F283" i="55" s="1"/>
  <c r="AY254" i="54"/>
  <c r="BB266" i="54"/>
  <c r="BB269" i="54"/>
  <c r="BB268" i="54"/>
  <c r="AY256" i="54"/>
  <c r="AY258" i="54" s="1"/>
  <c r="AY259" i="54" s="1"/>
  <c r="BB313" i="54"/>
  <c r="E282" i="55"/>
  <c r="E283" i="55" s="1"/>
  <c r="AY299" i="54"/>
  <c r="AY312" i="54"/>
  <c r="AZ253" i="54"/>
  <c r="AZ257" i="54" s="1"/>
  <c r="AZ249" i="55"/>
  <c r="HM57" i="55"/>
  <c r="BB301" i="54"/>
  <c r="G297" i="54" s="1"/>
  <c r="Z102" i="59" s="1"/>
  <c r="BB305" i="55"/>
  <c r="E263" i="55"/>
  <c r="HR10" i="55" s="1"/>
  <c r="F262" i="55" a="1"/>
  <c r="F262" i="55" s="1"/>
  <c r="F263" i="55" s="1"/>
  <c r="HR11" i="55" s="1"/>
  <c r="AY255" i="54"/>
  <c r="AZ289" i="54"/>
  <c r="AZ290" i="54" s="1"/>
  <c r="AZ285" i="55"/>
  <c r="HY57" i="55"/>
  <c r="E310" i="55"/>
  <c r="BA288" i="54"/>
  <c r="IH58" i="54"/>
  <c r="IB58" i="54"/>
  <c r="IA58" i="54"/>
  <c r="BB252" i="54"/>
  <c r="HO59" i="54"/>
  <c r="IE59" i="54"/>
  <c r="HP59" i="54"/>
  <c r="BA252" i="54"/>
  <c r="HP58" i="54"/>
  <c r="HO58" i="54"/>
  <c r="IE58" i="54"/>
  <c r="BB288" i="54"/>
  <c r="IB59" i="54"/>
  <c r="IA59" i="54"/>
  <c r="IH59" i="54"/>
  <c r="G279" i="55" l="1"/>
  <c r="G302" i="55" s="1"/>
  <c r="G310" i="55" s="1"/>
  <c r="AY307" i="55"/>
  <c r="G281" i="55"/>
  <c r="G314" i="55"/>
  <c r="G280" i="55"/>
  <c r="I274" i="55" a="1"/>
  <c r="I274" i="55" s="1"/>
  <c r="J274" i="55" s="1" a="1"/>
  <c r="J274" i="55" s="1"/>
  <c r="J275" i="55" s="1"/>
  <c r="HW13" i="55"/>
  <c r="IG13" i="55"/>
  <c r="HX13" i="55"/>
  <c r="AZ299" i="54"/>
  <c r="AZ312" i="54"/>
  <c r="AZ254" i="54"/>
  <c r="AZ255" i="54"/>
  <c r="AZ300" i="54" s="1"/>
  <c r="AZ308" i="54" s="1"/>
  <c r="BB270" i="54"/>
  <c r="BB271" i="54" s="1"/>
  <c r="E297" i="54" s="1"/>
  <c r="Z107" i="59" s="1"/>
  <c r="AZ315" i="54"/>
  <c r="AZ256" i="54"/>
  <c r="AZ258" i="54" s="1"/>
  <c r="AZ259" i="54" s="1"/>
  <c r="BB309" i="54"/>
  <c r="BB253" i="54"/>
  <c r="BB255" i="54" s="1"/>
  <c r="BB249" i="55"/>
  <c r="HM59" i="55"/>
  <c r="AZ293" i="54"/>
  <c r="BB289" i="54"/>
  <c r="BB315" i="54" s="1"/>
  <c r="BB285" i="55"/>
  <c r="HY59" i="55"/>
  <c r="AZ292" i="54"/>
  <c r="H314" i="55"/>
  <c r="H278" i="55"/>
  <c r="H280" i="55"/>
  <c r="H279" i="55"/>
  <c r="H302" i="55" s="1"/>
  <c r="H281" i="55"/>
  <c r="E264" i="55"/>
  <c r="E265" i="55" s="1"/>
  <c r="HT10" i="55"/>
  <c r="HS10" i="55"/>
  <c r="IF10" i="55"/>
  <c r="BA289" i="54"/>
  <c r="BA315" i="54" s="1"/>
  <c r="BA285" i="55"/>
  <c r="HY58" i="55"/>
  <c r="F264" i="55"/>
  <c r="F265" i="55" s="1"/>
  <c r="HT11" i="55"/>
  <c r="HS11" i="55"/>
  <c r="IF11" i="55"/>
  <c r="G262" i="55" a="1"/>
  <c r="G262" i="55" s="1"/>
  <c r="AY300" i="54"/>
  <c r="AY308" i="54" s="1"/>
  <c r="AY304" i="55"/>
  <c r="BA253" i="54"/>
  <c r="BA299" i="54" s="1"/>
  <c r="BA249" i="55"/>
  <c r="HM58" i="55"/>
  <c r="AZ291" i="54"/>
  <c r="I297" i="54"/>
  <c r="Z103" i="59" s="1"/>
  <c r="K297" i="54"/>
  <c r="Z104" i="59" s="1"/>
  <c r="Z105" i="59" s="1"/>
  <c r="G282" i="55" l="1"/>
  <c r="G283" i="55" s="1"/>
  <c r="BB312" i="54"/>
  <c r="BB256" i="54"/>
  <c r="BB299" i="54"/>
  <c r="I275" i="55"/>
  <c r="HV14" i="55" s="1"/>
  <c r="HV15" i="55" s="1"/>
  <c r="HX15" i="55" s="1"/>
  <c r="K274" i="55" a="1"/>
  <c r="K274" i="55" s="1"/>
  <c r="L274" i="55" s="1" a="1"/>
  <c r="L274" i="55" s="1"/>
  <c r="L275" i="55" s="1"/>
  <c r="BB257" i="54"/>
  <c r="BB258" i="54" s="1"/>
  <c r="BB259" i="54" s="1"/>
  <c r="AZ294" i="54"/>
  <c r="AZ295" i="54" s="1"/>
  <c r="BB254" i="54"/>
  <c r="AZ304" i="55"/>
  <c r="Z108" i="59"/>
  <c r="Z109" i="59"/>
  <c r="BA312" i="54"/>
  <c r="BA290" i="54"/>
  <c r="BB292" i="54"/>
  <c r="BB290" i="54"/>
  <c r="BB291" i="54"/>
  <c r="BB303" i="54" s="1"/>
  <c r="BB311" i="54" s="1"/>
  <c r="BB293" i="54"/>
  <c r="BA293" i="54"/>
  <c r="BA292" i="54"/>
  <c r="BA291" i="54"/>
  <c r="BA307" i="55" s="1"/>
  <c r="BA254" i="54"/>
  <c r="BA255" i="54"/>
  <c r="BA300" i="54" s="1"/>
  <c r="BA308" i="54" s="1"/>
  <c r="BA257" i="54"/>
  <c r="BA256" i="54"/>
  <c r="H282" i="55"/>
  <c r="H283" i="55" s="1"/>
  <c r="BB300" i="54"/>
  <c r="BB308" i="54" s="1"/>
  <c r="BB304" i="55"/>
  <c r="AZ303" i="54"/>
  <c r="AZ311" i="54" s="1"/>
  <c r="AZ307" i="55"/>
  <c r="F313" i="55"/>
  <c r="F266" i="55"/>
  <c r="F269" i="55"/>
  <c r="F268" i="55"/>
  <c r="F267" i="55"/>
  <c r="F301" i="55" s="1"/>
  <c r="F309" i="55" s="1"/>
  <c r="E250" i="55" a="1"/>
  <c r="E250" i="55" s="1"/>
  <c r="G263" i="55"/>
  <c r="HR12" i="55" s="1"/>
  <c r="H262" i="55" a="1"/>
  <c r="H262" i="55" s="1"/>
  <c r="I262" i="55" s="1" a="1"/>
  <c r="I262" i="55" s="1"/>
  <c r="I263" i="55" s="1"/>
  <c r="E313" i="55"/>
  <c r="E266" i="55"/>
  <c r="E268" i="55"/>
  <c r="E267" i="55"/>
  <c r="E301" i="55" s="1"/>
  <c r="E269" i="55"/>
  <c r="H310" i="55"/>
  <c r="E286" i="55" a="1"/>
  <c r="E286" i="55" s="1"/>
  <c r="HX14" i="55" l="1"/>
  <c r="J276" i="55"/>
  <c r="J277" i="55" s="1"/>
  <c r="J280" i="55" s="1"/>
  <c r="HW15" i="55"/>
  <c r="IG15" i="55"/>
  <c r="HW14" i="55"/>
  <c r="I276" i="55"/>
  <c r="I277" i="55" s="1"/>
  <c r="I278" i="55" s="1"/>
  <c r="IG14" i="55"/>
  <c r="M274" i="55" a="1"/>
  <c r="M274" i="55" s="1"/>
  <c r="M275" i="55" s="1"/>
  <c r="K275" i="55"/>
  <c r="HV16" i="55" s="1"/>
  <c r="HX16" i="55" s="1"/>
  <c r="BB294" i="54"/>
  <c r="BB295" i="54" s="1"/>
  <c r="BB307" i="55"/>
  <c r="BA303" i="54"/>
  <c r="BA311" i="54" s="1"/>
  <c r="BA294" i="54"/>
  <c r="BA295" i="54" s="1"/>
  <c r="BA258" i="54"/>
  <c r="BA259" i="54" s="1"/>
  <c r="M297" i="54" s="1"/>
  <c r="V108" i="59" s="1"/>
  <c r="V105" i="59" s="1"/>
  <c r="BA304" i="55"/>
  <c r="J278" i="55"/>
  <c r="J281" i="55"/>
  <c r="E251" i="55"/>
  <c r="HN10" i="55" s="1"/>
  <c r="F250" i="55" a="1"/>
  <c r="F250" i="55" s="1"/>
  <c r="F251" i="55" s="1"/>
  <c r="HN11" i="55" s="1"/>
  <c r="J262" i="55" a="1"/>
  <c r="J262" i="55" s="1"/>
  <c r="K262" i="55" s="1" a="1"/>
  <c r="K262" i="55" s="1"/>
  <c r="K263" i="55" s="1"/>
  <c r="E270" i="55"/>
  <c r="E271" i="55" s="1"/>
  <c r="G264" i="55"/>
  <c r="G265" i="55" s="1"/>
  <c r="IF12" i="55"/>
  <c r="HT12" i="55"/>
  <c r="HS12" i="55"/>
  <c r="E309" i="55"/>
  <c r="H263" i="55"/>
  <c r="HR13" i="55" s="1"/>
  <c r="HR14" i="55" s="1"/>
  <c r="F270" i="55"/>
  <c r="F271" i="55" s="1"/>
  <c r="E287" i="55"/>
  <c r="HZ10" i="55" s="1"/>
  <c r="F286" i="55" a="1"/>
  <c r="F286" i="55" s="1"/>
  <c r="F287" i="55" s="1"/>
  <c r="J314" i="55" l="1"/>
  <c r="IG16" i="55"/>
  <c r="J279" i="55"/>
  <c r="J302" i="55" s="1"/>
  <c r="J310" i="55" s="1"/>
  <c r="J282" i="55"/>
  <c r="J283" i="55" s="1"/>
  <c r="I281" i="55"/>
  <c r="HV17" i="55"/>
  <c r="HX17" i="55" s="1"/>
  <c r="HW16" i="55"/>
  <c r="K276" i="55"/>
  <c r="K277" i="55" s="1"/>
  <c r="K314" i="55" s="1"/>
  <c r="I279" i="55"/>
  <c r="I302" i="55" s="1"/>
  <c r="I310" i="55" s="1"/>
  <c r="I280" i="55"/>
  <c r="I314" i="55"/>
  <c r="G296" i="54"/>
  <c r="R102" i="59" s="1"/>
  <c r="N274" i="55" a="1"/>
  <c r="N274" i="55" s="1"/>
  <c r="O274" i="55" s="1" a="1"/>
  <c r="O274" i="55" s="1"/>
  <c r="M296" i="54"/>
  <c r="N109" i="59" s="1"/>
  <c r="N105" i="59" s="1"/>
  <c r="N107" i="59" s="1"/>
  <c r="E296" i="54"/>
  <c r="R107" i="59" s="1"/>
  <c r="R109" i="59" s="1"/>
  <c r="W106" i="59"/>
  <c r="V107" i="59"/>
  <c r="V109" i="59" s="1"/>
  <c r="G286" i="55" a="1"/>
  <c r="G286" i="55" s="1"/>
  <c r="G287" i="55" s="1"/>
  <c r="HZ11" i="55"/>
  <c r="IH11" i="55" s="1"/>
  <c r="G250" i="55" a="1"/>
  <c r="G250" i="55" s="1"/>
  <c r="G251" i="55" s="1"/>
  <c r="HN12" i="55" s="1"/>
  <c r="HO12" i="55" s="1"/>
  <c r="L262" i="55" a="1"/>
  <c r="L262" i="55" s="1"/>
  <c r="M262" i="55" s="1" a="1"/>
  <c r="M262" i="55" s="1"/>
  <c r="J263" i="55"/>
  <c r="HR15" i="55" s="1"/>
  <c r="HR16" i="55" s="1"/>
  <c r="F252" i="55"/>
  <c r="HO11" i="55"/>
  <c r="IE11" i="55"/>
  <c r="HP11" i="55"/>
  <c r="E288" i="55"/>
  <c r="E289" i="55" s="1"/>
  <c r="IH10" i="55"/>
  <c r="IB10" i="55"/>
  <c r="IA10" i="55"/>
  <c r="I264" i="55"/>
  <c r="I265" i="55" s="1"/>
  <c r="HT14" i="55"/>
  <c r="HS14" i="55"/>
  <c r="IF14" i="55"/>
  <c r="E252" i="55"/>
  <c r="HP10" i="55"/>
  <c r="HO10" i="55"/>
  <c r="IE10" i="55"/>
  <c r="G313" i="55"/>
  <c r="G267" i="55"/>
  <c r="G301" i="55" s="1"/>
  <c r="G266" i="55"/>
  <c r="G268" i="55"/>
  <c r="G269" i="55"/>
  <c r="H264" i="55"/>
  <c r="H265" i="55" s="1"/>
  <c r="HT13" i="55"/>
  <c r="HS13" i="55"/>
  <c r="IF13" i="55"/>
  <c r="L276" i="55" l="1"/>
  <c r="L277" i="55" s="1"/>
  <c r="L314" i="55" s="1"/>
  <c r="K280" i="55"/>
  <c r="IG17" i="55"/>
  <c r="HV18" i="55"/>
  <c r="IG18" i="55" s="1"/>
  <c r="I282" i="55"/>
  <c r="I283" i="55" s="1"/>
  <c r="HZ12" i="55"/>
  <c r="G288" i="55" s="1"/>
  <c r="G289" i="55" s="1"/>
  <c r="G290" i="55" s="1"/>
  <c r="K281" i="55"/>
  <c r="K282" i="55" s="1"/>
  <c r="K283" i="55" s="1"/>
  <c r="L281" i="55"/>
  <c r="L280" i="55"/>
  <c r="K278" i="55"/>
  <c r="HW17" i="55"/>
  <c r="K279" i="55"/>
  <c r="K302" i="55" s="1"/>
  <c r="K310" i="55" s="1"/>
  <c r="L279" i="55"/>
  <c r="L302" i="55" s="1"/>
  <c r="L310" i="55" s="1"/>
  <c r="L278" i="55"/>
  <c r="I296" i="54"/>
  <c r="R103" i="59" s="1"/>
  <c r="K296" i="54"/>
  <c r="R104" i="59" s="1"/>
  <c r="R105" i="59" s="1"/>
  <c r="IA11" i="55"/>
  <c r="IB11" i="55"/>
  <c r="F288" i="55"/>
  <c r="F289" i="55" s="1"/>
  <c r="F315" i="55" s="1"/>
  <c r="N275" i="55"/>
  <c r="HV19" i="55" s="1"/>
  <c r="N276" i="55" s="1"/>
  <c r="N277" i="55" s="1"/>
  <c r="O106" i="59"/>
  <c r="M276" i="55"/>
  <c r="M277" i="55" s="1"/>
  <c r="M279" i="55" s="1"/>
  <c r="M302" i="55" s="1"/>
  <c r="HX18" i="55"/>
  <c r="HW18" i="55"/>
  <c r="HP12" i="55"/>
  <c r="IE12" i="55"/>
  <c r="H286" i="55" a="1"/>
  <c r="H286" i="55" s="1"/>
  <c r="I286" i="55" s="1" a="1"/>
  <c r="I286" i="55" s="1"/>
  <c r="J286" i="55" s="1" a="1"/>
  <c r="J286" i="55" s="1"/>
  <c r="J287" i="55" s="1"/>
  <c r="G252" i="55"/>
  <c r="G253" i="55" s="1"/>
  <c r="AM1" i="59" s="1"/>
  <c r="H250" i="55" a="1"/>
  <c r="H250" i="55" s="1"/>
  <c r="I250" i="55" s="1" a="1"/>
  <c r="I250" i="55" s="1"/>
  <c r="I251" i="55" s="1"/>
  <c r="G309" i="55"/>
  <c r="E298" i="55"/>
  <c r="AC4" i="59" s="1"/>
  <c r="E253" i="55"/>
  <c r="AE1" i="59" s="1"/>
  <c r="E315" i="55"/>
  <c r="E293" i="55"/>
  <c r="E291" i="55"/>
  <c r="E303" i="55" s="1"/>
  <c r="E311" i="55" s="1"/>
  <c r="E290" i="55"/>
  <c r="E292" i="55"/>
  <c r="J264" i="55"/>
  <c r="J265" i="55" s="1"/>
  <c r="IF15" i="55"/>
  <c r="HT15" i="55"/>
  <c r="HS15" i="55"/>
  <c r="G270" i="55"/>
  <c r="G271" i="55" s="1"/>
  <c r="H313" i="55"/>
  <c r="H269" i="55"/>
  <c r="H268" i="55"/>
  <c r="H267" i="55"/>
  <c r="H301" i="55" s="1"/>
  <c r="H309" i="55" s="1"/>
  <c r="H266" i="55"/>
  <c r="M263" i="55"/>
  <c r="N262" i="55" a="1"/>
  <c r="N262" i="55" s="1"/>
  <c r="I313" i="55"/>
  <c r="I268" i="55"/>
  <c r="I269" i="55"/>
  <c r="I267" i="55"/>
  <c r="I301" i="55" s="1"/>
  <c r="I309" i="55" s="1"/>
  <c r="I266" i="55"/>
  <c r="F298" i="55"/>
  <c r="AG4" i="59" s="1"/>
  <c r="F253" i="55"/>
  <c r="AI1" i="59" s="1"/>
  <c r="G315" i="55"/>
  <c r="G293" i="55"/>
  <c r="G292" i="55"/>
  <c r="O275" i="55"/>
  <c r="P274" i="55" a="1"/>
  <c r="P274" i="55" s="1"/>
  <c r="L263" i="55"/>
  <c r="HR17" i="55" s="1"/>
  <c r="M314" i="55"/>
  <c r="K264" i="55"/>
  <c r="K265" i="55" s="1"/>
  <c r="HT16" i="55"/>
  <c r="HS16" i="55"/>
  <c r="IF16" i="55"/>
  <c r="IA12" i="55" l="1"/>
  <c r="L282" i="55"/>
  <c r="L283" i="55" s="1"/>
  <c r="IB12" i="55"/>
  <c r="IH12" i="55"/>
  <c r="G291" i="55"/>
  <c r="G303" i="55" s="1"/>
  <c r="G311" i="55" s="1"/>
  <c r="M278" i="55"/>
  <c r="M280" i="55"/>
  <c r="M282" i="55" s="1"/>
  <c r="M283" i="55" s="1"/>
  <c r="M281" i="55"/>
  <c r="F292" i="55"/>
  <c r="F291" i="55"/>
  <c r="F303" i="55" s="1"/>
  <c r="F311" i="55" s="1"/>
  <c r="F293" i="55"/>
  <c r="F290" i="55"/>
  <c r="HX19" i="55"/>
  <c r="HW19" i="55"/>
  <c r="HV20" i="55"/>
  <c r="O276" i="55" s="1"/>
  <c r="O277" i="55" s="1"/>
  <c r="IG19" i="55"/>
  <c r="G298" i="55"/>
  <c r="AK4" i="59" s="1"/>
  <c r="AI405" i="59"/>
  <c r="AI403" i="59"/>
  <c r="AI401" i="59"/>
  <c r="AI399" i="59"/>
  <c r="AI397" i="59"/>
  <c r="AI404" i="59"/>
  <c r="AI402" i="59"/>
  <c r="AI400" i="59"/>
  <c r="AI395" i="59"/>
  <c r="AI330" i="59"/>
  <c r="AI335" i="59"/>
  <c r="AI396" i="59"/>
  <c r="AI337" i="59"/>
  <c r="AI332" i="59"/>
  <c r="AI398" i="59"/>
  <c r="AI334" i="59"/>
  <c r="AI336" i="59"/>
  <c r="AI316" i="59"/>
  <c r="AI328" i="59"/>
  <c r="AI322" i="59"/>
  <c r="AI314" i="59"/>
  <c r="AI312" i="59"/>
  <c r="AI315" i="59"/>
  <c r="AI324" i="59"/>
  <c r="AI326" i="59"/>
  <c r="AI311" i="59"/>
  <c r="AI309" i="59"/>
  <c r="AI307" i="59"/>
  <c r="AI305" i="59"/>
  <c r="AI302" i="59"/>
  <c r="AI313" i="59"/>
  <c r="AI303" i="59"/>
  <c r="AI299" i="59"/>
  <c r="AI310" i="59"/>
  <c r="AI301" i="59"/>
  <c r="AI308" i="59"/>
  <c r="AI298" i="59"/>
  <c r="AI296" i="59"/>
  <c r="AI294" i="59"/>
  <c r="AI306" i="59"/>
  <c r="AI304" i="59"/>
  <c r="AI300" i="59"/>
  <c r="AI285" i="59"/>
  <c r="AI283" i="59"/>
  <c r="AI281" i="59"/>
  <c r="AI279" i="59"/>
  <c r="AI277" i="59"/>
  <c r="AI275" i="59"/>
  <c r="AI297" i="59"/>
  <c r="AI292" i="59"/>
  <c r="AI290" i="59"/>
  <c r="AI288" i="59"/>
  <c r="AI286" i="59"/>
  <c r="AI284" i="59"/>
  <c r="AI282" i="59"/>
  <c r="AI280" i="59"/>
  <c r="AI278" i="59"/>
  <c r="AI276" i="59"/>
  <c r="AI274" i="59"/>
  <c r="AI293" i="59"/>
  <c r="AI295" i="59"/>
  <c r="AI287" i="59"/>
  <c r="AI272" i="59"/>
  <c r="AI291" i="59"/>
  <c r="AI271" i="59"/>
  <c r="AI269" i="59"/>
  <c r="AI289" i="59"/>
  <c r="AI273" i="59"/>
  <c r="AI266" i="59"/>
  <c r="AI264" i="59"/>
  <c r="AI262" i="59"/>
  <c r="AI260" i="59"/>
  <c r="AI258" i="59"/>
  <c r="AI268" i="59"/>
  <c r="AI270" i="59"/>
  <c r="AI216" i="59"/>
  <c r="AI214" i="59"/>
  <c r="AI212" i="59"/>
  <c r="AI265" i="59"/>
  <c r="AI263" i="59"/>
  <c r="AI261" i="59"/>
  <c r="AI259" i="59"/>
  <c r="AI217" i="59"/>
  <c r="AI267" i="59"/>
  <c r="AI213" i="59"/>
  <c r="AI211" i="59"/>
  <c r="AI218" i="59"/>
  <c r="AI210" i="59"/>
  <c r="AI208" i="59"/>
  <c r="AI206" i="59"/>
  <c r="AI205" i="59"/>
  <c r="AI203" i="59"/>
  <c r="AI201" i="59"/>
  <c r="AI199" i="59"/>
  <c r="AI209" i="59"/>
  <c r="AI207" i="59"/>
  <c r="AI215" i="59"/>
  <c r="AI204" i="59"/>
  <c r="AI202" i="59"/>
  <c r="AI200" i="59"/>
  <c r="AI193" i="59"/>
  <c r="AI185" i="59"/>
  <c r="AI195" i="59"/>
  <c r="AI191" i="59"/>
  <c r="AI186" i="59"/>
  <c r="AI184" i="59"/>
  <c r="AI197" i="59"/>
  <c r="AI190" i="59"/>
  <c r="AI189" i="59"/>
  <c r="AI198" i="59"/>
  <c r="AI192" i="59"/>
  <c r="AI188" i="59"/>
  <c r="AI187" i="59"/>
  <c r="AI194" i="59"/>
  <c r="AI182" i="59"/>
  <c r="AI196" i="59"/>
  <c r="AI183" i="59"/>
  <c r="AI181" i="59"/>
  <c r="AI180" i="59"/>
  <c r="AI177" i="59"/>
  <c r="AI174" i="59"/>
  <c r="AI178" i="59"/>
  <c r="AI175" i="59"/>
  <c r="AI172" i="59"/>
  <c r="AI176" i="59"/>
  <c r="AI179" i="59"/>
  <c r="AI173" i="59"/>
  <c r="AI89" i="59"/>
  <c r="AI104" i="59"/>
  <c r="AI87" i="59"/>
  <c r="AI103" i="59"/>
  <c r="AI90" i="59"/>
  <c r="AI171" i="59"/>
  <c r="AI102" i="59"/>
  <c r="AI88" i="59"/>
  <c r="AI86" i="59"/>
  <c r="AI69" i="59"/>
  <c r="AI67" i="59"/>
  <c r="AI85" i="59"/>
  <c r="AI82" i="59"/>
  <c r="AI81" i="59"/>
  <c r="AI78" i="59"/>
  <c r="AI77" i="59"/>
  <c r="AI74" i="59"/>
  <c r="AI65" i="59"/>
  <c r="AI63" i="59"/>
  <c r="AI61" i="59"/>
  <c r="AI72" i="59"/>
  <c r="AI59" i="59"/>
  <c r="AI57" i="59"/>
  <c r="AI70" i="59"/>
  <c r="AI68" i="59"/>
  <c r="AI83" i="59"/>
  <c r="AI66" i="59"/>
  <c r="AI80" i="59"/>
  <c r="AI79" i="59"/>
  <c r="AI76" i="59"/>
  <c r="AI75" i="59"/>
  <c r="AI73" i="59"/>
  <c r="AI64" i="59"/>
  <c r="AI62" i="59"/>
  <c r="AI84" i="59"/>
  <c r="AI71" i="59"/>
  <c r="AI60" i="59"/>
  <c r="AI52" i="59"/>
  <c r="AI50" i="59"/>
  <c r="AI48" i="59"/>
  <c r="AI46" i="59"/>
  <c r="AI44" i="59"/>
  <c r="AI58" i="59"/>
  <c r="AI54" i="59"/>
  <c r="AI42" i="59"/>
  <c r="AI40" i="59"/>
  <c r="AI38" i="59"/>
  <c r="AI55" i="59"/>
  <c r="AI56" i="59"/>
  <c r="AI53" i="59"/>
  <c r="AI51" i="59"/>
  <c r="AI49" i="59"/>
  <c r="AI47" i="59"/>
  <c r="AI45" i="59"/>
  <c r="AI43" i="59"/>
  <c r="AI41" i="59"/>
  <c r="AI39" i="59"/>
  <c r="AI37" i="59"/>
  <c r="AI30" i="59"/>
  <c r="AI28" i="59"/>
  <c r="AI26" i="59"/>
  <c r="AI24" i="59"/>
  <c r="AI22" i="59"/>
  <c r="AI20" i="59"/>
  <c r="AI18" i="59"/>
  <c r="AI16" i="59"/>
  <c r="AI14" i="59"/>
  <c r="AI12" i="59"/>
  <c r="AI10" i="59"/>
  <c r="AI36" i="59"/>
  <c r="AI35" i="59"/>
  <c r="AI32" i="59"/>
  <c r="AI33" i="59"/>
  <c r="AI31" i="59"/>
  <c r="AI29" i="59"/>
  <c r="AI27" i="59"/>
  <c r="AI25" i="59"/>
  <c r="AI23" i="59"/>
  <c r="AI21" i="59"/>
  <c r="AI19" i="59"/>
  <c r="AI17" i="59"/>
  <c r="AI15" i="59"/>
  <c r="AI13" i="59"/>
  <c r="AI11" i="59"/>
  <c r="AI9" i="59"/>
  <c r="AI34" i="59"/>
  <c r="AE404" i="59"/>
  <c r="AE402" i="59"/>
  <c r="AE400" i="59"/>
  <c r="AE398" i="59"/>
  <c r="AE405" i="59"/>
  <c r="AE403" i="59"/>
  <c r="AE401" i="59"/>
  <c r="AE399" i="59"/>
  <c r="AE396" i="59"/>
  <c r="AE395" i="59"/>
  <c r="AE336" i="59"/>
  <c r="AE334" i="59"/>
  <c r="AE397" i="59"/>
  <c r="AE337" i="59"/>
  <c r="AE332" i="59"/>
  <c r="AE324" i="59"/>
  <c r="AE313" i="59"/>
  <c r="AE328" i="59"/>
  <c r="AE335" i="59"/>
  <c r="AE316" i="59"/>
  <c r="AE326" i="59"/>
  <c r="AE330" i="59"/>
  <c r="AE322" i="59"/>
  <c r="AE310" i="59"/>
  <c r="AE308" i="59"/>
  <c r="AE306" i="59"/>
  <c r="AE303" i="59"/>
  <c r="AE304" i="59"/>
  <c r="AE315" i="59"/>
  <c r="AE311" i="59"/>
  <c r="AE307" i="59"/>
  <c r="AE314" i="59"/>
  <c r="AE300" i="59"/>
  <c r="AE312" i="59"/>
  <c r="AE305" i="59"/>
  <c r="AE301" i="59"/>
  <c r="AE299" i="59"/>
  <c r="AE297" i="59"/>
  <c r="AE295" i="59"/>
  <c r="AE309" i="59"/>
  <c r="AE302" i="59"/>
  <c r="AE284" i="59"/>
  <c r="AE282" i="59"/>
  <c r="AE280" i="59"/>
  <c r="AE278" i="59"/>
  <c r="AE276" i="59"/>
  <c r="AE294" i="59"/>
  <c r="AE293" i="59"/>
  <c r="AE291" i="59"/>
  <c r="AE289" i="59"/>
  <c r="AE287" i="59"/>
  <c r="AE296" i="59"/>
  <c r="AE285" i="59"/>
  <c r="AE283" i="59"/>
  <c r="AE281" i="59"/>
  <c r="AE279" i="59"/>
  <c r="AE277" i="59"/>
  <c r="AE275" i="59"/>
  <c r="AE298" i="59"/>
  <c r="AE290" i="59"/>
  <c r="AE273" i="59"/>
  <c r="AE288" i="59"/>
  <c r="AE286" i="59"/>
  <c r="AE274" i="59"/>
  <c r="AE270" i="59"/>
  <c r="AE292" i="59"/>
  <c r="AE265" i="59"/>
  <c r="AE263" i="59"/>
  <c r="AE261" i="59"/>
  <c r="AE259" i="59"/>
  <c r="AE269" i="59"/>
  <c r="AE271" i="59"/>
  <c r="AE267" i="59"/>
  <c r="AE268" i="59"/>
  <c r="AE218" i="59"/>
  <c r="AE215" i="59"/>
  <c r="AE213" i="59"/>
  <c r="AE272" i="59"/>
  <c r="AE266" i="59"/>
  <c r="AE264" i="59"/>
  <c r="AE262" i="59"/>
  <c r="AE260" i="59"/>
  <c r="AE258" i="59"/>
  <c r="AE216" i="59"/>
  <c r="AE212" i="59"/>
  <c r="AE217" i="59"/>
  <c r="AE214" i="59"/>
  <c r="AE211" i="59"/>
  <c r="AE209" i="59"/>
  <c r="AE207" i="59"/>
  <c r="AE204" i="59"/>
  <c r="AE202" i="59"/>
  <c r="AE200" i="59"/>
  <c r="AE206" i="59"/>
  <c r="AE210" i="59"/>
  <c r="AE205" i="59"/>
  <c r="AE203" i="59"/>
  <c r="AE201" i="59"/>
  <c r="AE199" i="59"/>
  <c r="AE193" i="59"/>
  <c r="AE195" i="59"/>
  <c r="AE191" i="59"/>
  <c r="AE185" i="59"/>
  <c r="AE183" i="59"/>
  <c r="AE208" i="59"/>
  <c r="AE198" i="59"/>
  <c r="AE197" i="59"/>
  <c r="AE192" i="59"/>
  <c r="AE189" i="59"/>
  <c r="AE186" i="59"/>
  <c r="AE184" i="59"/>
  <c r="AE194" i="59"/>
  <c r="AE190" i="59"/>
  <c r="AE187" i="59"/>
  <c r="AE196" i="59"/>
  <c r="AE182" i="59"/>
  <c r="AE176" i="59"/>
  <c r="AE171" i="59"/>
  <c r="AE179" i="59"/>
  <c r="AE180" i="59"/>
  <c r="AE173" i="59"/>
  <c r="AE188" i="59"/>
  <c r="AE181" i="59"/>
  <c r="AE174" i="59"/>
  <c r="AE177" i="59"/>
  <c r="AE178" i="59"/>
  <c r="AE175" i="59"/>
  <c r="AE88" i="59"/>
  <c r="AE104" i="59"/>
  <c r="AE89" i="59"/>
  <c r="AE103" i="59"/>
  <c r="AE172" i="59"/>
  <c r="AE87" i="59"/>
  <c r="AE102" i="59"/>
  <c r="AE90" i="59"/>
  <c r="AE86" i="59"/>
  <c r="AE70" i="59"/>
  <c r="AE68" i="59"/>
  <c r="AE84" i="59"/>
  <c r="AE83" i="59"/>
  <c r="AE66" i="59"/>
  <c r="AE80" i="59"/>
  <c r="AE79" i="59"/>
  <c r="AE76" i="59"/>
  <c r="AE75" i="59"/>
  <c r="AE73" i="59"/>
  <c r="AE64" i="59"/>
  <c r="AE62" i="59"/>
  <c r="AE71" i="59"/>
  <c r="AE60" i="59"/>
  <c r="AE58" i="59"/>
  <c r="AE85" i="59"/>
  <c r="AE69" i="59"/>
  <c r="AE67" i="59"/>
  <c r="AE82" i="59"/>
  <c r="AE81" i="59"/>
  <c r="AE78" i="59"/>
  <c r="AE77" i="59"/>
  <c r="AE74" i="59"/>
  <c r="AE65" i="59"/>
  <c r="AE63" i="59"/>
  <c r="AE72" i="59"/>
  <c r="AE36" i="59"/>
  <c r="AE59" i="59"/>
  <c r="AE57" i="59"/>
  <c r="AE56" i="59"/>
  <c r="AE53" i="59"/>
  <c r="AE51" i="59"/>
  <c r="AE49" i="59"/>
  <c r="AE47" i="59"/>
  <c r="AE45" i="59"/>
  <c r="AE43" i="59"/>
  <c r="AE41" i="59"/>
  <c r="AE39" i="59"/>
  <c r="AE37" i="59"/>
  <c r="AE54" i="59"/>
  <c r="AE52" i="59"/>
  <c r="AE50" i="59"/>
  <c r="AE48" i="59"/>
  <c r="AE46" i="59"/>
  <c r="AE44" i="59"/>
  <c r="AE61" i="59"/>
  <c r="AE42" i="59"/>
  <c r="AE40" i="59"/>
  <c r="AE38" i="59"/>
  <c r="AE55" i="59"/>
  <c r="AE34" i="59"/>
  <c r="AE33" i="59"/>
  <c r="AE31" i="59"/>
  <c r="AE29" i="59"/>
  <c r="AE27" i="59"/>
  <c r="AE25" i="59"/>
  <c r="AE23" i="59"/>
  <c r="AE21" i="59"/>
  <c r="AE19" i="59"/>
  <c r="AE17" i="59"/>
  <c r="AE15" i="59"/>
  <c r="AE13" i="59"/>
  <c r="AE11" i="59"/>
  <c r="AE9" i="59"/>
  <c r="AE35" i="59"/>
  <c r="AE32" i="59"/>
  <c r="AE30" i="59"/>
  <c r="AE28" i="59"/>
  <c r="AE26" i="59"/>
  <c r="AE24" i="59"/>
  <c r="AE22" i="59"/>
  <c r="AE20" i="59"/>
  <c r="AE18" i="59"/>
  <c r="AE16" i="59"/>
  <c r="AE14" i="59"/>
  <c r="AE12" i="59"/>
  <c r="AE10" i="59"/>
  <c r="AM404" i="59"/>
  <c r="AM402" i="59"/>
  <c r="AM400" i="59"/>
  <c r="AM398" i="59"/>
  <c r="AM405" i="59"/>
  <c r="AM403" i="59"/>
  <c r="AM401" i="59"/>
  <c r="AM399" i="59"/>
  <c r="AM397" i="59"/>
  <c r="AM396" i="59"/>
  <c r="AM337" i="59"/>
  <c r="AM336" i="59"/>
  <c r="AM334" i="59"/>
  <c r="AM395" i="59"/>
  <c r="AM332" i="59"/>
  <c r="AM326" i="59"/>
  <c r="AM335" i="59"/>
  <c r="AM324" i="59"/>
  <c r="AM313" i="59"/>
  <c r="AM330" i="59"/>
  <c r="AM316" i="59"/>
  <c r="AM322" i="59"/>
  <c r="AM328" i="59"/>
  <c r="AM310" i="59"/>
  <c r="AM308" i="59"/>
  <c r="AM306" i="59"/>
  <c r="AM303" i="59"/>
  <c r="AM315" i="59"/>
  <c r="AM314" i="59"/>
  <c r="AM304" i="59"/>
  <c r="AM305" i="59"/>
  <c r="AM312" i="59"/>
  <c r="AM302" i="59"/>
  <c r="AM300" i="59"/>
  <c r="AM309" i="59"/>
  <c r="AM299" i="59"/>
  <c r="AM297" i="59"/>
  <c r="AM295" i="59"/>
  <c r="AM311" i="59"/>
  <c r="AM307" i="59"/>
  <c r="AM301" i="59"/>
  <c r="AM284" i="59"/>
  <c r="AM282" i="59"/>
  <c r="AM280" i="59"/>
  <c r="AM278" i="59"/>
  <c r="AM276" i="59"/>
  <c r="AM293" i="59"/>
  <c r="AM298" i="59"/>
  <c r="AM291" i="59"/>
  <c r="AM289" i="59"/>
  <c r="AM287" i="59"/>
  <c r="AM294" i="59"/>
  <c r="AM285" i="59"/>
  <c r="AM283" i="59"/>
  <c r="AM281" i="59"/>
  <c r="AM279" i="59"/>
  <c r="AM277" i="59"/>
  <c r="AM275" i="59"/>
  <c r="AM296" i="59"/>
  <c r="AM288" i="59"/>
  <c r="AM274" i="59"/>
  <c r="AM272" i="59"/>
  <c r="AM286" i="59"/>
  <c r="AM273" i="59"/>
  <c r="AM292" i="59"/>
  <c r="AM270" i="59"/>
  <c r="AM290" i="59"/>
  <c r="AM271" i="59"/>
  <c r="AM265" i="59"/>
  <c r="AM263" i="59"/>
  <c r="AM261" i="59"/>
  <c r="AM259" i="59"/>
  <c r="AM267" i="59"/>
  <c r="AM218" i="59"/>
  <c r="AM215" i="59"/>
  <c r="AM213" i="59"/>
  <c r="AM211" i="59"/>
  <c r="AM266" i="59"/>
  <c r="AM264" i="59"/>
  <c r="AM262" i="59"/>
  <c r="AM260" i="59"/>
  <c r="AM258" i="59"/>
  <c r="AM269" i="59"/>
  <c r="AM268" i="59"/>
  <c r="AM217" i="59"/>
  <c r="AM212" i="59"/>
  <c r="AM214" i="59"/>
  <c r="AM209" i="59"/>
  <c r="AM207" i="59"/>
  <c r="AM216" i="59"/>
  <c r="AM204" i="59"/>
  <c r="AM202" i="59"/>
  <c r="AM200" i="59"/>
  <c r="AM205" i="59"/>
  <c r="AM203" i="59"/>
  <c r="AM201" i="59"/>
  <c r="AM199" i="59"/>
  <c r="AM195" i="59"/>
  <c r="AM190" i="59"/>
  <c r="AM187" i="59"/>
  <c r="AM198" i="59"/>
  <c r="AM197" i="59"/>
  <c r="AM192" i="59"/>
  <c r="AM188" i="59"/>
  <c r="AM194" i="59"/>
  <c r="AM210" i="59"/>
  <c r="AM208" i="59"/>
  <c r="AM196" i="59"/>
  <c r="AM183" i="59"/>
  <c r="AM206" i="59"/>
  <c r="AM185" i="59"/>
  <c r="AM184" i="59"/>
  <c r="AM191" i="59"/>
  <c r="AM193" i="59"/>
  <c r="AM189" i="59"/>
  <c r="AM175" i="59"/>
  <c r="AM171" i="59"/>
  <c r="AM176" i="59"/>
  <c r="AM179" i="59"/>
  <c r="AM173" i="59"/>
  <c r="AM186" i="59"/>
  <c r="AM180" i="59"/>
  <c r="AM177" i="59"/>
  <c r="AM182" i="59"/>
  <c r="AM178" i="59"/>
  <c r="AM181" i="59"/>
  <c r="AM102" i="59"/>
  <c r="AM88" i="59"/>
  <c r="AM174" i="59"/>
  <c r="AM172" i="59"/>
  <c r="AM89" i="59"/>
  <c r="AM104" i="59"/>
  <c r="AM87" i="59"/>
  <c r="AM103" i="59"/>
  <c r="AM90" i="59"/>
  <c r="AM70" i="59"/>
  <c r="AM68" i="59"/>
  <c r="AM83" i="59"/>
  <c r="AM66" i="59"/>
  <c r="AM80" i="59"/>
  <c r="AM79" i="59"/>
  <c r="AM76" i="59"/>
  <c r="AM75" i="59"/>
  <c r="AM73" i="59"/>
  <c r="AM64" i="59"/>
  <c r="AM62" i="59"/>
  <c r="AM84" i="59"/>
  <c r="AM71" i="59"/>
  <c r="AM60" i="59"/>
  <c r="AM58" i="59"/>
  <c r="AM69" i="59"/>
  <c r="AM67" i="59"/>
  <c r="AM86" i="59"/>
  <c r="AM82" i="59"/>
  <c r="AM81" i="59"/>
  <c r="AM78" i="59"/>
  <c r="AM77" i="59"/>
  <c r="AM74" i="59"/>
  <c r="AM65" i="59"/>
  <c r="AM63" i="59"/>
  <c r="AM85" i="59"/>
  <c r="AM72" i="59"/>
  <c r="AM55" i="59"/>
  <c r="AM36" i="59"/>
  <c r="AM53" i="59"/>
  <c r="AM51" i="59"/>
  <c r="AM49" i="59"/>
  <c r="AM47" i="59"/>
  <c r="AM45" i="59"/>
  <c r="AM56" i="59"/>
  <c r="AM43" i="59"/>
  <c r="AM41" i="59"/>
  <c r="AM39" i="59"/>
  <c r="AM37" i="59"/>
  <c r="AM61" i="59"/>
  <c r="AM57" i="59"/>
  <c r="AM59" i="59"/>
  <c r="AM52" i="59"/>
  <c r="AM50" i="59"/>
  <c r="AM48" i="59"/>
  <c r="AM46" i="59"/>
  <c r="AM44" i="59"/>
  <c r="AM54" i="59"/>
  <c r="AM42" i="59"/>
  <c r="AM40" i="59"/>
  <c r="AM38" i="59"/>
  <c r="AM31" i="59"/>
  <c r="AM29" i="59"/>
  <c r="AM27" i="59"/>
  <c r="AM25" i="59"/>
  <c r="AM23" i="59"/>
  <c r="AM21" i="59"/>
  <c r="AM19" i="59"/>
  <c r="AM17" i="59"/>
  <c r="AM15" i="59"/>
  <c r="AM13" i="59"/>
  <c r="AM11" i="59"/>
  <c r="AM9" i="59"/>
  <c r="AM33" i="59"/>
  <c r="AM34" i="59"/>
  <c r="AM30" i="59"/>
  <c r="AM28" i="59"/>
  <c r="AM26" i="59"/>
  <c r="AM24" i="59"/>
  <c r="AM22" i="59"/>
  <c r="AM20" i="59"/>
  <c r="AM18" i="59"/>
  <c r="AM16" i="59"/>
  <c r="AM14" i="59"/>
  <c r="AM12" i="59"/>
  <c r="AM10" i="59"/>
  <c r="AM32" i="59"/>
  <c r="AM35" i="59"/>
  <c r="E294" i="55"/>
  <c r="E295" i="55" s="1"/>
  <c r="H287" i="55"/>
  <c r="HZ13" i="55" s="1"/>
  <c r="H288" i="55" s="1"/>
  <c r="H289" i="55" s="1"/>
  <c r="H270" i="55"/>
  <c r="H271" i="55" s="1"/>
  <c r="H251" i="55"/>
  <c r="HN13" i="55" s="1"/>
  <c r="HN14" i="55" s="1"/>
  <c r="J250" i="55" a="1"/>
  <c r="J250" i="55" s="1"/>
  <c r="J251" i="55" s="1"/>
  <c r="N314" i="55"/>
  <c r="N279" i="55"/>
  <c r="N302" i="55" s="1"/>
  <c r="N310" i="55" s="1"/>
  <c r="N281" i="55"/>
  <c r="N278" i="55"/>
  <c r="N280" i="55"/>
  <c r="L264" i="55"/>
  <c r="L265" i="55" s="1"/>
  <c r="IF17" i="55"/>
  <c r="HS17" i="55"/>
  <c r="HT17" i="55"/>
  <c r="I287" i="55"/>
  <c r="M310" i="55"/>
  <c r="P275" i="55"/>
  <c r="Q274" i="55" a="1"/>
  <c r="Q274" i="55" s="1"/>
  <c r="K313" i="55"/>
  <c r="K269" i="55"/>
  <c r="K268" i="55"/>
  <c r="K266" i="55"/>
  <c r="K267" i="55"/>
  <c r="K301" i="55" s="1"/>
  <c r="K309" i="55" s="1"/>
  <c r="F312" i="55"/>
  <c r="F299" i="55"/>
  <c r="AG5" i="59" s="1"/>
  <c r="F257" i="55"/>
  <c r="F256" i="55"/>
  <c r="F255" i="55"/>
  <c r="F300" i="55" s="1"/>
  <c r="F308" i="55" s="1"/>
  <c r="F254" i="55"/>
  <c r="I270" i="55"/>
  <c r="I271" i="55" s="1"/>
  <c r="G312" i="55"/>
  <c r="G299" i="55"/>
  <c r="AK5" i="59" s="1"/>
  <c r="G255" i="55"/>
  <c r="G300" i="55" s="1"/>
  <c r="G308" i="55" s="1"/>
  <c r="G257" i="55"/>
  <c r="G254" i="55"/>
  <c r="G256" i="55"/>
  <c r="HR18" i="55"/>
  <c r="G294" i="55"/>
  <c r="G295" i="55" s="1"/>
  <c r="F294" i="55"/>
  <c r="F295" i="55" s="1"/>
  <c r="K286" i="55" a="1"/>
  <c r="K286" i="55" s="1"/>
  <c r="J313" i="55"/>
  <c r="J268" i="55"/>
  <c r="J267" i="55"/>
  <c r="J301" i="55" s="1"/>
  <c r="J309" i="55" s="1"/>
  <c r="J266" i="55"/>
  <c r="J269" i="55"/>
  <c r="N263" i="55"/>
  <c r="O262" i="55" a="1"/>
  <c r="O262" i="55" s="1"/>
  <c r="E312" i="55"/>
  <c r="E299" i="55"/>
  <c r="AC5" i="59" s="1"/>
  <c r="E256" i="55"/>
  <c r="E254" i="55"/>
  <c r="E257" i="55"/>
  <c r="E255" i="55"/>
  <c r="E300" i="55" s="1"/>
  <c r="E308" i="55" s="1"/>
  <c r="HX20" i="55" l="1"/>
  <c r="HW20" i="55"/>
  <c r="IG20" i="55"/>
  <c r="HV21" i="55"/>
  <c r="IB13" i="55"/>
  <c r="IE13" i="55"/>
  <c r="HO13" i="55"/>
  <c r="HP13" i="55"/>
  <c r="H252" i="55"/>
  <c r="H298" i="55" s="1"/>
  <c r="AO4" i="59" s="1"/>
  <c r="AM340" i="59"/>
  <c r="AI428" i="59"/>
  <c r="AI430" i="59" s="1"/>
  <c r="AI431" i="59" s="1"/>
  <c r="AI98" i="59" s="1"/>
  <c r="AM91" i="59"/>
  <c r="AM342" i="59"/>
  <c r="AM428" i="59"/>
  <c r="AM430" i="59" s="1"/>
  <c r="AM431" i="59" s="1"/>
  <c r="AM98" i="59" s="1"/>
  <c r="AE340" i="59"/>
  <c r="AI93" i="59"/>
  <c r="AI341" i="59"/>
  <c r="AM251" i="59"/>
  <c r="AM254" i="59" s="1"/>
  <c r="AM255" i="59" s="1"/>
  <c r="AE93" i="59"/>
  <c r="AE341" i="59"/>
  <c r="AE428" i="59"/>
  <c r="AE430" i="59" s="1"/>
  <c r="AE431" i="59" s="1"/>
  <c r="AE98" i="59" s="1"/>
  <c r="HZ14" i="55"/>
  <c r="IB14" i="55" s="1"/>
  <c r="AI92" i="59"/>
  <c r="IA13" i="55"/>
  <c r="AE91" i="59"/>
  <c r="AI251" i="59"/>
  <c r="AI254" i="59" s="1"/>
  <c r="AI255" i="59" s="1"/>
  <c r="AM341" i="59"/>
  <c r="AE342" i="59"/>
  <c r="AI91" i="59"/>
  <c r="AI342" i="59"/>
  <c r="IH13" i="55"/>
  <c r="AM93" i="59"/>
  <c r="AE251" i="59"/>
  <c r="AE254" i="59" s="1"/>
  <c r="AE255" i="59" s="1"/>
  <c r="AM92" i="59"/>
  <c r="AE92" i="59"/>
  <c r="AI340" i="59"/>
  <c r="AI343" i="59" s="1"/>
  <c r="AI344" i="59" s="1"/>
  <c r="AI97" i="59" s="1"/>
  <c r="G258" i="55"/>
  <c r="G259" i="55" s="1"/>
  <c r="F258" i="55"/>
  <c r="F259" i="55" s="1"/>
  <c r="HR19" i="55"/>
  <c r="N264" i="55" s="1"/>
  <c r="N265" i="55" s="1"/>
  <c r="N282" i="55"/>
  <c r="N283" i="55" s="1"/>
  <c r="K270" i="55"/>
  <c r="K271" i="55" s="1"/>
  <c r="K250" i="55" a="1"/>
  <c r="K250" i="55" s="1"/>
  <c r="K251" i="55" s="1"/>
  <c r="E258" i="55"/>
  <c r="E259" i="55" s="1"/>
  <c r="P276" i="55"/>
  <c r="P277" i="55" s="1"/>
  <c r="HX21" i="55"/>
  <c r="IG21" i="55"/>
  <c r="HW21" i="55"/>
  <c r="O314" i="55"/>
  <c r="O280" i="55"/>
  <c r="O279" i="55"/>
  <c r="O302" i="55" s="1"/>
  <c r="O278" i="55"/>
  <c r="O281" i="55"/>
  <c r="J270" i="55"/>
  <c r="J271" i="55" s="1"/>
  <c r="H315" i="55"/>
  <c r="H290" i="55"/>
  <c r="H292" i="55"/>
  <c r="H293" i="55"/>
  <c r="H291" i="55"/>
  <c r="H303" i="55" s="1"/>
  <c r="H311" i="55" s="1"/>
  <c r="HN15" i="55"/>
  <c r="L286" i="55" a="1"/>
  <c r="L286" i="55" s="1"/>
  <c r="L287" i="55" s="1"/>
  <c r="O263" i="55"/>
  <c r="P262" i="55" a="1"/>
  <c r="P262" i="55" s="1"/>
  <c r="I252" i="55"/>
  <c r="HO14" i="55"/>
  <c r="IE14" i="55"/>
  <c r="HP14" i="55"/>
  <c r="K287" i="55"/>
  <c r="M264" i="55"/>
  <c r="M265" i="55" s="1"/>
  <c r="IF18" i="55"/>
  <c r="HT18" i="55"/>
  <c r="HS18" i="55"/>
  <c r="L313" i="55"/>
  <c r="L267" i="55"/>
  <c r="L301" i="55" s="1"/>
  <c r="L309" i="55" s="1"/>
  <c r="L266" i="55"/>
  <c r="L269" i="55"/>
  <c r="L268" i="55"/>
  <c r="Q275" i="55"/>
  <c r="HV22" i="55" s="1"/>
  <c r="R274" i="55" a="1"/>
  <c r="R274" i="55" s="1"/>
  <c r="I288" i="55" l="1"/>
  <c r="I289" i="55" s="1"/>
  <c r="IH14" i="55"/>
  <c r="IA14" i="55"/>
  <c r="HZ15" i="55"/>
  <c r="HZ16" i="55" s="1"/>
  <c r="K288" i="55" s="1"/>
  <c r="K289" i="55" s="1"/>
  <c r="H253" i="55"/>
  <c r="AQ1" i="59" s="1"/>
  <c r="AQ397" i="59" s="1"/>
  <c r="AI94" i="59"/>
  <c r="AI96" i="59" s="1"/>
  <c r="AI99" i="59" s="1"/>
  <c r="AI105" i="59" s="1"/>
  <c r="AI107" i="59" s="1"/>
  <c r="HT19" i="55"/>
  <c r="AM343" i="59"/>
  <c r="AM344" i="59" s="1"/>
  <c r="AM97" i="59" s="1"/>
  <c r="HN16" i="55"/>
  <c r="AQ77" i="59"/>
  <c r="AQ80" i="59"/>
  <c r="AQ42" i="59"/>
  <c r="AQ16" i="59"/>
  <c r="AI95" i="59"/>
  <c r="AE94" i="59"/>
  <c r="AE343" i="59"/>
  <c r="AE344" i="59" s="1"/>
  <c r="AE97" i="59" s="1"/>
  <c r="AM94" i="59"/>
  <c r="HR20" i="55"/>
  <c r="O264" i="55" s="1"/>
  <c r="O265" i="55" s="1"/>
  <c r="IF19" i="55"/>
  <c r="HS19" i="55"/>
  <c r="L270" i="55"/>
  <c r="L271" i="55" s="1"/>
  <c r="L250" i="55" a="1"/>
  <c r="L250" i="55" s="1"/>
  <c r="M250" i="55" s="1" a="1"/>
  <c r="M250" i="55" s="1"/>
  <c r="H294" i="55"/>
  <c r="H295" i="55" s="1"/>
  <c r="M286" i="55" a="1"/>
  <c r="M286" i="55" s="1"/>
  <c r="O282" i="55"/>
  <c r="O283" i="55" s="1"/>
  <c r="P314" i="55"/>
  <c r="P278" i="55"/>
  <c r="P280" i="55"/>
  <c r="P281" i="55"/>
  <c r="P279" i="55"/>
  <c r="P302" i="55" s="1"/>
  <c r="P310" i="55" s="1"/>
  <c r="IB15" i="55"/>
  <c r="IA15" i="55"/>
  <c r="IH15" i="55"/>
  <c r="N313" i="55"/>
  <c r="N266" i="55"/>
  <c r="N269" i="55"/>
  <c r="N268" i="55"/>
  <c r="N267" i="55"/>
  <c r="N301" i="55" s="1"/>
  <c r="N309" i="55" s="1"/>
  <c r="I315" i="55"/>
  <c r="I292" i="55"/>
  <c r="I290" i="55"/>
  <c r="I291" i="55"/>
  <c r="I303" i="55" s="1"/>
  <c r="I311" i="55" s="1"/>
  <c r="I293" i="55"/>
  <c r="K252" i="55"/>
  <c r="HP16" i="55"/>
  <c r="HO16" i="55"/>
  <c r="IE16" i="55"/>
  <c r="R275" i="55"/>
  <c r="HV23" i="55" s="1"/>
  <c r="S274" i="55" a="1"/>
  <c r="S274" i="55" s="1"/>
  <c r="I298" i="55"/>
  <c r="AS4" i="59" s="1"/>
  <c r="I253" i="55"/>
  <c r="AU1" i="59" s="1"/>
  <c r="P263" i="55"/>
  <c r="Q262" i="55" a="1"/>
  <c r="Q262" i="55" s="1"/>
  <c r="J252" i="55"/>
  <c r="IE15" i="55"/>
  <c r="HP15" i="55"/>
  <c r="HO15" i="55"/>
  <c r="Q276" i="55"/>
  <c r="Q277" i="55" s="1"/>
  <c r="HX22" i="55"/>
  <c r="IG22" i="55"/>
  <c r="HW22" i="55"/>
  <c r="M313" i="55"/>
  <c r="M266" i="55"/>
  <c r="M268" i="55"/>
  <c r="M267" i="55"/>
  <c r="M301" i="55" s="1"/>
  <c r="M309" i="55" s="1"/>
  <c r="M269" i="55"/>
  <c r="O310" i="55"/>
  <c r="AQ90" i="59" l="1"/>
  <c r="J288" i="55"/>
  <c r="J289" i="55" s="1"/>
  <c r="AQ179" i="59"/>
  <c r="AQ17" i="59"/>
  <c r="AQ196" i="59"/>
  <c r="AQ210" i="59"/>
  <c r="AQ56" i="59"/>
  <c r="AQ21" i="59"/>
  <c r="AQ18" i="59"/>
  <c r="AQ45" i="59"/>
  <c r="AQ46" i="59"/>
  <c r="AQ83" i="59"/>
  <c r="AQ81" i="59"/>
  <c r="AQ104" i="59"/>
  <c r="AQ181" i="59"/>
  <c r="AQ183" i="59"/>
  <c r="AQ268" i="59"/>
  <c r="AQ27" i="59"/>
  <c r="AQ26" i="59"/>
  <c r="AQ51" i="59"/>
  <c r="AQ52" i="59"/>
  <c r="AQ85" i="59"/>
  <c r="AQ67" i="59"/>
  <c r="AQ89" i="59"/>
  <c r="AQ182" i="59"/>
  <c r="AQ207" i="59"/>
  <c r="AQ260" i="59"/>
  <c r="AQ23" i="59"/>
  <c r="AQ22" i="59"/>
  <c r="AQ49" i="59"/>
  <c r="AQ50" i="59"/>
  <c r="AQ68" i="59"/>
  <c r="AQ82" i="59"/>
  <c r="AQ172" i="59"/>
  <c r="AQ195" i="59"/>
  <c r="AQ198" i="59"/>
  <c r="AQ259" i="59"/>
  <c r="H257" i="55"/>
  <c r="H254" i="55"/>
  <c r="AQ36" i="59"/>
  <c r="AQ29" i="59"/>
  <c r="AQ28" i="59"/>
  <c r="AQ58" i="59"/>
  <c r="AQ62" i="59"/>
  <c r="AQ59" i="59"/>
  <c r="AQ69" i="59"/>
  <c r="AQ176" i="59"/>
  <c r="AQ190" i="59"/>
  <c r="AQ202" i="59"/>
  <c r="H255" i="55"/>
  <c r="H300" i="55" s="1"/>
  <c r="H308" i="55" s="1"/>
  <c r="AQ33" i="59"/>
  <c r="AQ35" i="59"/>
  <c r="AQ34" i="59"/>
  <c r="AQ55" i="59"/>
  <c r="AQ64" i="59"/>
  <c r="AQ72" i="59"/>
  <c r="AQ102" i="59"/>
  <c r="AQ178" i="59"/>
  <c r="AQ191" i="59"/>
  <c r="AQ204" i="59"/>
  <c r="H256" i="55"/>
  <c r="AQ11" i="59"/>
  <c r="AQ10" i="59"/>
  <c r="AQ37" i="59"/>
  <c r="AQ54" i="59"/>
  <c r="AQ75" i="59"/>
  <c r="AQ63" i="59"/>
  <c r="AQ88" i="59"/>
  <c r="AQ180" i="59"/>
  <c r="AQ186" i="59"/>
  <c r="AQ203" i="59"/>
  <c r="H312" i="55"/>
  <c r="AQ13" i="59"/>
  <c r="AQ12" i="59"/>
  <c r="AQ41" i="59"/>
  <c r="AQ40" i="59"/>
  <c r="AQ79" i="59"/>
  <c r="AQ65" i="59"/>
  <c r="AQ103" i="59"/>
  <c r="AQ174" i="59"/>
  <c r="AQ185" i="59"/>
  <c r="AQ208" i="59"/>
  <c r="AQ15" i="59"/>
  <c r="AQ31" i="59"/>
  <c r="AQ20" i="59"/>
  <c r="AQ39" i="59"/>
  <c r="AQ53" i="59"/>
  <c r="AQ44" i="59"/>
  <c r="AQ73" i="59"/>
  <c r="AQ70" i="59"/>
  <c r="AQ74" i="59"/>
  <c r="AQ86" i="59"/>
  <c r="AQ87" i="59"/>
  <c r="AQ188" i="59"/>
  <c r="AQ189" i="59"/>
  <c r="AQ194" i="59"/>
  <c r="AQ209" i="59"/>
  <c r="AQ214" i="59"/>
  <c r="AQ19" i="59"/>
  <c r="AQ32" i="59"/>
  <c r="AQ24" i="59"/>
  <c r="AQ43" i="59"/>
  <c r="AQ60" i="59"/>
  <c r="AQ48" i="59"/>
  <c r="AQ76" i="59"/>
  <c r="AQ57" i="59"/>
  <c r="AQ78" i="59"/>
  <c r="AQ175" i="59"/>
  <c r="AQ171" i="59"/>
  <c r="AQ177" i="59"/>
  <c r="AQ193" i="59"/>
  <c r="AQ192" i="59"/>
  <c r="AQ205" i="59"/>
  <c r="AQ314" i="59"/>
  <c r="H299" i="55"/>
  <c r="AO5" i="59" s="1"/>
  <c r="AQ9" i="59"/>
  <c r="AQ25" i="59"/>
  <c r="AQ14" i="59"/>
  <c r="AQ30" i="59"/>
  <c r="AQ47" i="59"/>
  <c r="AQ38" i="59"/>
  <c r="AQ71" i="59"/>
  <c r="AQ66" i="59"/>
  <c r="AQ61" i="59"/>
  <c r="AQ84" i="59"/>
  <c r="AQ173" i="59"/>
  <c r="AQ187" i="59"/>
  <c r="AQ197" i="59"/>
  <c r="AQ184" i="59"/>
  <c r="AQ200" i="59"/>
  <c r="AQ267" i="59"/>
  <c r="AQ213" i="59"/>
  <c r="AQ261" i="59"/>
  <c r="AQ262" i="59"/>
  <c r="AQ334" i="59"/>
  <c r="AQ199" i="59"/>
  <c r="AQ211" i="59"/>
  <c r="AQ263" i="59"/>
  <c r="AQ266" i="59"/>
  <c r="AQ396" i="59"/>
  <c r="AQ201" i="59"/>
  <c r="AQ215" i="59"/>
  <c r="AQ265" i="59"/>
  <c r="AQ270" i="59"/>
  <c r="AQ399" i="59"/>
  <c r="AQ218" i="59"/>
  <c r="AQ212" i="59"/>
  <c r="AQ287" i="59"/>
  <c r="AQ269" i="59"/>
  <c r="AQ206" i="59"/>
  <c r="AQ217" i="59"/>
  <c r="AQ216" i="59"/>
  <c r="AQ271" i="59"/>
  <c r="AQ258" i="59"/>
  <c r="AQ272" i="59"/>
  <c r="AQ289" i="59"/>
  <c r="AQ264" i="59"/>
  <c r="AQ273" i="59"/>
  <c r="AQ291" i="59"/>
  <c r="AQ301" i="59"/>
  <c r="AQ293" i="59"/>
  <c r="AQ297" i="59"/>
  <c r="AQ280" i="59"/>
  <c r="AQ288" i="59"/>
  <c r="AQ275" i="59"/>
  <c r="AQ283" i="59"/>
  <c r="AQ296" i="59"/>
  <c r="AQ304" i="59"/>
  <c r="AQ302" i="59"/>
  <c r="AQ311" i="59"/>
  <c r="AQ324" i="59"/>
  <c r="AQ282" i="59"/>
  <c r="AQ277" i="59"/>
  <c r="AQ298" i="59"/>
  <c r="AQ305" i="59"/>
  <c r="AQ315" i="59"/>
  <c r="AQ332" i="59"/>
  <c r="AQ401" i="59"/>
  <c r="AQ284" i="59"/>
  <c r="AQ279" i="59"/>
  <c r="AQ303" i="59"/>
  <c r="AQ307" i="59"/>
  <c r="AQ328" i="59"/>
  <c r="AQ335" i="59"/>
  <c r="AQ403" i="59"/>
  <c r="AQ286" i="59"/>
  <c r="AQ281" i="59"/>
  <c r="AQ306" i="59"/>
  <c r="AQ309" i="59"/>
  <c r="AQ312" i="59"/>
  <c r="AQ330" i="59"/>
  <c r="AQ405" i="59"/>
  <c r="AQ274" i="59"/>
  <c r="AQ290" i="59"/>
  <c r="AQ285" i="59"/>
  <c r="AQ308" i="59"/>
  <c r="AQ310" i="59"/>
  <c r="AQ322" i="59"/>
  <c r="AQ395" i="59"/>
  <c r="AQ276" i="59"/>
  <c r="AQ292" i="59"/>
  <c r="AQ300" i="59"/>
  <c r="AQ299" i="59"/>
  <c r="AQ326" i="59"/>
  <c r="AQ337" i="59"/>
  <c r="AQ398" i="59"/>
  <c r="AQ278" i="59"/>
  <c r="AQ295" i="59"/>
  <c r="AQ294" i="59"/>
  <c r="AQ313" i="59"/>
  <c r="AQ336" i="59"/>
  <c r="AQ316" i="59"/>
  <c r="AQ400" i="59"/>
  <c r="AQ402" i="59"/>
  <c r="AQ404" i="59"/>
  <c r="IF20" i="55"/>
  <c r="HR21" i="55"/>
  <c r="IF21" i="55" s="1"/>
  <c r="HS20" i="55"/>
  <c r="HT20" i="55"/>
  <c r="IH16" i="55"/>
  <c r="IA16" i="55"/>
  <c r="AE96" i="59"/>
  <c r="AE99" i="59" s="1"/>
  <c r="AE105" i="59" s="1"/>
  <c r="AE107" i="59" s="1"/>
  <c r="AE95" i="59"/>
  <c r="AU404" i="59"/>
  <c r="AU402" i="59"/>
  <c r="AU400" i="59"/>
  <c r="AU398" i="59"/>
  <c r="AU405" i="59"/>
  <c r="AU403" i="59"/>
  <c r="AU401" i="59"/>
  <c r="AU399" i="59"/>
  <c r="AU397" i="59"/>
  <c r="AU396" i="59"/>
  <c r="AU336" i="59"/>
  <c r="AU337" i="59"/>
  <c r="AU334" i="59"/>
  <c r="AU332" i="59"/>
  <c r="AU395" i="59"/>
  <c r="AU335" i="59"/>
  <c r="AU330" i="59"/>
  <c r="AU324" i="59"/>
  <c r="AU313" i="59"/>
  <c r="AU328" i="59"/>
  <c r="AU316" i="59"/>
  <c r="AU326" i="59"/>
  <c r="AU322" i="59"/>
  <c r="AU311" i="59"/>
  <c r="AU315" i="59"/>
  <c r="AU312" i="59"/>
  <c r="AU308" i="59"/>
  <c r="AU306" i="59"/>
  <c r="AU303" i="59"/>
  <c r="AU310" i="59"/>
  <c r="AU304" i="59"/>
  <c r="AU301" i="59"/>
  <c r="AU309" i="59"/>
  <c r="AU300" i="59"/>
  <c r="AU307" i="59"/>
  <c r="AU299" i="59"/>
  <c r="AU297" i="59"/>
  <c r="AU295" i="59"/>
  <c r="AU305" i="59"/>
  <c r="AU314" i="59"/>
  <c r="AU284" i="59"/>
  <c r="AU282" i="59"/>
  <c r="AU280" i="59"/>
  <c r="AU278" i="59"/>
  <c r="AU276" i="59"/>
  <c r="AU302" i="59"/>
  <c r="AU293" i="59"/>
  <c r="AU291" i="59"/>
  <c r="AU289" i="59"/>
  <c r="AU287" i="59"/>
  <c r="AU285" i="59"/>
  <c r="AU283" i="59"/>
  <c r="AU281" i="59"/>
  <c r="AU279" i="59"/>
  <c r="AU277" i="59"/>
  <c r="AU275" i="59"/>
  <c r="AU294" i="59"/>
  <c r="AU298" i="59"/>
  <c r="AU286" i="59"/>
  <c r="AU292" i="59"/>
  <c r="AU290" i="59"/>
  <c r="AU274" i="59"/>
  <c r="AU270" i="59"/>
  <c r="AU296" i="59"/>
  <c r="AU288" i="59"/>
  <c r="AU273" i="59"/>
  <c r="AU265" i="59"/>
  <c r="AU263" i="59"/>
  <c r="AU261" i="59"/>
  <c r="AU259" i="59"/>
  <c r="AU272" i="59"/>
  <c r="AU268" i="59"/>
  <c r="AU269" i="59"/>
  <c r="AU218" i="59"/>
  <c r="AU215" i="59"/>
  <c r="AU213" i="59"/>
  <c r="AU211" i="59"/>
  <c r="AU267" i="59"/>
  <c r="AU266" i="59"/>
  <c r="AU264" i="59"/>
  <c r="AU262" i="59"/>
  <c r="AU260" i="59"/>
  <c r="AU258" i="59"/>
  <c r="AU271" i="59"/>
  <c r="AU214" i="59"/>
  <c r="AU216" i="59"/>
  <c r="AU217" i="59"/>
  <c r="AU209" i="59"/>
  <c r="AU207" i="59"/>
  <c r="AU204" i="59"/>
  <c r="AU202" i="59"/>
  <c r="AU200" i="59"/>
  <c r="AU208" i="59"/>
  <c r="AU210" i="59"/>
  <c r="AU212" i="59"/>
  <c r="AU205" i="59"/>
  <c r="AU203" i="59"/>
  <c r="AU201" i="59"/>
  <c r="AU199" i="59"/>
  <c r="AU206" i="59"/>
  <c r="AU196" i="59"/>
  <c r="AU186" i="59"/>
  <c r="AU191" i="59"/>
  <c r="AU182" i="59"/>
  <c r="AU189" i="59"/>
  <c r="AU190" i="59"/>
  <c r="AU187" i="59"/>
  <c r="AU193" i="59"/>
  <c r="AU188" i="59"/>
  <c r="AU195" i="59"/>
  <c r="AU183" i="59"/>
  <c r="AU198" i="59"/>
  <c r="AU197" i="59"/>
  <c r="AU192" i="59"/>
  <c r="AU194" i="59"/>
  <c r="AU185" i="59"/>
  <c r="AU180" i="59"/>
  <c r="AU172" i="59"/>
  <c r="AU171" i="59"/>
  <c r="AU175" i="59"/>
  <c r="AU176" i="59"/>
  <c r="AU181" i="59"/>
  <c r="AU184" i="59"/>
  <c r="AU179" i="59"/>
  <c r="AU174" i="59"/>
  <c r="AU177" i="59"/>
  <c r="AU178" i="59"/>
  <c r="AU103" i="59"/>
  <c r="AU88" i="59"/>
  <c r="AU102" i="59"/>
  <c r="AU173" i="59"/>
  <c r="AU89" i="59"/>
  <c r="AU87" i="59"/>
  <c r="AU104" i="59"/>
  <c r="AU90" i="59"/>
  <c r="AU70" i="59"/>
  <c r="AU68" i="59"/>
  <c r="AU83" i="59"/>
  <c r="AU66" i="59"/>
  <c r="AU86" i="59"/>
  <c r="AU85" i="59"/>
  <c r="AU80" i="59"/>
  <c r="AU79" i="59"/>
  <c r="AU76" i="59"/>
  <c r="AU75" i="59"/>
  <c r="AU73" i="59"/>
  <c r="AU64" i="59"/>
  <c r="AU62" i="59"/>
  <c r="AU71" i="59"/>
  <c r="AU60" i="59"/>
  <c r="AU58" i="59"/>
  <c r="AU69" i="59"/>
  <c r="AU67" i="59"/>
  <c r="AU84" i="59"/>
  <c r="AU82" i="59"/>
  <c r="AU81" i="59"/>
  <c r="AU78" i="59"/>
  <c r="AU77" i="59"/>
  <c r="AU74" i="59"/>
  <c r="AU65" i="59"/>
  <c r="AU63" i="59"/>
  <c r="AU72" i="59"/>
  <c r="AU61" i="59"/>
  <c r="AU36" i="59"/>
  <c r="AU59" i="59"/>
  <c r="AU55" i="59"/>
  <c r="AU53" i="59"/>
  <c r="AU51" i="59"/>
  <c r="AU49" i="59"/>
  <c r="AU47" i="59"/>
  <c r="AU45" i="59"/>
  <c r="AU43" i="59"/>
  <c r="AU41" i="59"/>
  <c r="AU39" i="59"/>
  <c r="AU37" i="59"/>
  <c r="AU56" i="59"/>
  <c r="AU57" i="59"/>
  <c r="AU52" i="59"/>
  <c r="AU50" i="59"/>
  <c r="AU48" i="59"/>
  <c r="AU46" i="59"/>
  <c r="AU44" i="59"/>
  <c r="AU42" i="59"/>
  <c r="AU40" i="59"/>
  <c r="AU38" i="59"/>
  <c r="AU54" i="59"/>
  <c r="AU31" i="59"/>
  <c r="AU29" i="59"/>
  <c r="AU27" i="59"/>
  <c r="AU25" i="59"/>
  <c r="AU23" i="59"/>
  <c r="AU21" i="59"/>
  <c r="AU19" i="59"/>
  <c r="AU17" i="59"/>
  <c r="AU15" i="59"/>
  <c r="AU13" i="59"/>
  <c r="AU11" i="59"/>
  <c r="AU9" i="59"/>
  <c r="AU35" i="59"/>
  <c r="AU33" i="59"/>
  <c r="AU34" i="59"/>
  <c r="AU30" i="59"/>
  <c r="AU28" i="59"/>
  <c r="AU26" i="59"/>
  <c r="AU24" i="59"/>
  <c r="AU22" i="59"/>
  <c r="AU20" i="59"/>
  <c r="AU18" i="59"/>
  <c r="AU16" i="59"/>
  <c r="AU14" i="59"/>
  <c r="AU12" i="59"/>
  <c r="AU10" i="59"/>
  <c r="AU32" i="59"/>
  <c r="HZ17" i="55"/>
  <c r="IA17" i="55" s="1"/>
  <c r="IB16" i="55"/>
  <c r="AM96" i="59"/>
  <c r="AM99" i="59" s="1"/>
  <c r="AM105" i="59" s="1"/>
  <c r="AM107" i="59" s="1"/>
  <c r="AM95" i="59"/>
  <c r="I294" i="55"/>
  <c r="I295" i="55" s="1"/>
  <c r="L251" i="55"/>
  <c r="HN17" i="55" s="1"/>
  <c r="HO17" i="55" s="1"/>
  <c r="Q314" i="55"/>
  <c r="Q279" i="55"/>
  <c r="Q302" i="55" s="1"/>
  <c r="Q310" i="55" s="1"/>
  <c r="Q278" i="55"/>
  <c r="Q281" i="55"/>
  <c r="Q280" i="55"/>
  <c r="S275" i="55"/>
  <c r="HV24" i="55" s="1"/>
  <c r="T274" i="55" a="1"/>
  <c r="T274" i="55" s="1"/>
  <c r="R276" i="55"/>
  <c r="R277" i="55" s="1"/>
  <c r="IG23" i="55"/>
  <c r="HW23" i="55"/>
  <c r="HX23" i="55"/>
  <c r="J293" i="55"/>
  <c r="J315" i="55"/>
  <c r="J292" i="55"/>
  <c r="J291" i="55"/>
  <c r="J303" i="55" s="1"/>
  <c r="J311" i="55" s="1"/>
  <c r="J290" i="55"/>
  <c r="M287" i="55"/>
  <c r="N286" i="55" a="1"/>
  <c r="N286" i="55" s="1"/>
  <c r="M270" i="55"/>
  <c r="M271" i="55" s="1"/>
  <c r="J298" i="55"/>
  <c r="AW4" i="59" s="1"/>
  <c r="J253" i="55"/>
  <c r="AY1" i="59" s="1"/>
  <c r="Q263" i="55"/>
  <c r="R262" i="55" a="1"/>
  <c r="R262" i="55" s="1"/>
  <c r="M251" i="55"/>
  <c r="N250" i="55" a="1"/>
  <c r="N250" i="55" s="1"/>
  <c r="K298" i="55"/>
  <c r="BA4" i="59" s="1"/>
  <c r="K253" i="55"/>
  <c r="BC1" i="59" s="1"/>
  <c r="K315" i="55"/>
  <c r="K292" i="55"/>
  <c r="K291" i="55"/>
  <c r="K303" i="55" s="1"/>
  <c r="K311" i="55" s="1"/>
  <c r="K293" i="55"/>
  <c r="K290" i="55"/>
  <c r="P282" i="55"/>
  <c r="P283" i="55" s="1"/>
  <c r="H258" i="55"/>
  <c r="H259" i="55" s="1"/>
  <c r="O313" i="55"/>
  <c r="O267" i="55"/>
  <c r="O301" i="55" s="1"/>
  <c r="O309" i="55" s="1"/>
  <c r="O266" i="55"/>
  <c r="O268" i="55"/>
  <c r="O269" i="55"/>
  <c r="I312" i="55"/>
  <c r="I299" i="55"/>
  <c r="AS5" i="59" s="1"/>
  <c r="I254" i="55"/>
  <c r="I256" i="55"/>
  <c r="I255" i="55"/>
  <c r="I300" i="55" s="1"/>
  <c r="I308" i="55" s="1"/>
  <c r="I257" i="55"/>
  <c r="N270" i="55"/>
  <c r="N271" i="55" s="1"/>
  <c r="AQ93" i="59" l="1"/>
  <c r="AQ92" i="59"/>
  <c r="AQ91" i="59"/>
  <c r="AQ251" i="59"/>
  <c r="AQ254" i="59" s="1"/>
  <c r="AQ255" i="59" s="1"/>
  <c r="HR22" i="55"/>
  <c r="P264" i="55"/>
  <c r="P265" i="55" s="1"/>
  <c r="AQ341" i="59"/>
  <c r="L288" i="55"/>
  <c r="L289" i="55" s="1"/>
  <c r="L315" i="55" s="1"/>
  <c r="AQ428" i="59"/>
  <c r="AQ430" i="59" s="1"/>
  <c r="AQ431" i="59" s="1"/>
  <c r="AQ98" i="59" s="1"/>
  <c r="AQ340" i="59"/>
  <c r="AQ342" i="59"/>
  <c r="HT21" i="55"/>
  <c r="HS21" i="55"/>
  <c r="IB17" i="55"/>
  <c r="IH17" i="55"/>
  <c r="HZ18" i="55"/>
  <c r="IB18" i="55" s="1"/>
  <c r="HP17" i="55"/>
  <c r="L252" i="55"/>
  <c r="L298" i="55" s="1"/>
  <c r="BE4" i="59" s="1"/>
  <c r="AQ94" i="59"/>
  <c r="AQ95" i="59" s="1"/>
  <c r="AU341" i="59"/>
  <c r="AU92" i="59"/>
  <c r="AU93" i="59"/>
  <c r="AU251" i="59"/>
  <c r="AU254" i="59" s="1"/>
  <c r="AU255" i="59" s="1"/>
  <c r="AU342" i="59"/>
  <c r="AU428" i="59"/>
  <c r="AU430" i="59" s="1"/>
  <c r="AU431" i="59" s="1"/>
  <c r="AU98" i="59" s="1"/>
  <c r="AU91" i="59"/>
  <c r="BC404" i="59"/>
  <c r="BC402" i="59"/>
  <c r="BC400" i="59"/>
  <c r="BC398" i="59"/>
  <c r="BC405" i="59"/>
  <c r="BC403" i="59"/>
  <c r="BC401" i="59"/>
  <c r="BC399" i="59"/>
  <c r="BC397" i="59"/>
  <c r="BC396" i="59"/>
  <c r="BC336" i="59"/>
  <c r="BC395" i="59"/>
  <c r="BC337" i="59"/>
  <c r="BC334" i="59"/>
  <c r="BC332" i="59"/>
  <c r="BC326" i="59"/>
  <c r="BC324" i="59"/>
  <c r="BC313" i="59"/>
  <c r="BC316" i="59"/>
  <c r="BC330" i="59"/>
  <c r="BC335" i="59"/>
  <c r="BC322" i="59"/>
  <c r="BC328" i="59"/>
  <c r="BC315" i="59"/>
  <c r="BC308" i="59"/>
  <c r="BC306" i="59"/>
  <c r="BC303" i="59"/>
  <c r="BC314" i="59"/>
  <c r="BC312" i="59"/>
  <c r="BC310" i="59"/>
  <c r="BC304" i="59"/>
  <c r="BC309" i="59"/>
  <c r="BC302" i="59"/>
  <c r="BC307" i="59"/>
  <c r="BC311" i="59"/>
  <c r="BC301" i="59"/>
  <c r="BC305" i="59"/>
  <c r="BC299" i="59"/>
  <c r="BC297" i="59"/>
  <c r="BC295" i="59"/>
  <c r="BC284" i="59"/>
  <c r="BC282" i="59"/>
  <c r="BC280" i="59"/>
  <c r="BC278" i="59"/>
  <c r="BC276" i="59"/>
  <c r="BC296" i="59"/>
  <c r="BC293" i="59"/>
  <c r="BC291" i="59"/>
  <c r="BC289" i="59"/>
  <c r="BC287" i="59"/>
  <c r="BC300" i="59"/>
  <c r="BC298" i="59"/>
  <c r="BC285" i="59"/>
  <c r="BC283" i="59"/>
  <c r="BC281" i="59"/>
  <c r="BC279" i="59"/>
  <c r="BC277" i="59"/>
  <c r="BC275" i="59"/>
  <c r="BC292" i="59"/>
  <c r="BC274" i="59"/>
  <c r="BC290" i="59"/>
  <c r="BC272" i="59"/>
  <c r="BC294" i="59"/>
  <c r="BC288" i="59"/>
  <c r="BC270" i="59"/>
  <c r="BC286" i="59"/>
  <c r="BC269" i="59"/>
  <c r="BC265" i="59"/>
  <c r="BC263" i="59"/>
  <c r="BC261" i="59"/>
  <c r="BC259" i="59"/>
  <c r="BC218" i="59"/>
  <c r="BC215" i="59"/>
  <c r="BC213" i="59"/>
  <c r="BC211" i="59"/>
  <c r="BC271" i="59"/>
  <c r="BC268" i="59"/>
  <c r="BC266" i="59"/>
  <c r="BC264" i="59"/>
  <c r="BC262" i="59"/>
  <c r="BC260" i="59"/>
  <c r="BC258" i="59"/>
  <c r="BC273" i="59"/>
  <c r="BC267" i="59"/>
  <c r="BC212" i="59"/>
  <c r="BC217" i="59"/>
  <c r="BC209" i="59"/>
  <c r="BC207" i="59"/>
  <c r="BC216" i="59"/>
  <c r="BC206" i="59"/>
  <c r="BC204" i="59"/>
  <c r="BC202" i="59"/>
  <c r="BC200" i="59"/>
  <c r="BC208" i="59"/>
  <c r="BC205" i="59"/>
  <c r="BC203" i="59"/>
  <c r="BC201" i="59"/>
  <c r="BC199" i="59"/>
  <c r="BC184" i="59"/>
  <c r="BC210" i="59"/>
  <c r="BC193" i="59"/>
  <c r="BC185" i="59"/>
  <c r="BC195" i="59"/>
  <c r="BC186" i="59"/>
  <c r="BC198" i="59"/>
  <c r="BC197" i="59"/>
  <c r="BC192" i="59"/>
  <c r="BC194" i="59"/>
  <c r="BC191" i="59"/>
  <c r="BC196" i="59"/>
  <c r="BC189" i="59"/>
  <c r="BC214" i="59"/>
  <c r="BC188" i="59"/>
  <c r="BC178" i="59"/>
  <c r="BC171" i="59"/>
  <c r="BC190" i="59"/>
  <c r="BC182" i="59"/>
  <c r="BC172" i="59"/>
  <c r="BC175" i="59"/>
  <c r="BC180" i="59"/>
  <c r="BC176" i="59"/>
  <c r="BC183" i="59"/>
  <c r="BC187" i="59"/>
  <c r="BC173" i="59"/>
  <c r="BC174" i="59"/>
  <c r="BC181" i="59"/>
  <c r="BC179" i="59"/>
  <c r="BC177" i="59"/>
  <c r="BC104" i="59"/>
  <c r="BC88" i="59"/>
  <c r="BC103" i="59"/>
  <c r="BC89" i="59"/>
  <c r="BC102" i="59"/>
  <c r="BC87" i="59"/>
  <c r="BC90" i="59"/>
  <c r="BC70" i="59"/>
  <c r="BC68" i="59"/>
  <c r="BC83" i="59"/>
  <c r="BC66" i="59"/>
  <c r="BC80" i="59"/>
  <c r="BC79" i="59"/>
  <c r="BC76" i="59"/>
  <c r="BC75" i="59"/>
  <c r="BC73" i="59"/>
  <c r="BC64" i="59"/>
  <c r="BC62" i="59"/>
  <c r="BC71" i="59"/>
  <c r="BC60" i="59"/>
  <c r="BC58" i="59"/>
  <c r="BC69" i="59"/>
  <c r="BC67" i="59"/>
  <c r="BC85" i="59"/>
  <c r="BC82" i="59"/>
  <c r="BC81" i="59"/>
  <c r="BC78" i="59"/>
  <c r="BC77" i="59"/>
  <c r="BC74" i="59"/>
  <c r="BC65" i="59"/>
  <c r="BC63" i="59"/>
  <c r="BC86" i="59"/>
  <c r="BC84" i="59"/>
  <c r="BC72" i="59"/>
  <c r="BC54" i="59"/>
  <c r="BC36" i="59"/>
  <c r="BC53" i="59"/>
  <c r="BC51" i="59"/>
  <c r="BC49" i="59"/>
  <c r="BC47" i="59"/>
  <c r="BC45" i="59"/>
  <c r="BC55" i="59"/>
  <c r="BC43" i="59"/>
  <c r="BC41" i="59"/>
  <c r="BC39" i="59"/>
  <c r="BC37" i="59"/>
  <c r="BC56" i="59"/>
  <c r="BC61" i="59"/>
  <c r="BC59" i="59"/>
  <c r="BC52" i="59"/>
  <c r="BC50" i="59"/>
  <c r="BC48" i="59"/>
  <c r="BC46" i="59"/>
  <c r="BC44" i="59"/>
  <c r="BC42" i="59"/>
  <c r="BC40" i="59"/>
  <c r="BC38" i="59"/>
  <c r="BC57" i="59"/>
  <c r="BC31" i="59"/>
  <c r="BC29" i="59"/>
  <c r="BC27" i="59"/>
  <c r="BC25" i="59"/>
  <c r="BC23" i="59"/>
  <c r="BC21" i="59"/>
  <c r="BC19" i="59"/>
  <c r="BC17" i="59"/>
  <c r="BC15" i="59"/>
  <c r="BC13" i="59"/>
  <c r="BC11" i="59"/>
  <c r="BC9" i="59"/>
  <c r="BC33" i="59"/>
  <c r="BC30" i="59"/>
  <c r="BC28" i="59"/>
  <c r="BC26" i="59"/>
  <c r="BC24" i="59"/>
  <c r="BC22" i="59"/>
  <c r="BC20" i="59"/>
  <c r="BC18" i="59"/>
  <c r="BC16" i="59"/>
  <c r="BC14" i="59"/>
  <c r="BC12" i="59"/>
  <c r="BC10" i="59"/>
  <c r="BC35" i="59"/>
  <c r="BC34" i="59"/>
  <c r="BC32" i="59"/>
  <c r="AY405" i="59"/>
  <c r="AY403" i="59"/>
  <c r="AY401" i="59"/>
  <c r="AY399" i="59"/>
  <c r="AY397" i="59"/>
  <c r="AY404" i="59"/>
  <c r="AY402" i="59"/>
  <c r="AY400" i="59"/>
  <c r="AY396" i="59"/>
  <c r="AY395" i="59"/>
  <c r="AY330" i="59"/>
  <c r="AY335" i="59"/>
  <c r="AY332" i="59"/>
  <c r="AY398" i="59"/>
  <c r="AY337" i="59"/>
  <c r="AY334" i="59"/>
  <c r="AY316" i="59"/>
  <c r="AY328" i="59"/>
  <c r="AY322" i="59"/>
  <c r="AY314" i="59"/>
  <c r="AY312" i="59"/>
  <c r="AY315" i="59"/>
  <c r="AY336" i="59"/>
  <c r="AY324" i="59"/>
  <c r="AY309" i="59"/>
  <c r="AY307" i="59"/>
  <c r="AY305" i="59"/>
  <c r="AY302" i="59"/>
  <c r="AY311" i="59"/>
  <c r="AY326" i="59"/>
  <c r="AY308" i="59"/>
  <c r="AY304" i="59"/>
  <c r="AY303" i="59"/>
  <c r="AY300" i="59"/>
  <c r="AY299" i="59"/>
  <c r="AY306" i="59"/>
  <c r="AY298" i="59"/>
  <c r="AY296" i="59"/>
  <c r="AY294" i="59"/>
  <c r="AY313" i="59"/>
  <c r="AY301" i="59"/>
  <c r="AY310" i="59"/>
  <c r="AY297" i="59"/>
  <c r="AY285" i="59"/>
  <c r="AY283" i="59"/>
  <c r="AY281" i="59"/>
  <c r="AY279" i="59"/>
  <c r="AY277" i="59"/>
  <c r="AY275" i="59"/>
  <c r="AY292" i="59"/>
  <c r="AY290" i="59"/>
  <c r="AY288" i="59"/>
  <c r="AY286" i="59"/>
  <c r="AY295" i="59"/>
  <c r="AY284" i="59"/>
  <c r="AY282" i="59"/>
  <c r="AY280" i="59"/>
  <c r="AY278" i="59"/>
  <c r="AY276" i="59"/>
  <c r="AY274" i="59"/>
  <c r="AY293" i="59"/>
  <c r="AY291" i="59"/>
  <c r="AY289" i="59"/>
  <c r="AY287" i="59"/>
  <c r="AY273" i="59"/>
  <c r="AY272" i="59"/>
  <c r="AY271" i="59"/>
  <c r="AY269" i="59"/>
  <c r="AY268" i="59"/>
  <c r="AY267" i="59"/>
  <c r="AY266" i="59"/>
  <c r="AY264" i="59"/>
  <c r="AY262" i="59"/>
  <c r="AY260" i="59"/>
  <c r="AY258" i="59"/>
  <c r="AY216" i="59"/>
  <c r="AY214" i="59"/>
  <c r="AY212" i="59"/>
  <c r="AY265" i="59"/>
  <c r="AY263" i="59"/>
  <c r="AY261" i="59"/>
  <c r="AY259" i="59"/>
  <c r="AY270" i="59"/>
  <c r="AY217" i="59"/>
  <c r="AY213" i="59"/>
  <c r="AY218" i="59"/>
  <c r="AY211" i="59"/>
  <c r="AY210" i="59"/>
  <c r="AY208" i="59"/>
  <c r="AY206" i="59"/>
  <c r="AY209" i="59"/>
  <c r="AY207" i="59"/>
  <c r="AY205" i="59"/>
  <c r="AY203" i="59"/>
  <c r="AY201" i="59"/>
  <c r="AY199" i="59"/>
  <c r="AY204" i="59"/>
  <c r="AY202" i="59"/>
  <c r="AY200" i="59"/>
  <c r="AY190" i="59"/>
  <c r="AY189" i="59"/>
  <c r="AY188" i="59"/>
  <c r="AY187" i="59"/>
  <c r="AY183" i="59"/>
  <c r="AY193" i="59"/>
  <c r="AY195" i="59"/>
  <c r="AY184" i="59"/>
  <c r="AY197" i="59"/>
  <c r="AY185" i="59"/>
  <c r="AY198" i="59"/>
  <c r="AY192" i="59"/>
  <c r="AY186" i="59"/>
  <c r="AY215" i="59"/>
  <c r="AY194" i="59"/>
  <c r="AY196" i="59"/>
  <c r="AY191" i="59"/>
  <c r="AY181" i="59"/>
  <c r="AY173" i="59"/>
  <c r="AY182" i="59"/>
  <c r="AY179" i="59"/>
  <c r="AY177" i="59"/>
  <c r="AY174" i="59"/>
  <c r="AY178" i="59"/>
  <c r="AY175" i="59"/>
  <c r="AY172" i="59"/>
  <c r="AY180" i="59"/>
  <c r="AY176" i="59"/>
  <c r="AY89" i="59"/>
  <c r="AY102" i="59"/>
  <c r="AY87" i="59"/>
  <c r="AY90" i="59"/>
  <c r="AY171" i="59"/>
  <c r="AY104" i="59"/>
  <c r="AY88" i="59"/>
  <c r="AY103" i="59"/>
  <c r="AY86" i="59"/>
  <c r="AY69" i="59"/>
  <c r="AY67" i="59"/>
  <c r="AY82" i="59"/>
  <c r="AY81" i="59"/>
  <c r="AY78" i="59"/>
  <c r="AY77" i="59"/>
  <c r="AY74" i="59"/>
  <c r="AY65" i="59"/>
  <c r="AY63" i="59"/>
  <c r="AY61" i="59"/>
  <c r="AY84" i="59"/>
  <c r="AY72" i="59"/>
  <c r="AY59" i="59"/>
  <c r="AY57" i="59"/>
  <c r="AY70" i="59"/>
  <c r="AY68" i="59"/>
  <c r="AY83" i="59"/>
  <c r="AY66" i="59"/>
  <c r="AY80" i="59"/>
  <c r="AY79" i="59"/>
  <c r="AY76" i="59"/>
  <c r="AY75" i="59"/>
  <c r="AY73" i="59"/>
  <c r="AY64" i="59"/>
  <c r="AY62" i="59"/>
  <c r="AY85" i="59"/>
  <c r="AY71" i="59"/>
  <c r="AY58" i="59"/>
  <c r="AY52" i="59"/>
  <c r="AY50" i="59"/>
  <c r="AY48" i="59"/>
  <c r="AY46" i="59"/>
  <c r="AY44" i="59"/>
  <c r="AY60" i="59"/>
  <c r="AY42" i="59"/>
  <c r="AY40" i="59"/>
  <c r="AY38" i="59"/>
  <c r="AY54" i="59"/>
  <c r="AY55" i="59"/>
  <c r="AY53" i="59"/>
  <c r="AY51" i="59"/>
  <c r="AY49" i="59"/>
  <c r="AY47" i="59"/>
  <c r="AY45" i="59"/>
  <c r="AY43" i="59"/>
  <c r="AY41" i="59"/>
  <c r="AY39" i="59"/>
  <c r="AY37" i="59"/>
  <c r="AY56" i="59"/>
  <c r="AY30" i="59"/>
  <c r="AY28" i="59"/>
  <c r="AY26" i="59"/>
  <c r="AY24" i="59"/>
  <c r="AY22" i="59"/>
  <c r="AY20" i="59"/>
  <c r="AY18" i="59"/>
  <c r="AY16" i="59"/>
  <c r="AY14" i="59"/>
  <c r="AY12" i="59"/>
  <c r="AY10" i="59"/>
  <c r="AY34" i="59"/>
  <c r="AY36" i="59"/>
  <c r="AY32" i="59"/>
  <c r="AY31" i="59"/>
  <c r="AY29" i="59"/>
  <c r="AY27" i="59"/>
  <c r="AY25" i="59"/>
  <c r="AY23" i="59"/>
  <c r="AY21" i="59"/>
  <c r="AY19" i="59"/>
  <c r="AY17" i="59"/>
  <c r="AY15" i="59"/>
  <c r="AY13" i="59"/>
  <c r="AY11" i="59"/>
  <c r="AY9" i="59"/>
  <c r="AY33" i="59"/>
  <c r="AY35" i="59"/>
  <c r="AU340" i="59"/>
  <c r="HN18" i="55"/>
  <c r="HP18" i="55" s="1"/>
  <c r="IE17" i="55"/>
  <c r="J294" i="55"/>
  <c r="J295" i="55" s="1"/>
  <c r="Q282" i="55"/>
  <c r="Q283" i="55" s="1"/>
  <c r="K294" i="55"/>
  <c r="K295" i="55" s="1"/>
  <c r="O270" i="55"/>
  <c r="O271" i="55" s="1"/>
  <c r="P313" i="55"/>
  <c r="P269" i="55"/>
  <c r="P268" i="55"/>
  <c r="P267" i="55"/>
  <c r="P301" i="55" s="1"/>
  <c r="P309" i="55" s="1"/>
  <c r="P266" i="55"/>
  <c r="N287" i="55"/>
  <c r="O286" i="55" a="1"/>
  <c r="O286" i="55" s="1"/>
  <c r="T275" i="55"/>
  <c r="HV25" i="55" s="1"/>
  <c r="U274" i="55" a="1"/>
  <c r="U274" i="55" s="1"/>
  <c r="M288" i="55"/>
  <c r="M289" i="55" s="1"/>
  <c r="R314" i="55"/>
  <c r="R281" i="55"/>
  <c r="R279" i="55"/>
  <c r="R302" i="55" s="1"/>
  <c r="R310" i="55" s="1"/>
  <c r="R280" i="55"/>
  <c r="R278" i="55"/>
  <c r="S276" i="55"/>
  <c r="S277" i="55" s="1"/>
  <c r="HX24" i="55"/>
  <c r="IG24" i="55"/>
  <c r="HW24" i="55"/>
  <c r="R263" i="55"/>
  <c r="HR23" i="55" s="1"/>
  <c r="S262" i="55" a="1"/>
  <c r="S262" i="55" s="1"/>
  <c r="N251" i="55"/>
  <c r="O250" i="55" a="1"/>
  <c r="O250" i="55" s="1"/>
  <c r="I258" i="55"/>
  <c r="I259" i="55" s="1"/>
  <c r="Q264" i="55"/>
  <c r="Q265" i="55" s="1"/>
  <c r="IF22" i="55"/>
  <c r="HT22" i="55"/>
  <c r="HS22" i="55"/>
  <c r="K312" i="55"/>
  <c r="K299" i="55"/>
  <c r="BA5" i="59" s="1"/>
  <c r="K257" i="55"/>
  <c r="K255" i="55"/>
  <c r="K300" i="55" s="1"/>
  <c r="K308" i="55" s="1"/>
  <c r="K256" i="55"/>
  <c r="K254" i="55"/>
  <c r="J312" i="55"/>
  <c r="J299" i="55"/>
  <c r="AW5" i="59" s="1"/>
  <c r="J255" i="55"/>
  <c r="J300" i="55" s="1"/>
  <c r="J308" i="55" s="1"/>
  <c r="J254" i="55"/>
  <c r="J257" i="55"/>
  <c r="J256" i="55"/>
  <c r="L290" i="55" l="1"/>
  <c r="L293" i="55"/>
  <c r="IH18" i="55"/>
  <c r="L291" i="55"/>
  <c r="L303" i="55" s="1"/>
  <c r="L311" i="55" s="1"/>
  <c r="IA18" i="55"/>
  <c r="L292" i="55"/>
  <c r="HZ19" i="55"/>
  <c r="L253" i="55"/>
  <c r="BG1" i="59" s="1"/>
  <c r="BG399" i="59" s="1"/>
  <c r="AQ343" i="59"/>
  <c r="AQ344" i="59" s="1"/>
  <c r="AQ97" i="59" s="1"/>
  <c r="AQ96" i="59"/>
  <c r="AQ99" i="59" s="1"/>
  <c r="AQ105" i="59" s="1"/>
  <c r="AQ107" i="59" s="1"/>
  <c r="AU94" i="59"/>
  <c r="M252" i="55"/>
  <c r="HN19" i="55"/>
  <c r="N252" i="55" s="1"/>
  <c r="AU343" i="59"/>
  <c r="AU344" i="59" s="1"/>
  <c r="AU97" i="59" s="1"/>
  <c r="BC92" i="59"/>
  <c r="HO18" i="55"/>
  <c r="IE18" i="55"/>
  <c r="AY428" i="59"/>
  <c r="AY430" i="59" s="1"/>
  <c r="AY431" i="59" s="1"/>
  <c r="AY98" i="59" s="1"/>
  <c r="BC91" i="59"/>
  <c r="BC342" i="59"/>
  <c r="AY93" i="59"/>
  <c r="BC428" i="59"/>
  <c r="BC430" i="59" s="1"/>
  <c r="BC431" i="59" s="1"/>
  <c r="BC98" i="59" s="1"/>
  <c r="AY92" i="59"/>
  <c r="BC251" i="59"/>
  <c r="BC254" i="59" s="1"/>
  <c r="BC255" i="59" s="1"/>
  <c r="BC340" i="59"/>
  <c r="BC341" i="59"/>
  <c r="AY251" i="59"/>
  <c r="AY254" i="59" s="1"/>
  <c r="AY255" i="59" s="1"/>
  <c r="AY341" i="59"/>
  <c r="BC93" i="59"/>
  <c r="BG397" i="59"/>
  <c r="BG309" i="59"/>
  <c r="BG292" i="59"/>
  <c r="BG266" i="59"/>
  <c r="BG205" i="59"/>
  <c r="BG193" i="59"/>
  <c r="BG172" i="59"/>
  <c r="BG66" i="59"/>
  <c r="BG49" i="59"/>
  <c r="BG10" i="59"/>
  <c r="AY91" i="59"/>
  <c r="AY340" i="59"/>
  <c r="AY342" i="59"/>
  <c r="AU96" i="59"/>
  <c r="AU99" i="59" s="1"/>
  <c r="AU105" i="59" s="1"/>
  <c r="AU107" i="59" s="1"/>
  <c r="AU95" i="59"/>
  <c r="P270" i="55"/>
  <c r="P271" i="55" s="1"/>
  <c r="R282" i="55"/>
  <c r="R283" i="55" s="1"/>
  <c r="O287" i="55"/>
  <c r="HZ20" i="55" s="1"/>
  <c r="P286" i="55" a="1"/>
  <c r="P286" i="55" s="1"/>
  <c r="U275" i="55"/>
  <c r="HV26" i="55" s="1"/>
  <c r="V274" i="55" a="1"/>
  <c r="V274" i="55" s="1"/>
  <c r="N288" i="55"/>
  <c r="N289" i="55" s="1"/>
  <c r="IB19" i="55"/>
  <c r="IA19" i="55"/>
  <c r="IH19" i="55"/>
  <c r="K258" i="55"/>
  <c r="K259" i="55" s="1"/>
  <c r="Q313" i="55"/>
  <c r="Q266" i="55"/>
  <c r="Q267" i="55"/>
  <c r="Q301" i="55" s="1"/>
  <c r="Q309" i="55" s="1"/>
  <c r="Q268" i="55"/>
  <c r="Q269" i="55"/>
  <c r="T276" i="55"/>
  <c r="T277" i="55" s="1"/>
  <c r="HX25" i="55"/>
  <c r="IG25" i="55"/>
  <c r="HW25" i="55"/>
  <c r="M315" i="55"/>
  <c r="M291" i="55"/>
  <c r="M303" i="55" s="1"/>
  <c r="M311" i="55" s="1"/>
  <c r="M293" i="55"/>
  <c r="M290" i="55"/>
  <c r="M292" i="55"/>
  <c r="L256" i="55"/>
  <c r="L255" i="55"/>
  <c r="L300" i="55" s="1"/>
  <c r="L308" i="55" s="1"/>
  <c r="J258" i="55"/>
  <c r="J259" i="55" s="1"/>
  <c r="S314" i="55"/>
  <c r="S278" i="55"/>
  <c r="S281" i="55"/>
  <c r="S280" i="55"/>
  <c r="S279" i="55"/>
  <c r="S302" i="55" s="1"/>
  <c r="S310" i="55" s="1"/>
  <c r="O251" i="55"/>
  <c r="HN20" i="55" s="1"/>
  <c r="P250" i="55" a="1"/>
  <c r="P250" i="55" s="1"/>
  <c r="M298" i="55"/>
  <c r="BI4" i="59" s="1"/>
  <c r="M253" i="55"/>
  <c r="BK1" i="59" s="1"/>
  <c r="S263" i="55"/>
  <c r="HR24" i="55" s="1"/>
  <c r="T262" i="55" a="1"/>
  <c r="T262" i="55" s="1"/>
  <c r="L294" i="55"/>
  <c r="L295" i="55" s="1"/>
  <c r="R264" i="55"/>
  <c r="R265" i="55" s="1"/>
  <c r="HT23" i="55"/>
  <c r="HS23" i="55"/>
  <c r="IF23" i="55"/>
  <c r="BG14" i="59" l="1"/>
  <c r="BG58" i="59"/>
  <c r="BG84" i="59"/>
  <c r="BG102" i="59"/>
  <c r="BG196" i="59"/>
  <c r="BG208" i="59"/>
  <c r="BG291" i="59"/>
  <c r="BG281" i="59"/>
  <c r="BG324" i="59"/>
  <c r="BG401" i="59"/>
  <c r="L257" i="55"/>
  <c r="L254" i="55"/>
  <c r="BG33" i="59"/>
  <c r="BG18" i="59"/>
  <c r="BG40" i="59"/>
  <c r="BG59" i="59"/>
  <c r="BG103" i="59"/>
  <c r="BG190" i="59"/>
  <c r="BG218" i="59"/>
  <c r="BG271" i="59"/>
  <c r="BG285" i="59"/>
  <c r="BG336" i="59"/>
  <c r="BG405" i="59"/>
  <c r="L299" i="55"/>
  <c r="BE5" i="59" s="1"/>
  <c r="BG11" i="59"/>
  <c r="BG26" i="59"/>
  <c r="BG44" i="59"/>
  <c r="BG61" i="59"/>
  <c r="BG175" i="59"/>
  <c r="BG191" i="59"/>
  <c r="BG259" i="59"/>
  <c r="BG293" i="59"/>
  <c r="BG294" i="59"/>
  <c r="BG314" i="59"/>
  <c r="BG15" i="59"/>
  <c r="BG30" i="59"/>
  <c r="BG52" i="59"/>
  <c r="BG65" i="59"/>
  <c r="BG179" i="59"/>
  <c r="BG195" i="59"/>
  <c r="BG263" i="59"/>
  <c r="BG274" i="59"/>
  <c r="BG303" i="59"/>
  <c r="BG316" i="59"/>
  <c r="BG23" i="59"/>
  <c r="BG60" i="59"/>
  <c r="BG71" i="59"/>
  <c r="BG81" i="59"/>
  <c r="BG177" i="59"/>
  <c r="BG200" i="59"/>
  <c r="BG216" i="59"/>
  <c r="BG278" i="59"/>
  <c r="BG300" i="59"/>
  <c r="BG335" i="59"/>
  <c r="BG27" i="59"/>
  <c r="BG43" i="59"/>
  <c r="BG64" i="59"/>
  <c r="BG85" i="59"/>
  <c r="BG176" i="59"/>
  <c r="BG204" i="59"/>
  <c r="BG270" i="59"/>
  <c r="BG297" i="59"/>
  <c r="BG306" i="59"/>
  <c r="BG398" i="59"/>
  <c r="BG31" i="59"/>
  <c r="BG45" i="59"/>
  <c r="BG79" i="59"/>
  <c r="BG69" i="59"/>
  <c r="BG182" i="59"/>
  <c r="BG201" i="59"/>
  <c r="BG258" i="59"/>
  <c r="BG288" i="59"/>
  <c r="BG305" i="59"/>
  <c r="BG396" i="59"/>
  <c r="L258" i="55"/>
  <c r="L259" i="55" s="1"/>
  <c r="S282" i="55"/>
  <c r="S283" i="55" s="1"/>
  <c r="BG13" i="59"/>
  <c r="BG29" i="59"/>
  <c r="BG16" i="59"/>
  <c r="BG36" i="59"/>
  <c r="BG47" i="59"/>
  <c r="BG42" i="59"/>
  <c r="BG62" i="59"/>
  <c r="BG83" i="59"/>
  <c r="BG63" i="59"/>
  <c r="BG67" i="59"/>
  <c r="BG87" i="59"/>
  <c r="BG174" i="59"/>
  <c r="BG186" i="59"/>
  <c r="BG194" i="59"/>
  <c r="BG202" i="59"/>
  <c r="BG206" i="59"/>
  <c r="BG261" i="59"/>
  <c r="BG267" i="59"/>
  <c r="BG269" i="59"/>
  <c r="BG276" i="59"/>
  <c r="BG290" i="59"/>
  <c r="BG308" i="59"/>
  <c r="BG301" i="59"/>
  <c r="BG310" i="59"/>
  <c r="BG322" i="59"/>
  <c r="BG395" i="59"/>
  <c r="BG403" i="59"/>
  <c r="BG17" i="59"/>
  <c r="BG32" i="59"/>
  <c r="BG20" i="59"/>
  <c r="BG37" i="59"/>
  <c r="BG51" i="59"/>
  <c r="BG46" i="59"/>
  <c r="BG73" i="59"/>
  <c r="BG68" i="59"/>
  <c r="BG74" i="59"/>
  <c r="BG86" i="59"/>
  <c r="BG171" i="59"/>
  <c r="BG183" i="59"/>
  <c r="BG184" i="59"/>
  <c r="BG192" i="59"/>
  <c r="BG211" i="59"/>
  <c r="BG210" i="59"/>
  <c r="BG265" i="59"/>
  <c r="BG260" i="59"/>
  <c r="BG287" i="59"/>
  <c r="BG280" i="59"/>
  <c r="BG275" i="59"/>
  <c r="BG296" i="59"/>
  <c r="BG311" i="59"/>
  <c r="BG326" i="59"/>
  <c r="BG334" i="59"/>
  <c r="BG400" i="59"/>
  <c r="BG19" i="59"/>
  <c r="BG34" i="59"/>
  <c r="BG22" i="59"/>
  <c r="BG39" i="59"/>
  <c r="BG53" i="59"/>
  <c r="BG48" i="59"/>
  <c r="BG75" i="59"/>
  <c r="BG70" i="59"/>
  <c r="BG77" i="59"/>
  <c r="BG104" i="59"/>
  <c r="BG89" i="59"/>
  <c r="BG173" i="59"/>
  <c r="BG187" i="59"/>
  <c r="BG198" i="59"/>
  <c r="BG209" i="59"/>
  <c r="BG213" i="59"/>
  <c r="BG212" i="59"/>
  <c r="BG262" i="59"/>
  <c r="BG273" i="59"/>
  <c r="BG282" i="59"/>
  <c r="BG277" i="59"/>
  <c r="BG298" i="59"/>
  <c r="BG313" i="59"/>
  <c r="BG315" i="59"/>
  <c r="BG337" i="59"/>
  <c r="BG402" i="59"/>
  <c r="BG21" i="59"/>
  <c r="BG35" i="59"/>
  <c r="BG24" i="59"/>
  <c r="BG41" i="59"/>
  <c r="BG54" i="59"/>
  <c r="BG50" i="59"/>
  <c r="BG76" i="59"/>
  <c r="BG57" i="59"/>
  <c r="BG78" i="59"/>
  <c r="BG88" i="59"/>
  <c r="BG185" i="59"/>
  <c r="BG180" i="59"/>
  <c r="BG188" i="59"/>
  <c r="BG197" i="59"/>
  <c r="BG199" i="59"/>
  <c r="BG215" i="59"/>
  <c r="BG214" i="59"/>
  <c r="BG264" i="59"/>
  <c r="BG289" i="59"/>
  <c r="BG284" i="59"/>
  <c r="BG279" i="59"/>
  <c r="BG304" i="59"/>
  <c r="BG302" i="59"/>
  <c r="BG328" i="59"/>
  <c r="BG332" i="59"/>
  <c r="BG404" i="59"/>
  <c r="L312" i="55"/>
  <c r="BG9" i="59"/>
  <c r="BG25" i="59"/>
  <c r="BG12" i="59"/>
  <c r="BG28" i="59"/>
  <c r="BG55" i="59"/>
  <c r="BG38" i="59"/>
  <c r="BG56" i="59"/>
  <c r="BG80" i="59"/>
  <c r="BG72" i="59"/>
  <c r="BG82" i="59"/>
  <c r="BG90" i="59"/>
  <c r="BG178" i="59"/>
  <c r="BG181" i="59"/>
  <c r="BG189" i="59"/>
  <c r="BG207" i="59"/>
  <c r="BG203" i="59"/>
  <c r="BG217" i="59"/>
  <c r="BG268" i="59"/>
  <c r="BG272" i="59"/>
  <c r="BG295" i="59"/>
  <c r="BG286" i="59"/>
  <c r="BG283" i="59"/>
  <c r="BG299" i="59"/>
  <c r="BG307" i="59"/>
  <c r="BG312" i="59"/>
  <c r="BG330" i="59"/>
  <c r="BG342" i="59" s="1"/>
  <c r="HP19" i="55"/>
  <c r="IE19" i="55"/>
  <c r="HO19" i="55"/>
  <c r="AY94" i="59"/>
  <c r="AY96" i="59" s="1"/>
  <c r="AY343" i="59"/>
  <c r="AY344" i="59" s="1"/>
  <c r="AY97" i="59" s="1"/>
  <c r="BC343" i="59"/>
  <c r="BC344" i="59" s="1"/>
  <c r="BC97" i="59" s="1"/>
  <c r="BG92" i="59"/>
  <c r="BK404" i="59"/>
  <c r="BK402" i="59"/>
  <c r="BK400" i="59"/>
  <c r="BK398" i="59"/>
  <c r="BK405" i="59"/>
  <c r="BK403" i="59"/>
  <c r="BK401" i="59"/>
  <c r="BK399" i="59"/>
  <c r="BK397" i="59"/>
  <c r="BK395" i="59"/>
  <c r="BK336" i="59"/>
  <c r="BK334" i="59"/>
  <c r="BK396" i="59"/>
  <c r="BK337" i="59"/>
  <c r="BK332" i="59"/>
  <c r="BK330" i="59"/>
  <c r="BK313" i="59"/>
  <c r="BK328" i="59"/>
  <c r="BK335" i="59"/>
  <c r="BK316" i="59"/>
  <c r="BK326" i="59"/>
  <c r="BK322" i="59"/>
  <c r="BK311" i="59"/>
  <c r="BK308" i="59"/>
  <c r="BK306" i="59"/>
  <c r="BK303" i="59"/>
  <c r="BK324" i="59"/>
  <c r="BK304" i="59"/>
  <c r="BK315" i="59"/>
  <c r="BK310" i="59"/>
  <c r="BK307" i="59"/>
  <c r="BK305" i="59"/>
  <c r="BK312" i="59"/>
  <c r="BK314" i="59"/>
  <c r="BK301" i="59"/>
  <c r="BK300" i="59"/>
  <c r="BK299" i="59"/>
  <c r="BK297" i="59"/>
  <c r="BK295" i="59"/>
  <c r="BK309" i="59"/>
  <c r="BK302" i="59"/>
  <c r="BK284" i="59"/>
  <c r="BK282" i="59"/>
  <c r="BK280" i="59"/>
  <c r="BK278" i="59"/>
  <c r="BK276" i="59"/>
  <c r="BK298" i="59"/>
  <c r="BK294" i="59"/>
  <c r="BK293" i="59"/>
  <c r="BK291" i="59"/>
  <c r="BK289" i="59"/>
  <c r="BK287" i="59"/>
  <c r="BK296" i="59"/>
  <c r="BK285" i="59"/>
  <c r="BK283" i="59"/>
  <c r="BK281" i="59"/>
  <c r="BK279" i="59"/>
  <c r="BK277" i="59"/>
  <c r="BK275" i="59"/>
  <c r="BK290" i="59"/>
  <c r="BK288" i="59"/>
  <c r="BK272" i="59"/>
  <c r="BK286" i="59"/>
  <c r="BK274" i="59"/>
  <c r="BK273" i="59"/>
  <c r="BK270" i="59"/>
  <c r="BK292" i="59"/>
  <c r="BK268" i="59"/>
  <c r="BK265" i="59"/>
  <c r="BK263" i="59"/>
  <c r="BK261" i="59"/>
  <c r="BK259" i="59"/>
  <c r="BK271" i="59"/>
  <c r="BK218" i="59"/>
  <c r="BK215" i="59"/>
  <c r="BK213" i="59"/>
  <c r="BK211" i="59"/>
  <c r="BK266" i="59"/>
  <c r="BK264" i="59"/>
  <c r="BK262" i="59"/>
  <c r="BK260" i="59"/>
  <c r="BK258" i="59"/>
  <c r="BK269" i="59"/>
  <c r="BK267" i="59"/>
  <c r="BK216" i="59"/>
  <c r="BK217" i="59"/>
  <c r="BK214" i="59"/>
  <c r="BK212" i="59"/>
  <c r="BK209" i="59"/>
  <c r="BK207" i="59"/>
  <c r="BK208" i="59"/>
  <c r="BK204" i="59"/>
  <c r="BK202" i="59"/>
  <c r="BK200" i="59"/>
  <c r="BK206" i="59"/>
  <c r="BK210" i="59"/>
  <c r="BK205" i="59"/>
  <c r="BK203" i="59"/>
  <c r="BK201" i="59"/>
  <c r="BK199" i="59"/>
  <c r="BK198" i="59"/>
  <c r="BK197" i="59"/>
  <c r="BK192" i="59"/>
  <c r="BK189" i="59"/>
  <c r="BK194" i="59"/>
  <c r="BK190" i="59"/>
  <c r="BK187" i="59"/>
  <c r="BK196" i="59"/>
  <c r="BK188" i="59"/>
  <c r="BK184" i="59"/>
  <c r="BK185" i="59"/>
  <c r="BK182" i="59"/>
  <c r="BK186" i="59"/>
  <c r="BK193" i="59"/>
  <c r="BK195" i="59"/>
  <c r="BK191" i="59"/>
  <c r="BK183" i="59"/>
  <c r="BK177" i="59"/>
  <c r="BK179" i="59"/>
  <c r="BK178" i="59"/>
  <c r="BK171" i="59"/>
  <c r="BK172" i="59"/>
  <c r="BK181" i="59"/>
  <c r="BK175" i="59"/>
  <c r="BK176" i="59"/>
  <c r="BK180" i="59"/>
  <c r="BK173" i="59"/>
  <c r="BK88" i="59"/>
  <c r="BK104" i="59"/>
  <c r="BK89" i="59"/>
  <c r="BK174" i="59"/>
  <c r="BK103" i="59"/>
  <c r="BK87" i="59"/>
  <c r="BK102" i="59"/>
  <c r="BK90" i="59"/>
  <c r="BK85" i="59"/>
  <c r="BK70" i="59"/>
  <c r="BK68" i="59"/>
  <c r="BK84" i="59"/>
  <c r="BK83" i="59"/>
  <c r="BK66" i="59"/>
  <c r="BK80" i="59"/>
  <c r="BK79" i="59"/>
  <c r="BK76" i="59"/>
  <c r="BK75" i="59"/>
  <c r="BK73" i="59"/>
  <c r="BK64" i="59"/>
  <c r="BK62" i="59"/>
  <c r="BK71" i="59"/>
  <c r="BK60" i="59"/>
  <c r="BK58" i="59"/>
  <c r="BK86" i="59"/>
  <c r="BK69" i="59"/>
  <c r="BK67" i="59"/>
  <c r="BK82" i="59"/>
  <c r="BK81" i="59"/>
  <c r="BK78" i="59"/>
  <c r="BK77" i="59"/>
  <c r="BK74" i="59"/>
  <c r="BK65" i="59"/>
  <c r="BK63" i="59"/>
  <c r="BK72" i="59"/>
  <c r="BK36" i="59"/>
  <c r="BK35" i="59"/>
  <c r="BK57" i="59"/>
  <c r="BK54" i="59"/>
  <c r="BK53" i="59"/>
  <c r="BK51" i="59"/>
  <c r="BK49" i="59"/>
  <c r="BK47" i="59"/>
  <c r="BK45" i="59"/>
  <c r="BK61" i="59"/>
  <c r="BK59" i="59"/>
  <c r="BK43" i="59"/>
  <c r="BK41" i="59"/>
  <c r="BK39" i="59"/>
  <c r="BK37" i="59"/>
  <c r="BK55" i="59"/>
  <c r="BK56" i="59"/>
  <c r="BK52" i="59"/>
  <c r="BK50" i="59"/>
  <c r="BK48" i="59"/>
  <c r="BK46" i="59"/>
  <c r="BK44" i="59"/>
  <c r="BK42" i="59"/>
  <c r="BK40" i="59"/>
  <c r="BK38" i="59"/>
  <c r="BK34" i="59"/>
  <c r="BK32" i="59"/>
  <c r="BK31" i="59"/>
  <c r="BK29" i="59"/>
  <c r="BK27" i="59"/>
  <c r="BK25" i="59"/>
  <c r="BK23" i="59"/>
  <c r="BK21" i="59"/>
  <c r="BK19" i="59"/>
  <c r="BK17" i="59"/>
  <c r="BK15" i="59"/>
  <c r="BK13" i="59"/>
  <c r="BK11" i="59"/>
  <c r="BK9" i="59"/>
  <c r="BK33" i="59"/>
  <c r="BK30" i="59"/>
  <c r="BK28" i="59"/>
  <c r="BK26" i="59"/>
  <c r="BK24" i="59"/>
  <c r="BK22" i="59"/>
  <c r="BK20" i="59"/>
  <c r="BK18" i="59"/>
  <c r="BK16" i="59"/>
  <c r="BK14" i="59"/>
  <c r="BK12" i="59"/>
  <c r="BK10" i="59"/>
  <c r="BC94" i="59"/>
  <c r="Q270" i="55"/>
  <c r="Q271" i="55" s="1"/>
  <c r="O252" i="55"/>
  <c r="HP20" i="55"/>
  <c r="HO20" i="55"/>
  <c r="IE20" i="55"/>
  <c r="N298" i="55"/>
  <c r="BM4" i="59" s="1"/>
  <c r="N253" i="55"/>
  <c r="BO1" i="59" s="1"/>
  <c r="R313" i="55"/>
  <c r="R268" i="55"/>
  <c r="R267" i="55"/>
  <c r="R301" i="55" s="1"/>
  <c r="R309" i="55" s="1"/>
  <c r="R266" i="55"/>
  <c r="R269" i="55"/>
  <c r="M312" i="55"/>
  <c r="M299" i="55"/>
  <c r="BI5" i="59" s="1"/>
  <c r="M256" i="55"/>
  <c r="M254" i="55"/>
  <c r="M255" i="55"/>
  <c r="M300" i="55" s="1"/>
  <c r="M308" i="55" s="1"/>
  <c r="M257" i="55"/>
  <c r="M294" i="55"/>
  <c r="M295" i="55" s="1"/>
  <c r="T314" i="55"/>
  <c r="T280" i="55"/>
  <c r="T278" i="55"/>
  <c r="T279" i="55"/>
  <c r="T302" i="55" s="1"/>
  <c r="T310" i="55" s="1"/>
  <c r="T281" i="55"/>
  <c r="P251" i="55"/>
  <c r="HN21" i="55" s="1"/>
  <c r="Q250" i="55" a="1"/>
  <c r="Q250" i="55" s="1"/>
  <c r="N315" i="55"/>
  <c r="N293" i="55"/>
  <c r="N291" i="55"/>
  <c r="N303" i="55" s="1"/>
  <c r="N311" i="55" s="1"/>
  <c r="N290" i="55"/>
  <c r="N292" i="55"/>
  <c r="V275" i="55"/>
  <c r="HV27" i="55" s="1"/>
  <c r="W274" i="55" a="1"/>
  <c r="W274" i="55" s="1"/>
  <c r="S264" i="55"/>
  <c r="S265" i="55" s="1"/>
  <c r="HT24" i="55"/>
  <c r="HS24" i="55"/>
  <c r="IF24" i="55"/>
  <c r="U276" i="55"/>
  <c r="U277" i="55" s="1"/>
  <c r="HX26" i="55"/>
  <c r="IG26" i="55"/>
  <c r="HW26" i="55"/>
  <c r="P287" i="55"/>
  <c r="HZ21" i="55" s="1"/>
  <c r="Q286" i="55" a="1"/>
  <c r="Q286" i="55" s="1"/>
  <c r="T263" i="55"/>
  <c r="HR25" i="55" s="1"/>
  <c r="U262" i="55" a="1"/>
  <c r="U262" i="55" s="1"/>
  <c r="O288" i="55"/>
  <c r="O289" i="55" s="1"/>
  <c r="IH20" i="55"/>
  <c r="IB20" i="55"/>
  <c r="IA20" i="55"/>
  <c r="BG91" i="59" l="1"/>
  <c r="BG341" i="59"/>
  <c r="BG340" i="59"/>
  <c r="BG343" i="59" s="1"/>
  <c r="BG344" i="59" s="1"/>
  <c r="BG97" i="59" s="1"/>
  <c r="BG428" i="59"/>
  <c r="BG430" i="59" s="1"/>
  <c r="BG431" i="59" s="1"/>
  <c r="BG98" i="59" s="1"/>
  <c r="BG93" i="59"/>
  <c r="BG94" i="59" s="1"/>
  <c r="BG96" i="59" s="1"/>
  <c r="BG251" i="59"/>
  <c r="BG254" i="59" s="1"/>
  <c r="BG255" i="59" s="1"/>
  <c r="AY99" i="59"/>
  <c r="AY105" i="59" s="1"/>
  <c r="AY107" i="59" s="1"/>
  <c r="AY95" i="59"/>
  <c r="N294" i="55"/>
  <c r="N295" i="55" s="1"/>
  <c r="BK428" i="59"/>
  <c r="BK430" i="59" s="1"/>
  <c r="BK431" i="59" s="1"/>
  <c r="BK98" i="59" s="1"/>
  <c r="BO405" i="59"/>
  <c r="W405" i="59" s="1"/>
  <c r="O405" i="59" s="1"/>
  <c r="BO403" i="59"/>
  <c r="W403" i="59" s="1"/>
  <c r="O403" i="59" s="1"/>
  <c r="BO401" i="59"/>
  <c r="W401" i="59" s="1"/>
  <c r="O401" i="59" s="1"/>
  <c r="BO399" i="59"/>
  <c r="W399" i="59" s="1"/>
  <c r="O399" i="59" s="1"/>
  <c r="BO397" i="59"/>
  <c r="W397" i="59" s="1"/>
  <c r="O397" i="59" s="1"/>
  <c r="BO404" i="59"/>
  <c r="W404" i="59" s="1"/>
  <c r="O404" i="59" s="1"/>
  <c r="BO402" i="59"/>
  <c r="W402" i="59" s="1"/>
  <c r="O402" i="59" s="1"/>
  <c r="BO400" i="59"/>
  <c r="W400" i="59" s="1"/>
  <c r="O400" i="59" s="1"/>
  <c r="BO398" i="59"/>
  <c r="W398" i="59" s="1"/>
  <c r="O398" i="59" s="1"/>
  <c r="BO396" i="59"/>
  <c r="W396" i="59" s="1"/>
  <c r="O396" i="59" s="1"/>
  <c r="BO395" i="59"/>
  <c r="BO336" i="59"/>
  <c r="W336" i="59" s="1"/>
  <c r="O336" i="59" s="1"/>
  <c r="BO330" i="59"/>
  <c r="W330" i="59" s="1"/>
  <c r="O330" i="59" s="1"/>
  <c r="BO335" i="59"/>
  <c r="W335" i="59" s="1"/>
  <c r="O335" i="59" s="1"/>
  <c r="BO332" i="59"/>
  <c r="W332" i="59" s="1"/>
  <c r="O332" i="59" s="1"/>
  <c r="BO334" i="59"/>
  <c r="W334" i="59" s="1"/>
  <c r="O334" i="59" s="1"/>
  <c r="BO337" i="59"/>
  <c r="W337" i="59" s="1"/>
  <c r="O337" i="59" s="1"/>
  <c r="BO324" i="59"/>
  <c r="W324" i="59" s="1"/>
  <c r="O324" i="59" s="1"/>
  <c r="BO316" i="59"/>
  <c r="W316" i="59" s="1"/>
  <c r="O316" i="59" s="1"/>
  <c r="BO328" i="59"/>
  <c r="W328" i="59" s="1"/>
  <c r="O328" i="59" s="1"/>
  <c r="BO322" i="59"/>
  <c r="W322" i="59" s="1"/>
  <c r="BO314" i="59"/>
  <c r="W314" i="59" s="1"/>
  <c r="O314" i="59" s="1"/>
  <c r="BO312" i="59"/>
  <c r="W312" i="59" s="1"/>
  <c r="O312" i="59" s="1"/>
  <c r="BO315" i="59"/>
  <c r="W315" i="59" s="1"/>
  <c r="O315" i="59" s="1"/>
  <c r="BO326" i="59"/>
  <c r="W326" i="59" s="1"/>
  <c r="O326" i="59" s="1"/>
  <c r="BO310" i="59"/>
  <c r="W310" i="59" s="1"/>
  <c r="O310" i="59" s="1"/>
  <c r="BO309" i="59"/>
  <c r="W309" i="59" s="1"/>
  <c r="O309" i="59" s="1"/>
  <c r="BO307" i="59"/>
  <c r="W307" i="59" s="1"/>
  <c r="O307" i="59" s="1"/>
  <c r="BO305" i="59"/>
  <c r="W305" i="59" s="1"/>
  <c r="O305" i="59" s="1"/>
  <c r="BO302" i="59"/>
  <c r="W302" i="59" s="1"/>
  <c r="O302" i="59" s="1"/>
  <c r="BO311" i="59"/>
  <c r="W311" i="59" s="1"/>
  <c r="O311" i="59" s="1"/>
  <c r="BO303" i="59"/>
  <c r="W303" i="59" s="1"/>
  <c r="O303" i="59" s="1"/>
  <c r="BO299" i="59"/>
  <c r="BO304" i="59"/>
  <c r="W304" i="59" s="1"/>
  <c r="O304" i="59" s="1"/>
  <c r="BO301" i="59"/>
  <c r="W301" i="59" s="1"/>
  <c r="O301" i="59" s="1"/>
  <c r="BO300" i="59"/>
  <c r="W300" i="59" s="1"/>
  <c r="O300" i="59" s="1"/>
  <c r="BO313" i="59"/>
  <c r="W313" i="59" s="1"/>
  <c r="O313" i="59" s="1"/>
  <c r="BO308" i="59"/>
  <c r="W308" i="59" s="1"/>
  <c r="O308" i="59" s="1"/>
  <c r="BO298" i="59"/>
  <c r="W298" i="59" s="1"/>
  <c r="O298" i="59" s="1"/>
  <c r="BO296" i="59"/>
  <c r="W296" i="59" s="1"/>
  <c r="O296" i="59" s="1"/>
  <c r="BO294" i="59"/>
  <c r="W294" i="59" s="1"/>
  <c r="O294" i="59" s="1"/>
  <c r="BO306" i="59"/>
  <c r="W306" i="59" s="1"/>
  <c r="BO285" i="59"/>
  <c r="W285" i="59" s="1"/>
  <c r="O285" i="59" s="1"/>
  <c r="BO283" i="59"/>
  <c r="W283" i="59" s="1"/>
  <c r="O283" i="59" s="1"/>
  <c r="BO281" i="59"/>
  <c r="W281" i="59" s="1"/>
  <c r="O281" i="59" s="1"/>
  <c r="BO279" i="59"/>
  <c r="W279" i="59" s="1"/>
  <c r="O279" i="59" s="1"/>
  <c r="BO277" i="59"/>
  <c r="W277" i="59" s="1"/>
  <c r="O277" i="59" s="1"/>
  <c r="BO275" i="59"/>
  <c r="W275" i="59" s="1"/>
  <c r="O275" i="59" s="1"/>
  <c r="BO292" i="59"/>
  <c r="W292" i="59" s="1"/>
  <c r="O292" i="59" s="1"/>
  <c r="BO290" i="59"/>
  <c r="W290" i="59" s="1"/>
  <c r="O290" i="59" s="1"/>
  <c r="BO288" i="59"/>
  <c r="W288" i="59" s="1"/>
  <c r="O288" i="59" s="1"/>
  <c r="BO286" i="59"/>
  <c r="W286" i="59" s="1"/>
  <c r="O286" i="59" s="1"/>
  <c r="BO284" i="59"/>
  <c r="W284" i="59" s="1"/>
  <c r="O284" i="59" s="1"/>
  <c r="BO282" i="59"/>
  <c r="W282" i="59" s="1"/>
  <c r="O282" i="59" s="1"/>
  <c r="BO280" i="59"/>
  <c r="W280" i="59" s="1"/>
  <c r="O280" i="59" s="1"/>
  <c r="BO278" i="59"/>
  <c r="W278" i="59" s="1"/>
  <c r="O278" i="59" s="1"/>
  <c r="BO276" i="59"/>
  <c r="BO274" i="59"/>
  <c r="W274" i="59" s="1"/>
  <c r="O274" i="59" s="1"/>
  <c r="BO287" i="59"/>
  <c r="W287" i="59" s="1"/>
  <c r="O287" i="59" s="1"/>
  <c r="BO297" i="59"/>
  <c r="W297" i="59" s="1"/>
  <c r="O297" i="59" s="1"/>
  <c r="BO295" i="59"/>
  <c r="W295" i="59" s="1"/>
  <c r="O295" i="59" s="1"/>
  <c r="BO293" i="59"/>
  <c r="W293" i="59" s="1"/>
  <c r="O293" i="59" s="1"/>
  <c r="BO273" i="59"/>
  <c r="W273" i="59" s="1"/>
  <c r="O273" i="59" s="1"/>
  <c r="BO291" i="59"/>
  <c r="W291" i="59" s="1"/>
  <c r="O291" i="59" s="1"/>
  <c r="BO271" i="59"/>
  <c r="BO269" i="59"/>
  <c r="W269" i="59" s="1"/>
  <c r="O269" i="59" s="1"/>
  <c r="BO289" i="59"/>
  <c r="W289" i="59" s="1"/>
  <c r="O289" i="59" s="1"/>
  <c r="BO266" i="59"/>
  <c r="W266" i="59" s="1"/>
  <c r="O266" i="59" s="1"/>
  <c r="BO264" i="59"/>
  <c r="W264" i="59" s="1"/>
  <c r="O264" i="59" s="1"/>
  <c r="BO262" i="59"/>
  <c r="W262" i="59" s="1"/>
  <c r="O262" i="59" s="1"/>
  <c r="BO260" i="59"/>
  <c r="W260" i="59" s="1"/>
  <c r="O260" i="59" s="1"/>
  <c r="BO258" i="59"/>
  <c r="BO267" i="59"/>
  <c r="W267" i="59" s="1"/>
  <c r="O267" i="59" s="1"/>
  <c r="BO216" i="59"/>
  <c r="W216" i="59" s="1"/>
  <c r="O216" i="59" s="1"/>
  <c r="BO214" i="59"/>
  <c r="W214" i="59" s="1"/>
  <c r="O214" i="59" s="1"/>
  <c r="BO212" i="59"/>
  <c r="W212" i="59" s="1"/>
  <c r="O212" i="59" s="1"/>
  <c r="BO272" i="59"/>
  <c r="W272" i="59" s="1"/>
  <c r="O272" i="59" s="1"/>
  <c r="BO265" i="59"/>
  <c r="W265" i="59" s="1"/>
  <c r="O265" i="59" s="1"/>
  <c r="BO263" i="59"/>
  <c r="W263" i="59" s="1"/>
  <c r="O263" i="59" s="1"/>
  <c r="BO261" i="59"/>
  <c r="W261" i="59" s="1"/>
  <c r="O261" i="59" s="1"/>
  <c r="BO259" i="59"/>
  <c r="W259" i="59" s="1"/>
  <c r="O259" i="59" s="1"/>
  <c r="BO217" i="59"/>
  <c r="W217" i="59" s="1"/>
  <c r="O217" i="59" s="1"/>
  <c r="BO213" i="59"/>
  <c r="W213" i="59" s="1"/>
  <c r="O213" i="59" s="1"/>
  <c r="BO270" i="59"/>
  <c r="W270" i="59" s="1"/>
  <c r="O270" i="59" s="1"/>
  <c r="BO268" i="59"/>
  <c r="W268" i="59" s="1"/>
  <c r="O268" i="59" s="1"/>
  <c r="BO218" i="59"/>
  <c r="W218" i="59" s="1"/>
  <c r="O218" i="59" s="1"/>
  <c r="BO211" i="59"/>
  <c r="W211" i="59" s="1"/>
  <c r="O211" i="59" s="1"/>
  <c r="BO210" i="59"/>
  <c r="W210" i="59" s="1"/>
  <c r="O210" i="59" s="1"/>
  <c r="BO208" i="59"/>
  <c r="W208" i="59" s="1"/>
  <c r="O208" i="59" s="1"/>
  <c r="BO206" i="59"/>
  <c r="W206" i="59" s="1"/>
  <c r="O206" i="59" s="1"/>
  <c r="BO203" i="59"/>
  <c r="W203" i="59" s="1"/>
  <c r="O203" i="59" s="1"/>
  <c r="BO201" i="59"/>
  <c r="W201" i="59" s="1"/>
  <c r="O201" i="59" s="1"/>
  <c r="BO199" i="59"/>
  <c r="W199" i="59" s="1"/>
  <c r="O199" i="59" s="1"/>
  <c r="BO205" i="59"/>
  <c r="W205" i="59" s="1"/>
  <c r="O205" i="59" s="1"/>
  <c r="BO215" i="59"/>
  <c r="W215" i="59" s="1"/>
  <c r="O215" i="59" s="1"/>
  <c r="BO204" i="59"/>
  <c r="W204" i="59" s="1"/>
  <c r="O204" i="59" s="1"/>
  <c r="BO202" i="59"/>
  <c r="W202" i="59" s="1"/>
  <c r="O202" i="59" s="1"/>
  <c r="BO200" i="59"/>
  <c r="W200" i="59" s="1"/>
  <c r="O200" i="59" s="1"/>
  <c r="BO209" i="59"/>
  <c r="W209" i="59" s="1"/>
  <c r="O209" i="59" s="1"/>
  <c r="BO194" i="59"/>
  <c r="W194" i="59" s="1"/>
  <c r="O194" i="59" s="1"/>
  <c r="BO185" i="59"/>
  <c r="W185" i="59" s="1"/>
  <c r="O185" i="59" s="1"/>
  <c r="BO196" i="59"/>
  <c r="W196" i="59" s="1"/>
  <c r="O196" i="59" s="1"/>
  <c r="BO186" i="59"/>
  <c r="W186" i="59" s="1"/>
  <c r="O186" i="59" s="1"/>
  <c r="BO183" i="59"/>
  <c r="W183" i="59" s="1"/>
  <c r="O183" i="59" s="1"/>
  <c r="BO193" i="59"/>
  <c r="W193" i="59" s="1"/>
  <c r="O193" i="59" s="1"/>
  <c r="BO195" i="59"/>
  <c r="W195" i="59" s="1"/>
  <c r="O195" i="59" s="1"/>
  <c r="BO191" i="59"/>
  <c r="W191" i="59" s="1"/>
  <c r="O191" i="59" s="1"/>
  <c r="BO197" i="59"/>
  <c r="W197" i="59" s="1"/>
  <c r="O197" i="59" s="1"/>
  <c r="BO207" i="59"/>
  <c r="W207" i="59" s="1"/>
  <c r="O207" i="59" s="1"/>
  <c r="BO198" i="59"/>
  <c r="W198" i="59" s="1"/>
  <c r="O198" i="59" s="1"/>
  <c r="BO192" i="59"/>
  <c r="W192" i="59" s="1"/>
  <c r="O192" i="59" s="1"/>
  <c r="BO188" i="59"/>
  <c r="W188" i="59" s="1"/>
  <c r="O188" i="59" s="1"/>
  <c r="BO187" i="59"/>
  <c r="W187" i="59" s="1"/>
  <c r="O187" i="59" s="1"/>
  <c r="BO184" i="59"/>
  <c r="W184" i="59" s="1"/>
  <c r="O184" i="59" s="1"/>
  <c r="BO181" i="59"/>
  <c r="W181" i="59" s="1"/>
  <c r="O181" i="59" s="1"/>
  <c r="BO190" i="59"/>
  <c r="W190" i="59" s="1"/>
  <c r="O190" i="59" s="1"/>
  <c r="BO176" i="59"/>
  <c r="W176" i="59" s="1"/>
  <c r="O176" i="59" s="1"/>
  <c r="BO173" i="59"/>
  <c r="W173" i="59" s="1"/>
  <c r="O173" i="59" s="1"/>
  <c r="BO189" i="59"/>
  <c r="W189" i="59" s="1"/>
  <c r="O189" i="59" s="1"/>
  <c r="BO180" i="59"/>
  <c r="W180" i="59" s="1"/>
  <c r="O180" i="59" s="1"/>
  <c r="BO177" i="59"/>
  <c r="W177" i="59" s="1"/>
  <c r="O177" i="59" s="1"/>
  <c r="BO182" i="59"/>
  <c r="W182" i="59" s="1"/>
  <c r="O182" i="59" s="1"/>
  <c r="BO171" i="59"/>
  <c r="W171" i="59" s="1"/>
  <c r="BO179" i="59"/>
  <c r="W179" i="59" s="1"/>
  <c r="O179" i="59" s="1"/>
  <c r="BO178" i="59"/>
  <c r="W178" i="59" s="1"/>
  <c r="O178" i="59" s="1"/>
  <c r="BO89" i="59"/>
  <c r="W89" i="59" s="1"/>
  <c r="O89" i="59" s="1"/>
  <c r="BO175" i="59"/>
  <c r="W175" i="59" s="1"/>
  <c r="O175" i="59" s="1"/>
  <c r="BO104" i="59"/>
  <c r="BO87" i="59"/>
  <c r="W87" i="59" s="1"/>
  <c r="O87" i="59" s="1"/>
  <c r="BO172" i="59"/>
  <c r="W172" i="59" s="1"/>
  <c r="O172" i="59" s="1"/>
  <c r="BO103" i="59"/>
  <c r="BO90" i="59"/>
  <c r="W90" i="59" s="1"/>
  <c r="O90" i="59" s="1"/>
  <c r="BO174" i="59"/>
  <c r="W174" i="59" s="1"/>
  <c r="O174" i="59" s="1"/>
  <c r="BO102" i="59"/>
  <c r="BO88" i="59"/>
  <c r="W88" i="59" s="1"/>
  <c r="O88" i="59" s="1"/>
  <c r="BO86" i="59"/>
  <c r="W86" i="59" s="1"/>
  <c r="O86" i="59" s="1"/>
  <c r="BO85" i="59"/>
  <c r="W85" i="59" s="1"/>
  <c r="O85" i="59" s="1"/>
  <c r="BO69" i="59"/>
  <c r="W69" i="59" s="1"/>
  <c r="BO67" i="59"/>
  <c r="W67" i="59" s="1"/>
  <c r="O67" i="59" s="1"/>
  <c r="BO82" i="59"/>
  <c r="W82" i="59" s="1"/>
  <c r="O82" i="59" s="1"/>
  <c r="BO81" i="59"/>
  <c r="W81" i="59" s="1"/>
  <c r="O81" i="59" s="1"/>
  <c r="BO78" i="59"/>
  <c r="W78" i="59" s="1"/>
  <c r="O78" i="59" s="1"/>
  <c r="BO77" i="59"/>
  <c r="W77" i="59" s="1"/>
  <c r="O77" i="59" s="1"/>
  <c r="BO74" i="59"/>
  <c r="W74" i="59" s="1"/>
  <c r="O74" i="59" s="1"/>
  <c r="BO65" i="59"/>
  <c r="W65" i="59" s="1"/>
  <c r="O65" i="59" s="1"/>
  <c r="BO63" i="59"/>
  <c r="W63" i="59" s="1"/>
  <c r="O63" i="59" s="1"/>
  <c r="BO61" i="59"/>
  <c r="W61" i="59" s="1"/>
  <c r="O61" i="59" s="1"/>
  <c r="BO72" i="59"/>
  <c r="W72" i="59" s="1"/>
  <c r="O72" i="59" s="1"/>
  <c r="BO59" i="59"/>
  <c r="W59" i="59" s="1"/>
  <c r="O59" i="59" s="1"/>
  <c r="BO57" i="59"/>
  <c r="BO70" i="59"/>
  <c r="W70" i="59" s="1"/>
  <c r="O70" i="59" s="1"/>
  <c r="BO68" i="59"/>
  <c r="BO83" i="59"/>
  <c r="W83" i="59" s="1"/>
  <c r="O83" i="59" s="1"/>
  <c r="BO66" i="59"/>
  <c r="W66" i="59" s="1"/>
  <c r="O66" i="59" s="1"/>
  <c r="BO80" i="59"/>
  <c r="W80" i="59" s="1"/>
  <c r="O80" i="59" s="1"/>
  <c r="BO79" i="59"/>
  <c r="W79" i="59" s="1"/>
  <c r="O79" i="59" s="1"/>
  <c r="BO76" i="59"/>
  <c r="W76" i="59" s="1"/>
  <c r="O76" i="59" s="1"/>
  <c r="BO75" i="59"/>
  <c r="W75" i="59" s="1"/>
  <c r="O75" i="59" s="1"/>
  <c r="BO73" i="59"/>
  <c r="W73" i="59" s="1"/>
  <c r="O73" i="59" s="1"/>
  <c r="BO64" i="59"/>
  <c r="W64" i="59" s="1"/>
  <c r="O64" i="59" s="1"/>
  <c r="BO62" i="59"/>
  <c r="W62" i="59" s="1"/>
  <c r="O62" i="59" s="1"/>
  <c r="BO84" i="59"/>
  <c r="W84" i="59" s="1"/>
  <c r="O84" i="59" s="1"/>
  <c r="BO71" i="59"/>
  <c r="W71" i="59" s="1"/>
  <c r="O71" i="59" s="1"/>
  <c r="BO56" i="59"/>
  <c r="W56" i="59" s="1"/>
  <c r="O56" i="59" s="1"/>
  <c r="BO52" i="59"/>
  <c r="W52" i="59" s="1"/>
  <c r="O52" i="59" s="1"/>
  <c r="BO50" i="59"/>
  <c r="W50" i="59" s="1"/>
  <c r="O50" i="59" s="1"/>
  <c r="BO48" i="59"/>
  <c r="W48" i="59" s="1"/>
  <c r="O48" i="59" s="1"/>
  <c r="BO46" i="59"/>
  <c r="W46" i="59" s="1"/>
  <c r="O46" i="59" s="1"/>
  <c r="BO44" i="59"/>
  <c r="W44" i="59" s="1"/>
  <c r="O44" i="59" s="1"/>
  <c r="BO42" i="59"/>
  <c r="W42" i="59" s="1"/>
  <c r="O42" i="59" s="1"/>
  <c r="BO40" i="59"/>
  <c r="W40" i="59" s="1"/>
  <c r="O40" i="59" s="1"/>
  <c r="BO38" i="59"/>
  <c r="W38" i="59" s="1"/>
  <c r="O38" i="59" s="1"/>
  <c r="BO60" i="59"/>
  <c r="W60" i="59" s="1"/>
  <c r="O60" i="59" s="1"/>
  <c r="BO53" i="59"/>
  <c r="W53" i="59" s="1"/>
  <c r="O53" i="59" s="1"/>
  <c r="BO51" i="59"/>
  <c r="W51" i="59" s="1"/>
  <c r="O51" i="59" s="1"/>
  <c r="BO49" i="59"/>
  <c r="W49" i="59" s="1"/>
  <c r="O49" i="59" s="1"/>
  <c r="BO47" i="59"/>
  <c r="W47" i="59" s="1"/>
  <c r="O47" i="59" s="1"/>
  <c r="BO45" i="59"/>
  <c r="W45" i="59" s="1"/>
  <c r="O45" i="59" s="1"/>
  <c r="BO58" i="59"/>
  <c r="W58" i="59" s="1"/>
  <c r="O58" i="59" s="1"/>
  <c r="BO54" i="59"/>
  <c r="W54" i="59" s="1"/>
  <c r="O54" i="59" s="1"/>
  <c r="BO43" i="59"/>
  <c r="W43" i="59" s="1"/>
  <c r="O43" i="59" s="1"/>
  <c r="BO41" i="59"/>
  <c r="W41" i="59" s="1"/>
  <c r="O41" i="59" s="1"/>
  <c r="BO39" i="59"/>
  <c r="W39" i="59" s="1"/>
  <c r="O39" i="59" s="1"/>
  <c r="BO37" i="59"/>
  <c r="W37" i="59" s="1"/>
  <c r="O37" i="59" s="1"/>
  <c r="BO55" i="59"/>
  <c r="W55" i="59" s="1"/>
  <c r="O55" i="59" s="1"/>
  <c r="BO33" i="59"/>
  <c r="W33" i="59" s="1"/>
  <c r="O33" i="59" s="1"/>
  <c r="BO30" i="59"/>
  <c r="W30" i="59" s="1"/>
  <c r="O30" i="59" s="1"/>
  <c r="BO28" i="59"/>
  <c r="W28" i="59" s="1"/>
  <c r="O28" i="59" s="1"/>
  <c r="BO26" i="59"/>
  <c r="W26" i="59" s="1"/>
  <c r="O26" i="59" s="1"/>
  <c r="BO24" i="59"/>
  <c r="W24" i="59" s="1"/>
  <c r="O24" i="59" s="1"/>
  <c r="BO22" i="59"/>
  <c r="W22" i="59" s="1"/>
  <c r="O22" i="59" s="1"/>
  <c r="BO20" i="59"/>
  <c r="W20" i="59" s="1"/>
  <c r="O20" i="59" s="1"/>
  <c r="BO18" i="59"/>
  <c r="W18" i="59" s="1"/>
  <c r="O18" i="59" s="1"/>
  <c r="BO16" i="59"/>
  <c r="W16" i="59" s="1"/>
  <c r="O16" i="59" s="1"/>
  <c r="BO14" i="59"/>
  <c r="W14" i="59" s="1"/>
  <c r="O14" i="59" s="1"/>
  <c r="BO12" i="59"/>
  <c r="W12" i="59" s="1"/>
  <c r="O12" i="59" s="1"/>
  <c r="BO10" i="59"/>
  <c r="W10" i="59" s="1"/>
  <c r="O10" i="59" s="1"/>
  <c r="BO31" i="59"/>
  <c r="W31" i="59" s="1"/>
  <c r="O31" i="59" s="1"/>
  <c r="BO29" i="59"/>
  <c r="W29" i="59" s="1"/>
  <c r="O29" i="59" s="1"/>
  <c r="BO27" i="59"/>
  <c r="W27" i="59" s="1"/>
  <c r="O27" i="59" s="1"/>
  <c r="BO25" i="59"/>
  <c r="W25" i="59" s="1"/>
  <c r="O25" i="59" s="1"/>
  <c r="BO23" i="59"/>
  <c r="W23" i="59" s="1"/>
  <c r="O23" i="59" s="1"/>
  <c r="BO21" i="59"/>
  <c r="W21" i="59" s="1"/>
  <c r="O21" i="59" s="1"/>
  <c r="BO19" i="59"/>
  <c r="W19" i="59" s="1"/>
  <c r="O19" i="59" s="1"/>
  <c r="BO17" i="59"/>
  <c r="W17" i="59" s="1"/>
  <c r="O17" i="59" s="1"/>
  <c r="BO15" i="59"/>
  <c r="W15" i="59" s="1"/>
  <c r="O15" i="59" s="1"/>
  <c r="BO13" i="59"/>
  <c r="W13" i="59" s="1"/>
  <c r="O13" i="59" s="1"/>
  <c r="BO11" i="59"/>
  <c r="W11" i="59" s="1"/>
  <c r="O11" i="59" s="1"/>
  <c r="BO9" i="59"/>
  <c r="W9" i="59" s="1"/>
  <c r="BO36" i="59"/>
  <c r="W36" i="59" s="1"/>
  <c r="O36" i="59" s="1"/>
  <c r="BO32" i="59"/>
  <c r="W32" i="59" s="1"/>
  <c r="O32" i="59" s="1"/>
  <c r="BO35" i="59"/>
  <c r="W35" i="59" s="1"/>
  <c r="O35" i="59" s="1"/>
  <c r="BO34" i="59"/>
  <c r="W34" i="59" s="1"/>
  <c r="O34" i="59" s="1"/>
  <c r="BK93" i="59"/>
  <c r="BK340" i="59"/>
  <c r="W258" i="59"/>
  <c r="BK91" i="59"/>
  <c r="BK251" i="59"/>
  <c r="BK254" i="59" s="1"/>
  <c r="BK255" i="59" s="1"/>
  <c r="W271" i="59"/>
  <c r="O271" i="59" s="1"/>
  <c r="BK341" i="59"/>
  <c r="BC96" i="59"/>
  <c r="BC99" i="59" s="1"/>
  <c r="BC105" i="59" s="1"/>
  <c r="BC107" i="59" s="1"/>
  <c r="BC95" i="59"/>
  <c r="W276" i="59"/>
  <c r="O276" i="59" s="1"/>
  <c r="BK342" i="59"/>
  <c r="BK92" i="59"/>
  <c r="W299" i="59"/>
  <c r="O299" i="59" s="1"/>
  <c r="R270" i="55"/>
  <c r="R271" i="55" s="1"/>
  <c r="S313" i="55"/>
  <c r="S266" i="55"/>
  <c r="S267" i="55"/>
  <c r="S301" i="55" s="1"/>
  <c r="S309" i="55" s="1"/>
  <c r="S269" i="55"/>
  <c r="S268" i="55"/>
  <c r="P252" i="55"/>
  <c r="HP21" i="55"/>
  <c r="HO21" i="55"/>
  <c r="IE21" i="55"/>
  <c r="V276" i="55"/>
  <c r="V277" i="55" s="1"/>
  <c r="IG27" i="55"/>
  <c r="HW27" i="55"/>
  <c r="HX27" i="55"/>
  <c r="W275" i="55"/>
  <c r="HV28" i="55" s="1"/>
  <c r="X274" i="55" a="1"/>
  <c r="X274" i="55" s="1"/>
  <c r="M258" i="55"/>
  <c r="M259" i="55" s="1"/>
  <c r="N312" i="55"/>
  <c r="N299" i="55"/>
  <c r="BM5" i="59" s="1"/>
  <c r="N257" i="55"/>
  <c r="N256" i="55"/>
  <c r="N255" i="55"/>
  <c r="N300" i="55" s="1"/>
  <c r="N308" i="55" s="1"/>
  <c r="N254" i="55"/>
  <c r="P288" i="55"/>
  <c r="P289" i="55" s="1"/>
  <c r="IH21" i="55"/>
  <c r="IA21" i="55"/>
  <c r="IB21" i="55"/>
  <c r="O315" i="55"/>
  <c r="O293" i="55"/>
  <c r="O290" i="55"/>
  <c r="O291" i="55"/>
  <c r="O303" i="55" s="1"/>
  <c r="O311" i="55" s="1"/>
  <c r="O292" i="55"/>
  <c r="O294" i="55" s="1"/>
  <c r="O295" i="55" s="1"/>
  <c r="U314" i="55"/>
  <c r="U281" i="55"/>
  <c r="U280" i="55"/>
  <c r="U279" i="55"/>
  <c r="U302" i="55" s="1"/>
  <c r="U310" i="55" s="1"/>
  <c r="U278" i="55"/>
  <c r="U263" i="55"/>
  <c r="HR26" i="55" s="1"/>
  <c r="V262" i="55" a="1"/>
  <c r="V262" i="55" s="1"/>
  <c r="T282" i="55"/>
  <c r="T283" i="55" s="1"/>
  <c r="T264" i="55"/>
  <c r="T265" i="55" s="1"/>
  <c r="IF25" i="55"/>
  <c r="HS25" i="55"/>
  <c r="HT25" i="55"/>
  <c r="Q287" i="55"/>
  <c r="HZ22" i="55" s="1"/>
  <c r="R286" i="55" a="1"/>
  <c r="R286" i="55" s="1"/>
  <c r="Q251" i="55"/>
  <c r="HN22" i="55" s="1"/>
  <c r="R250" i="55" a="1"/>
  <c r="R250" i="55" s="1"/>
  <c r="O298" i="55"/>
  <c r="O253" i="55"/>
  <c r="BG99" i="59" l="1"/>
  <c r="BG105" i="59" s="1"/>
  <c r="BG107" i="59" s="1"/>
  <c r="BG95" i="59"/>
  <c r="BK343" i="59"/>
  <c r="BK344" i="59" s="1"/>
  <c r="BK97" i="59" s="1"/>
  <c r="W342" i="59"/>
  <c r="W339" i="59"/>
  <c r="W338" i="59"/>
  <c r="O322" i="59"/>
  <c r="W112" i="59"/>
  <c r="O69" i="59"/>
  <c r="W91" i="59"/>
  <c r="O9" i="59"/>
  <c r="O91" i="59" s="1"/>
  <c r="BO93" i="59"/>
  <c r="W68" i="59"/>
  <c r="BO340" i="59"/>
  <c r="BK94" i="59"/>
  <c r="BO92" i="59"/>
  <c r="W57" i="59"/>
  <c r="W251" i="59"/>
  <c r="W254" i="59" s="1"/>
  <c r="W255" i="59" s="1"/>
  <c r="O171" i="59"/>
  <c r="O251" i="59" s="1"/>
  <c r="O254" i="59" s="1"/>
  <c r="O255" i="59" s="1"/>
  <c r="BO342" i="59"/>
  <c r="W340" i="59"/>
  <c r="O258" i="59"/>
  <c r="O340" i="59" s="1"/>
  <c r="BO251" i="59"/>
  <c r="BO254" i="59" s="1"/>
  <c r="BO255" i="59" s="1"/>
  <c r="BO428" i="59"/>
  <c r="BO430" i="59" s="1"/>
  <c r="BO431" i="59" s="1"/>
  <c r="BO98" i="59" s="1"/>
  <c r="W395" i="59"/>
  <c r="W341" i="59"/>
  <c r="O306" i="59"/>
  <c r="O341" i="59" s="1"/>
  <c r="BO341" i="59"/>
  <c r="BO91" i="59"/>
  <c r="S270" i="55"/>
  <c r="S271" i="55" s="1"/>
  <c r="U282" i="55"/>
  <c r="U283" i="55" s="1"/>
  <c r="Q252" i="55"/>
  <c r="IE22" i="55"/>
  <c r="HP22" i="55"/>
  <c r="HO22" i="55"/>
  <c r="T313" i="55"/>
  <c r="T267" i="55"/>
  <c r="T301" i="55" s="1"/>
  <c r="T309" i="55" s="1"/>
  <c r="T266" i="55"/>
  <c r="T269" i="55"/>
  <c r="T268" i="55"/>
  <c r="X275" i="55"/>
  <c r="HV29" i="55" s="1"/>
  <c r="Y274" i="55" a="1"/>
  <c r="Y274" i="55" s="1"/>
  <c r="V263" i="55"/>
  <c r="HR27" i="55" s="1"/>
  <c r="W262" i="55" a="1"/>
  <c r="W262" i="55" s="1"/>
  <c r="W276" i="55"/>
  <c r="W277" i="55" s="1"/>
  <c r="HX28" i="55"/>
  <c r="IG28" i="55"/>
  <c r="HW28" i="55"/>
  <c r="P298" i="55"/>
  <c r="P253" i="55"/>
  <c r="U264" i="55"/>
  <c r="U265" i="55" s="1"/>
  <c r="IF26" i="55"/>
  <c r="HT26" i="55"/>
  <c r="HS26" i="55"/>
  <c r="Q288" i="55"/>
  <c r="Q289" i="55" s="1"/>
  <c r="IB22" i="55"/>
  <c r="IA22" i="55"/>
  <c r="IH22" i="55"/>
  <c r="N258" i="55"/>
  <c r="N259" i="55" s="1"/>
  <c r="R251" i="55"/>
  <c r="HN23" i="55" s="1"/>
  <c r="S250" i="55" a="1"/>
  <c r="S250" i="55" s="1"/>
  <c r="P315" i="55"/>
  <c r="P293" i="55"/>
  <c r="P290" i="55"/>
  <c r="P292" i="55"/>
  <c r="P291" i="55"/>
  <c r="P303" i="55" s="1"/>
  <c r="P311" i="55" s="1"/>
  <c r="R287" i="55"/>
  <c r="HZ23" i="55" s="1"/>
  <c r="S286" i="55" a="1"/>
  <c r="S286" i="55" s="1"/>
  <c r="V314" i="55"/>
  <c r="V279" i="55"/>
  <c r="V302" i="55" s="1"/>
  <c r="V310" i="55" s="1"/>
  <c r="V281" i="55"/>
  <c r="V280" i="55"/>
  <c r="V278" i="55"/>
  <c r="O312" i="55"/>
  <c r="O299" i="55"/>
  <c r="O255" i="55"/>
  <c r="O300" i="55" s="1"/>
  <c r="O308" i="55" s="1"/>
  <c r="O257" i="55"/>
  <c r="O256" i="55"/>
  <c r="O254" i="55"/>
  <c r="BO94" i="59" l="1"/>
  <c r="W94" i="59" s="1"/>
  <c r="W343" i="59"/>
  <c r="W344" i="59" s="1"/>
  <c r="W97" i="59" s="1"/>
  <c r="W428" i="59"/>
  <c r="W430" i="59" s="1"/>
  <c r="W431" i="59" s="1"/>
  <c r="W98" i="59" s="1"/>
  <c r="O395" i="59"/>
  <c r="O428" i="59" s="1"/>
  <c r="O430" i="59" s="1"/>
  <c r="O431" i="59" s="1"/>
  <c r="O98" i="59" s="1"/>
  <c r="W92" i="59"/>
  <c r="O57" i="59"/>
  <c r="O92" i="59" s="1"/>
  <c r="W113" i="59"/>
  <c r="O112" i="59"/>
  <c r="BK96" i="59"/>
  <c r="BK99" i="59" s="1"/>
  <c r="BK105" i="59" s="1"/>
  <c r="BK107" i="59" s="1"/>
  <c r="BK95" i="59"/>
  <c r="O339" i="59"/>
  <c r="O342" i="59"/>
  <c r="O343" i="59" s="1"/>
  <c r="O344" i="59" s="1"/>
  <c r="O97" i="59" s="1"/>
  <c r="O338" i="59"/>
  <c r="BO343" i="59"/>
  <c r="BO344" i="59" s="1"/>
  <c r="BO97" i="59" s="1"/>
  <c r="BO95" i="59"/>
  <c r="W93" i="59"/>
  <c r="W114" i="59"/>
  <c r="W115" i="59" s="1"/>
  <c r="O68" i="59"/>
  <c r="Q315" i="55"/>
  <c r="Q292" i="55"/>
  <c r="Q293" i="55"/>
  <c r="Q290" i="55"/>
  <c r="Q291" i="55"/>
  <c r="Q303" i="55" s="1"/>
  <c r="Q311" i="55" s="1"/>
  <c r="R252" i="55"/>
  <c r="HO23" i="55"/>
  <c r="IE23" i="55"/>
  <c r="HP23" i="55"/>
  <c r="O258" i="55"/>
  <c r="O259" i="55" s="1"/>
  <c r="S251" i="55"/>
  <c r="HN24" i="55" s="1"/>
  <c r="T250" i="55" a="1"/>
  <c r="T250" i="55" s="1"/>
  <c r="W314" i="55"/>
  <c r="W280" i="55"/>
  <c r="W279" i="55"/>
  <c r="W302" i="55" s="1"/>
  <c r="W310" i="55" s="1"/>
  <c r="W278" i="55"/>
  <c r="W281" i="55"/>
  <c r="W263" i="55"/>
  <c r="HR28" i="55" s="1"/>
  <c r="X262" i="55" a="1"/>
  <c r="X262" i="55" s="1"/>
  <c r="S287" i="55"/>
  <c r="HZ24" i="55" s="1"/>
  <c r="T286" i="55" a="1"/>
  <c r="T286" i="55" s="1"/>
  <c r="R288" i="55"/>
  <c r="R289" i="55" s="1"/>
  <c r="IB23" i="55"/>
  <c r="IA23" i="55"/>
  <c r="IH23" i="55"/>
  <c r="U313" i="55"/>
  <c r="U269" i="55"/>
  <c r="U268" i="55"/>
  <c r="U270" i="55" s="1"/>
  <c r="U271" i="55" s="1"/>
  <c r="U267" i="55"/>
  <c r="U301" i="55" s="1"/>
  <c r="U309" i="55" s="1"/>
  <c r="U266" i="55"/>
  <c r="V264" i="55"/>
  <c r="V265" i="55" s="1"/>
  <c r="HT27" i="55"/>
  <c r="HS27" i="55"/>
  <c r="IF27" i="55"/>
  <c r="Y275" i="55"/>
  <c r="HV30" i="55" s="1"/>
  <c r="Z274" i="55" a="1"/>
  <c r="Z274" i="55" s="1"/>
  <c r="P312" i="55"/>
  <c r="P299" i="55"/>
  <c r="P256" i="55"/>
  <c r="P255" i="55"/>
  <c r="P300" i="55" s="1"/>
  <c r="P308" i="55" s="1"/>
  <c r="P254" i="55"/>
  <c r="P257" i="55"/>
  <c r="P294" i="55"/>
  <c r="P295" i="55" s="1"/>
  <c r="X276" i="55"/>
  <c r="X277" i="55" s="1"/>
  <c r="HX29" i="55"/>
  <c r="IG29" i="55"/>
  <c r="HW29" i="55"/>
  <c r="V282" i="55"/>
  <c r="V283" i="55" s="1"/>
  <c r="T270" i="55"/>
  <c r="T271" i="55" s="1"/>
  <c r="Q298" i="55"/>
  <c r="Q253" i="55"/>
  <c r="BO96" i="59" l="1"/>
  <c r="BO99" i="59" s="1"/>
  <c r="BO105" i="59" s="1"/>
  <c r="BO107" i="59" s="1"/>
  <c r="W282" i="55"/>
  <c r="W283" i="55" s="1"/>
  <c r="O113" i="59"/>
  <c r="O93" i="59"/>
  <c r="O94" i="59" s="1"/>
  <c r="O114" i="59"/>
  <c r="O115" i="59" s="1"/>
  <c r="W96" i="59"/>
  <c r="W99" i="59" s="1"/>
  <c r="W95" i="59"/>
  <c r="HI14" i="55" s="1"/>
  <c r="S288" i="55"/>
  <c r="S289" i="55" s="1"/>
  <c r="IH24" i="55"/>
  <c r="IB24" i="55"/>
  <c r="IA24" i="55"/>
  <c r="P258" i="55"/>
  <c r="P259" i="55" s="1"/>
  <c r="V313" i="55"/>
  <c r="V266" i="55"/>
  <c r="V269" i="55"/>
  <c r="V268" i="55"/>
  <c r="V267" i="55"/>
  <c r="V301" i="55" s="1"/>
  <c r="V309" i="55" s="1"/>
  <c r="Z275" i="55"/>
  <c r="HV31" i="55" s="1"/>
  <c r="AA274" i="55" a="1"/>
  <c r="AA274" i="55" s="1"/>
  <c r="Q312" i="55"/>
  <c r="Q299" i="55"/>
  <c r="Q254" i="55"/>
  <c r="Q256" i="55"/>
  <c r="Q255" i="55"/>
  <c r="Q300" i="55" s="1"/>
  <c r="Q308" i="55" s="1"/>
  <c r="Q257" i="55"/>
  <c r="R293" i="55"/>
  <c r="R315" i="55"/>
  <c r="R292" i="55"/>
  <c r="R291" i="55"/>
  <c r="R303" i="55" s="1"/>
  <c r="R311" i="55" s="1"/>
  <c r="R290" i="55"/>
  <c r="R298" i="55"/>
  <c r="R253" i="55"/>
  <c r="T287" i="55"/>
  <c r="HZ25" i="55" s="1"/>
  <c r="U286" i="55" a="1"/>
  <c r="U286" i="55" s="1"/>
  <c r="T251" i="55"/>
  <c r="HN25" i="55" s="1"/>
  <c r="U250" i="55" a="1"/>
  <c r="U250" i="55" s="1"/>
  <c r="X263" i="55"/>
  <c r="HR29" i="55" s="1"/>
  <c r="Y262" i="55" a="1"/>
  <c r="Y262" i="55" s="1"/>
  <c r="S252" i="55"/>
  <c r="HP24" i="55"/>
  <c r="HO24" i="55"/>
  <c r="IE24" i="55"/>
  <c r="X314" i="55"/>
  <c r="X278" i="55"/>
  <c r="X280" i="55"/>
  <c r="X279" i="55"/>
  <c r="X302" i="55" s="1"/>
  <c r="X310" i="55" s="1"/>
  <c r="X281" i="55"/>
  <c r="Y276" i="55"/>
  <c r="Y277" i="55" s="1"/>
  <c r="HX30" i="55"/>
  <c r="IG30" i="55"/>
  <c r="HW30" i="55"/>
  <c r="W264" i="55"/>
  <c r="W265" i="55" s="1"/>
  <c r="HT28" i="55"/>
  <c r="HS28" i="55"/>
  <c r="IF28" i="55"/>
  <c r="Q294" i="55"/>
  <c r="Q295" i="55" s="1"/>
  <c r="O95" i="59" l="1"/>
  <c r="HE14" i="55" s="1"/>
  <c r="O96" i="59"/>
  <c r="O99" i="59" s="1"/>
  <c r="BO100" i="59"/>
  <c r="BO108" i="59" s="1"/>
  <c r="BC100" i="59"/>
  <c r="BC108" i="59" s="1"/>
  <c r="AI100" i="59"/>
  <c r="AI108" i="59" s="1"/>
  <c r="W100" i="59"/>
  <c r="BK100" i="59"/>
  <c r="BK108" i="59" s="1"/>
  <c r="AQ100" i="59"/>
  <c r="AQ108" i="59" s="1"/>
  <c r="AE100" i="59"/>
  <c r="AE108" i="59" s="1"/>
  <c r="AY100" i="59"/>
  <c r="AY108" i="59" s="1"/>
  <c r="AM100" i="59"/>
  <c r="AM108" i="59" s="1"/>
  <c r="BG100" i="59"/>
  <c r="BG108" i="59" s="1"/>
  <c r="AU100" i="59"/>
  <c r="AU108" i="59" s="1"/>
  <c r="AA100" i="59"/>
  <c r="R294" i="55"/>
  <c r="R295" i="55" s="1"/>
  <c r="X282" i="55"/>
  <c r="X283" i="55" s="1"/>
  <c r="T252" i="55"/>
  <c r="HP25" i="55"/>
  <c r="HO25" i="55"/>
  <c r="IE25" i="55"/>
  <c r="S298" i="55"/>
  <c r="S253" i="55"/>
  <c r="Q258" i="55"/>
  <c r="Q259" i="55" s="1"/>
  <c r="Y263" i="55"/>
  <c r="HR30" i="55" s="1"/>
  <c r="Z262" i="55" a="1"/>
  <c r="Z262" i="55" s="1"/>
  <c r="X264" i="55"/>
  <c r="X265" i="55" s="1"/>
  <c r="IF29" i="55"/>
  <c r="HS29" i="55"/>
  <c r="HT29" i="55"/>
  <c r="U251" i="55"/>
  <c r="HN26" i="55" s="1"/>
  <c r="V250" i="55" a="1"/>
  <c r="V250" i="55" s="1"/>
  <c r="AA275" i="55"/>
  <c r="HV32" i="55" s="1"/>
  <c r="AB274" i="55" a="1"/>
  <c r="AB274" i="55" s="1"/>
  <c r="U287" i="55"/>
  <c r="HZ26" i="55" s="1"/>
  <c r="V286" i="55" a="1"/>
  <c r="V286" i="55" s="1"/>
  <c r="Z276" i="55"/>
  <c r="Z277" i="55" s="1"/>
  <c r="IG31" i="55"/>
  <c r="HW31" i="55"/>
  <c r="HX31" i="55"/>
  <c r="T288" i="55"/>
  <c r="T289" i="55" s="1"/>
  <c r="IH25" i="55"/>
  <c r="IA25" i="55"/>
  <c r="IB25" i="55"/>
  <c r="W313" i="55"/>
  <c r="W269" i="55"/>
  <c r="W268" i="55"/>
  <c r="W267" i="55"/>
  <c r="W301" i="55" s="1"/>
  <c r="W309" i="55" s="1"/>
  <c r="W266" i="55"/>
  <c r="Y314" i="55"/>
  <c r="Y279" i="55"/>
  <c r="Y302" i="55" s="1"/>
  <c r="Y310" i="55" s="1"/>
  <c r="Y278" i="55"/>
  <c r="Y281" i="55"/>
  <c r="Y280" i="55"/>
  <c r="R312" i="55"/>
  <c r="R299" i="55"/>
  <c r="R255" i="55"/>
  <c r="R300" i="55" s="1"/>
  <c r="R308" i="55" s="1"/>
  <c r="R254" i="55"/>
  <c r="R257" i="55"/>
  <c r="R256" i="55"/>
  <c r="R258" i="55" s="1"/>
  <c r="R259" i="55" s="1"/>
  <c r="V270" i="55"/>
  <c r="V271" i="55" s="1"/>
  <c r="S315" i="55"/>
  <c r="S292" i="55"/>
  <c r="S291" i="55"/>
  <c r="S303" i="55" s="1"/>
  <c r="S311" i="55" s="1"/>
  <c r="S290" i="55"/>
  <c r="S293" i="55"/>
  <c r="BK101" i="59" l="1"/>
  <c r="BK109" i="59" s="1"/>
  <c r="AQ101" i="59"/>
  <c r="AQ109" i="59" s="1"/>
  <c r="AE101" i="59"/>
  <c r="AE109" i="59" s="1"/>
  <c r="AY101" i="59"/>
  <c r="AY109" i="59" s="1"/>
  <c r="AM101" i="59"/>
  <c r="AM109" i="59" s="1"/>
  <c r="S101" i="59"/>
  <c r="BG101" i="59"/>
  <c r="BG109" i="59" s="1"/>
  <c r="AU101" i="59"/>
  <c r="AU109" i="59" s="1"/>
  <c r="AA101" i="59"/>
  <c r="O101" i="59"/>
  <c r="BO101" i="59"/>
  <c r="BO109" i="59" s="1"/>
  <c r="BC101" i="59"/>
  <c r="BC109" i="59" s="1"/>
  <c r="AI101" i="59"/>
  <c r="AI109" i="59" s="1"/>
  <c r="W270" i="55"/>
  <c r="W271" i="55" s="1"/>
  <c r="Y282" i="55"/>
  <c r="Y283" i="55" s="1"/>
  <c r="T315" i="55"/>
  <c r="T292" i="55"/>
  <c r="T291" i="55"/>
  <c r="T303" i="55" s="1"/>
  <c r="T311" i="55" s="1"/>
  <c r="T290" i="55"/>
  <c r="T293" i="55"/>
  <c r="AA276" i="55"/>
  <c r="AA277" i="55" s="1"/>
  <c r="HX32" i="55"/>
  <c r="IG32" i="55"/>
  <c r="HW32" i="55"/>
  <c r="Y264" i="55"/>
  <c r="Y265" i="55" s="1"/>
  <c r="IF30" i="55"/>
  <c r="HT30" i="55"/>
  <c r="HS30" i="55"/>
  <c r="V251" i="55"/>
  <c r="HN27" i="55" s="1"/>
  <c r="W250" i="55" a="1"/>
  <c r="W250" i="55" s="1"/>
  <c r="S294" i="55"/>
  <c r="S295" i="55" s="1"/>
  <c r="U252" i="55"/>
  <c r="IE26" i="55"/>
  <c r="HP26" i="55"/>
  <c r="HO26" i="55"/>
  <c r="S312" i="55"/>
  <c r="S299" i="55"/>
  <c r="S257" i="55"/>
  <c r="S255" i="55"/>
  <c r="S300" i="55" s="1"/>
  <c r="S308" i="55" s="1"/>
  <c r="S254" i="55"/>
  <c r="S256" i="55"/>
  <c r="AB275" i="55"/>
  <c r="HV33" i="55" s="1"/>
  <c r="AC274" i="55" a="1"/>
  <c r="AC274" i="55" s="1"/>
  <c r="Z314" i="55"/>
  <c r="Z281" i="55"/>
  <c r="Z279" i="55"/>
  <c r="Z302" i="55" s="1"/>
  <c r="Z310" i="55" s="1"/>
  <c r="Z278" i="55"/>
  <c r="Z280" i="55"/>
  <c r="V287" i="55"/>
  <c r="HZ27" i="55" s="1"/>
  <c r="W286" i="55" a="1"/>
  <c r="W286" i="55" s="1"/>
  <c r="U288" i="55"/>
  <c r="U289" i="55" s="1"/>
  <c r="IB26" i="55"/>
  <c r="IA26" i="55"/>
  <c r="IH26" i="55"/>
  <c r="X313" i="55"/>
  <c r="X269" i="55"/>
  <c r="X268" i="55"/>
  <c r="X267" i="55"/>
  <c r="X301" i="55" s="1"/>
  <c r="X309" i="55" s="1"/>
  <c r="X266" i="55"/>
  <c r="Z263" i="55"/>
  <c r="HR31" i="55" s="1"/>
  <c r="AA262" i="55" a="1"/>
  <c r="AA262" i="55" s="1"/>
  <c r="T298" i="55"/>
  <c r="T253" i="55"/>
  <c r="X270" i="55" l="1"/>
  <c r="X271" i="55" s="1"/>
  <c r="U315" i="55"/>
  <c r="U291" i="55"/>
  <c r="U303" i="55" s="1"/>
  <c r="U311" i="55" s="1"/>
  <c r="U290" i="55"/>
  <c r="U293" i="55"/>
  <c r="U292" i="55"/>
  <c r="T312" i="55"/>
  <c r="T299" i="55"/>
  <c r="T254" i="55"/>
  <c r="T257" i="55"/>
  <c r="T256" i="55"/>
  <c r="T255" i="55"/>
  <c r="T300" i="55" s="1"/>
  <c r="T308" i="55" s="1"/>
  <c r="W251" i="55"/>
  <c r="HN28" i="55" s="1"/>
  <c r="X250" i="55" a="1"/>
  <c r="X250" i="55" s="1"/>
  <c r="AA263" i="55"/>
  <c r="HR32" i="55" s="1"/>
  <c r="AB262" i="55" a="1"/>
  <c r="AB262" i="55" s="1"/>
  <c r="V252" i="55"/>
  <c r="HO27" i="55"/>
  <c r="IE27" i="55"/>
  <c r="HP27" i="55"/>
  <c r="AA314" i="55"/>
  <c r="AA278" i="55"/>
  <c r="AA281" i="55"/>
  <c r="AA280" i="55"/>
  <c r="AA282" i="55" s="1"/>
  <c r="AA283" i="55" s="1"/>
  <c r="AA279" i="55"/>
  <c r="AA302" i="55" s="1"/>
  <c r="AA310" i="55" s="1"/>
  <c r="Z264" i="55"/>
  <c r="Z265" i="55" s="1"/>
  <c r="HT31" i="55"/>
  <c r="HS31" i="55"/>
  <c r="IF31" i="55"/>
  <c r="AC275" i="55"/>
  <c r="HV34" i="55" s="1"/>
  <c r="AD274" i="55" a="1"/>
  <c r="AD274" i="55" s="1"/>
  <c r="W287" i="55"/>
  <c r="HZ28" i="55" s="1"/>
  <c r="X286" i="55" a="1"/>
  <c r="X286" i="55" s="1"/>
  <c r="AB276" i="55"/>
  <c r="AB277" i="55" s="1"/>
  <c r="HX33" i="55"/>
  <c r="IG33" i="55"/>
  <c r="HW33" i="55"/>
  <c r="V288" i="55"/>
  <c r="V289" i="55" s="1"/>
  <c r="IB27" i="55"/>
  <c r="IA27" i="55"/>
  <c r="IH27" i="55"/>
  <c r="S258" i="55"/>
  <c r="S259" i="55" s="1"/>
  <c r="Y313" i="55"/>
  <c r="Y269" i="55"/>
  <c r="Y266" i="55"/>
  <c r="Y268" i="55"/>
  <c r="Y270" i="55" s="1"/>
  <c r="Y271" i="55" s="1"/>
  <c r="Y267" i="55"/>
  <c r="Y301" i="55" s="1"/>
  <c r="Y309" i="55" s="1"/>
  <c r="T294" i="55"/>
  <c r="T295" i="55" s="1"/>
  <c r="Z282" i="55"/>
  <c r="Z283" i="55" s="1"/>
  <c r="U298" i="55"/>
  <c r="U253" i="55"/>
  <c r="T258" i="55" l="1"/>
  <c r="T259" i="55" s="1"/>
  <c r="U294" i="55"/>
  <c r="U295" i="55" s="1"/>
  <c r="X287" i="55"/>
  <c r="HZ29" i="55" s="1"/>
  <c r="Y286" i="55" a="1"/>
  <c r="Y286" i="55" s="1"/>
  <c r="V298" i="55"/>
  <c r="V253" i="55"/>
  <c r="AB263" i="55"/>
  <c r="HR33" i="55" s="1"/>
  <c r="AC262" i="55" a="1"/>
  <c r="AC262" i="55" s="1"/>
  <c r="AD275" i="55"/>
  <c r="HV35" i="55" s="1"/>
  <c r="AE274" i="55" a="1"/>
  <c r="AE274" i="55" s="1"/>
  <c r="AA264" i="55"/>
  <c r="AA265" i="55" s="1"/>
  <c r="HT32" i="55"/>
  <c r="HS32" i="55"/>
  <c r="IF32" i="55"/>
  <c r="X251" i="55"/>
  <c r="HN29" i="55" s="1"/>
  <c r="Y250" i="55" a="1"/>
  <c r="Y250" i="55" s="1"/>
  <c r="W252" i="55"/>
  <c r="HP28" i="55"/>
  <c r="HO28" i="55"/>
  <c r="IE28" i="55"/>
  <c r="W288" i="55"/>
  <c r="W289" i="55" s="1"/>
  <c r="IH28" i="55"/>
  <c r="IB28" i="55"/>
  <c r="IA28" i="55"/>
  <c r="AC276" i="55"/>
  <c r="AC277" i="55" s="1"/>
  <c r="HX34" i="55"/>
  <c r="IG34" i="55"/>
  <c r="HW34" i="55"/>
  <c r="V315" i="55"/>
  <c r="V293" i="55"/>
  <c r="V291" i="55"/>
  <c r="V303" i="55" s="1"/>
  <c r="V311" i="55" s="1"/>
  <c r="V290" i="55"/>
  <c r="V292" i="55"/>
  <c r="U312" i="55"/>
  <c r="U299" i="55"/>
  <c r="U256" i="55"/>
  <c r="U254" i="55"/>
  <c r="U255" i="55"/>
  <c r="U300" i="55" s="1"/>
  <c r="U308" i="55" s="1"/>
  <c r="U257" i="55"/>
  <c r="AB314" i="55"/>
  <c r="AB280" i="55"/>
  <c r="AB278" i="55"/>
  <c r="AB279" i="55"/>
  <c r="AB302" i="55" s="1"/>
  <c r="AB310" i="55" s="1"/>
  <c r="AB281" i="55"/>
  <c r="Z313" i="55"/>
  <c r="Z268" i="55"/>
  <c r="Z267" i="55"/>
  <c r="Z301" i="55" s="1"/>
  <c r="Z309" i="55" s="1"/>
  <c r="Z266" i="55"/>
  <c r="Z269" i="55"/>
  <c r="U258" i="55" l="1"/>
  <c r="U259" i="55" s="1"/>
  <c r="Z270" i="55"/>
  <c r="Z271" i="55" s="1"/>
  <c r="AE275" i="55"/>
  <c r="HV36" i="55" s="1"/>
  <c r="AF274" i="55" a="1"/>
  <c r="AF274" i="55" s="1"/>
  <c r="AB282" i="55"/>
  <c r="AB283" i="55" s="1"/>
  <c r="V294" i="55"/>
  <c r="V295" i="55" s="1"/>
  <c r="AC314" i="55"/>
  <c r="AC281" i="55"/>
  <c r="AC280" i="55"/>
  <c r="AC279" i="55"/>
  <c r="AC302" i="55" s="1"/>
  <c r="AC310" i="55" s="1"/>
  <c r="AC278" i="55"/>
  <c r="W298" i="55"/>
  <c r="W253" i="55"/>
  <c r="AD276" i="55"/>
  <c r="AD277" i="55" s="1"/>
  <c r="IG35" i="55"/>
  <c r="HW35" i="55"/>
  <c r="HX35" i="55"/>
  <c r="AC263" i="55"/>
  <c r="HR34" i="55" s="1"/>
  <c r="AD262" i="55" a="1"/>
  <c r="AD262" i="55" s="1"/>
  <c r="Y251" i="55"/>
  <c r="HN30" i="55" s="1"/>
  <c r="Z250" i="55" a="1"/>
  <c r="Z250" i="55" s="1"/>
  <c r="X252" i="55"/>
  <c r="HP29" i="55"/>
  <c r="HO29" i="55"/>
  <c r="IE29" i="55"/>
  <c r="AB264" i="55"/>
  <c r="AB265" i="55" s="1"/>
  <c r="IF33" i="55"/>
  <c r="HS33" i="55"/>
  <c r="HT33" i="55"/>
  <c r="V312" i="55"/>
  <c r="V299" i="55"/>
  <c r="V257" i="55"/>
  <c r="V256" i="55"/>
  <c r="V255" i="55"/>
  <c r="V300" i="55" s="1"/>
  <c r="V308" i="55" s="1"/>
  <c r="V254" i="55"/>
  <c r="W315" i="55"/>
  <c r="W290" i="55"/>
  <c r="W293" i="55"/>
  <c r="W291" i="55"/>
  <c r="W303" i="55" s="1"/>
  <c r="W311" i="55" s="1"/>
  <c r="W292" i="55"/>
  <c r="Y287" i="55"/>
  <c r="HZ30" i="55" s="1"/>
  <c r="Z286" i="55" a="1"/>
  <c r="Z286" i="55" s="1"/>
  <c r="AA313" i="55"/>
  <c r="AA266" i="55"/>
  <c r="AA267" i="55"/>
  <c r="AA301" i="55" s="1"/>
  <c r="AA309" i="55" s="1"/>
  <c r="AA269" i="55"/>
  <c r="AA268" i="55"/>
  <c r="X288" i="55"/>
  <c r="X289" i="55" s="1"/>
  <c r="IH29" i="55"/>
  <c r="IA29" i="55"/>
  <c r="IB29" i="55"/>
  <c r="V258" i="55" l="1"/>
  <c r="V259" i="55" s="1"/>
  <c r="AC282" i="55"/>
  <c r="AC283" i="55" s="1"/>
  <c r="W294" i="55"/>
  <c r="W295" i="55" s="1"/>
  <c r="Y252" i="55"/>
  <c r="IE30" i="55"/>
  <c r="HP30" i="55"/>
  <c r="HO30" i="55"/>
  <c r="AC264" i="55"/>
  <c r="AC265" i="55" s="1"/>
  <c r="IF34" i="55"/>
  <c r="HT34" i="55"/>
  <c r="HS34" i="55"/>
  <c r="AA270" i="55"/>
  <c r="AA271" i="55" s="1"/>
  <c r="Z287" i="55"/>
  <c r="HZ31" i="55" s="1"/>
  <c r="AA286" i="55" a="1"/>
  <c r="AA286" i="55" s="1"/>
  <c r="AB313" i="55"/>
  <c r="AB267" i="55"/>
  <c r="AB301" i="55" s="1"/>
  <c r="AB309" i="55" s="1"/>
  <c r="AB266" i="55"/>
  <c r="AB269" i="55"/>
  <c r="AB268" i="55"/>
  <c r="Y288" i="55"/>
  <c r="Y289" i="55" s="1"/>
  <c r="IB30" i="55"/>
  <c r="IA30" i="55"/>
  <c r="IH30" i="55"/>
  <c r="X315" i="55"/>
  <c r="X290" i="55"/>
  <c r="X293" i="55"/>
  <c r="X292" i="55"/>
  <c r="X291" i="55"/>
  <c r="X303" i="55" s="1"/>
  <c r="X311" i="55" s="1"/>
  <c r="X298" i="55"/>
  <c r="X253" i="55"/>
  <c r="AD314" i="55"/>
  <c r="AD279" i="55"/>
  <c r="AD302" i="55" s="1"/>
  <c r="AD310" i="55" s="1"/>
  <c r="AD281" i="55"/>
  <c r="AD278" i="55"/>
  <c r="AD280" i="55"/>
  <c r="Z251" i="55"/>
  <c r="HN31" i="55" s="1"/>
  <c r="AA250" i="55" a="1"/>
  <c r="AA250" i="55" s="1"/>
  <c r="W312" i="55"/>
  <c r="W299" i="55"/>
  <c r="W255" i="55"/>
  <c r="W300" i="55" s="1"/>
  <c r="W308" i="55" s="1"/>
  <c r="W257" i="55"/>
  <c r="W254" i="55"/>
  <c r="W256" i="55"/>
  <c r="AF275" i="55"/>
  <c r="HV37" i="55" s="1"/>
  <c r="AG274" i="55" a="1"/>
  <c r="AG274" i="55" s="1"/>
  <c r="AD263" i="55"/>
  <c r="HR35" i="55" s="1"/>
  <c r="AE262" i="55" a="1"/>
  <c r="AE262" i="55" s="1"/>
  <c r="AE276" i="55"/>
  <c r="AE277" i="55" s="1"/>
  <c r="HX36" i="55"/>
  <c r="IG36" i="55"/>
  <c r="HW36" i="55"/>
  <c r="W258" i="55" l="1"/>
  <c r="W259" i="55" s="1"/>
  <c r="AD282" i="55"/>
  <c r="AD283" i="55" s="1"/>
  <c r="AG275" i="55"/>
  <c r="HV38" i="55" s="1"/>
  <c r="AH274" i="55" a="1"/>
  <c r="AH274" i="55" s="1"/>
  <c r="X294" i="55"/>
  <c r="X295" i="55" s="1"/>
  <c r="AB270" i="55"/>
  <c r="AB271" i="55" s="1"/>
  <c r="AD264" i="55"/>
  <c r="AD265" i="55" s="1"/>
  <c r="HT35" i="55"/>
  <c r="HS35" i="55"/>
  <c r="IF35" i="55"/>
  <c r="AE314" i="55"/>
  <c r="AE280" i="55"/>
  <c r="AE279" i="55"/>
  <c r="AE302" i="55" s="1"/>
  <c r="AE310" i="55" s="1"/>
  <c r="AE278" i="55"/>
  <c r="AE281" i="55"/>
  <c r="AC313" i="55"/>
  <c r="AC269" i="55"/>
  <c r="AC266" i="55"/>
  <c r="AC268" i="55"/>
  <c r="AC267" i="55"/>
  <c r="AC301" i="55" s="1"/>
  <c r="AC309" i="55" s="1"/>
  <c r="AE263" i="55"/>
  <c r="HR36" i="55" s="1"/>
  <c r="AF262" i="55" a="1"/>
  <c r="AF262" i="55" s="1"/>
  <c r="AA287" i="55"/>
  <c r="HZ32" i="55" s="1"/>
  <c r="AB286" i="55" a="1"/>
  <c r="AB286" i="55" s="1"/>
  <c r="AA251" i="55"/>
  <c r="HN32" i="55" s="1"/>
  <c r="AB250" i="55" a="1"/>
  <c r="AB250" i="55" s="1"/>
  <c r="Z288" i="55"/>
  <c r="Z289" i="55" s="1"/>
  <c r="IB31" i="55"/>
  <c r="IA31" i="55"/>
  <c r="IH31" i="55"/>
  <c r="X299" i="55"/>
  <c r="X312" i="55"/>
  <c r="X256" i="55"/>
  <c r="X255" i="55"/>
  <c r="X300" i="55" s="1"/>
  <c r="X308" i="55" s="1"/>
  <c r="X254" i="55"/>
  <c r="X257" i="55"/>
  <c r="AF276" i="55"/>
  <c r="AF277" i="55" s="1"/>
  <c r="HX37" i="55"/>
  <c r="IG37" i="55"/>
  <c r="HW37" i="55"/>
  <c r="Z252" i="55"/>
  <c r="HO31" i="55"/>
  <c r="IE31" i="55"/>
  <c r="HP31" i="55"/>
  <c r="Y315" i="55"/>
  <c r="Y293" i="55"/>
  <c r="Y292" i="55"/>
  <c r="Y290" i="55"/>
  <c r="Y291" i="55"/>
  <c r="Y303" i="55" s="1"/>
  <c r="Y311" i="55" s="1"/>
  <c r="Y298" i="55"/>
  <c r="Y253" i="55"/>
  <c r="AC270" i="55" l="1"/>
  <c r="AC271" i="55" s="1"/>
  <c r="AE282" i="55"/>
  <c r="AE283" i="55" s="1"/>
  <c r="AB251" i="55"/>
  <c r="HN33" i="55" s="1"/>
  <c r="AC250" i="55" a="1"/>
  <c r="AC250" i="55" s="1"/>
  <c r="Z298" i="55"/>
  <c r="Z253" i="55"/>
  <c r="X258" i="55"/>
  <c r="X259" i="55" s="1"/>
  <c r="AA252" i="55"/>
  <c r="HP32" i="55"/>
  <c r="HO32" i="55"/>
  <c r="IE32" i="55"/>
  <c r="AB287" i="55"/>
  <c r="HZ33" i="55" s="1"/>
  <c r="AC286" i="55" a="1"/>
  <c r="AC286" i="55" s="1"/>
  <c r="Y294" i="55"/>
  <c r="Y295" i="55" s="1"/>
  <c r="AA288" i="55"/>
  <c r="AA289" i="55" s="1"/>
  <c r="IH32" i="55"/>
  <c r="IB32" i="55"/>
  <c r="IA32" i="55"/>
  <c r="AD313" i="55"/>
  <c r="AD266" i="55"/>
  <c r="AD269" i="55"/>
  <c r="AD268" i="55"/>
  <c r="AD267" i="55"/>
  <c r="AD301" i="55" s="1"/>
  <c r="AD309" i="55" s="1"/>
  <c r="AF263" i="55"/>
  <c r="HR37" i="55" s="1"/>
  <c r="AG262" i="55" a="1"/>
  <c r="AG262" i="55" s="1"/>
  <c r="AF314" i="55"/>
  <c r="AF278" i="55"/>
  <c r="AF280" i="55"/>
  <c r="AF281" i="55"/>
  <c r="AF279" i="55"/>
  <c r="AF302" i="55" s="1"/>
  <c r="AF310" i="55" s="1"/>
  <c r="AE264" i="55"/>
  <c r="AE265" i="55" s="1"/>
  <c r="HT36" i="55"/>
  <c r="HS36" i="55"/>
  <c r="IF36" i="55"/>
  <c r="AH275" i="55"/>
  <c r="HV39" i="55" s="1"/>
  <c r="AI274" i="55" a="1"/>
  <c r="AI274" i="55" s="1"/>
  <c r="Y299" i="55"/>
  <c r="Y312" i="55"/>
  <c r="Y254" i="55"/>
  <c r="Y256" i="55"/>
  <c r="Y257" i="55"/>
  <c r="Y255" i="55"/>
  <c r="Y300" i="55" s="1"/>
  <c r="Y308" i="55" s="1"/>
  <c r="Z315" i="55"/>
  <c r="Z293" i="55"/>
  <c r="Z292" i="55"/>
  <c r="Z294" i="55" s="1"/>
  <c r="Z295" i="55" s="1"/>
  <c r="Z291" i="55"/>
  <c r="Z303" i="55" s="1"/>
  <c r="Z311" i="55" s="1"/>
  <c r="Z290" i="55"/>
  <c r="AG276" i="55"/>
  <c r="AG277" i="55" s="1"/>
  <c r="HX38" i="55"/>
  <c r="IG38" i="55"/>
  <c r="HW38" i="55"/>
  <c r="AF282" i="55" l="1"/>
  <c r="AF283" i="55" s="1"/>
  <c r="AG263" i="55"/>
  <c r="HR38" i="55" s="1"/>
  <c r="AH262" i="55" a="1"/>
  <c r="AH262" i="55" s="1"/>
  <c r="AI275" i="55"/>
  <c r="HV40" i="55" s="1"/>
  <c r="AJ274" i="55" a="1"/>
  <c r="AJ274" i="55" s="1"/>
  <c r="AG314" i="55"/>
  <c r="AG279" i="55"/>
  <c r="AG302" i="55" s="1"/>
  <c r="AG310" i="55" s="1"/>
  <c r="AG278" i="55"/>
  <c r="AG281" i="55"/>
  <c r="AG280" i="55"/>
  <c r="Y258" i="55"/>
  <c r="Y259" i="55" s="1"/>
  <c r="AF264" i="55"/>
  <c r="AF265" i="55" s="1"/>
  <c r="IF37" i="55"/>
  <c r="HS37" i="55"/>
  <c r="HT37" i="55"/>
  <c r="AA298" i="55"/>
  <c r="AA253" i="55"/>
  <c r="AE313" i="55"/>
  <c r="AE267" i="55"/>
  <c r="AE301" i="55" s="1"/>
  <c r="AE309" i="55" s="1"/>
  <c r="AE266" i="55"/>
  <c r="AE268" i="55"/>
  <c r="AE269" i="55"/>
  <c r="AA315" i="55"/>
  <c r="AA293" i="55"/>
  <c r="AA292" i="55"/>
  <c r="AA291" i="55"/>
  <c r="AA303" i="55" s="1"/>
  <c r="AA311" i="55" s="1"/>
  <c r="AA290" i="55"/>
  <c r="AD270" i="55"/>
  <c r="AD271" i="55" s="1"/>
  <c r="Z312" i="55"/>
  <c r="Z299" i="55"/>
  <c r="Z255" i="55"/>
  <c r="Z300" i="55" s="1"/>
  <c r="Z308" i="55" s="1"/>
  <c r="Z254" i="55"/>
  <c r="Z257" i="55"/>
  <c r="Z256" i="55"/>
  <c r="AC287" i="55"/>
  <c r="HZ34" i="55" s="1"/>
  <c r="AD286" i="55" a="1"/>
  <c r="AD286" i="55" s="1"/>
  <c r="AC251" i="55"/>
  <c r="HN34" i="55" s="1"/>
  <c r="AD250" i="55" a="1"/>
  <c r="AD250" i="55" s="1"/>
  <c r="AB288" i="55"/>
  <c r="AB289" i="55" s="1"/>
  <c r="IH33" i="55"/>
  <c r="IA33" i="55"/>
  <c r="IB33" i="55"/>
  <c r="AH276" i="55"/>
  <c r="AH277" i="55" s="1"/>
  <c r="IG39" i="55"/>
  <c r="HW39" i="55"/>
  <c r="HX39" i="55"/>
  <c r="AB252" i="55"/>
  <c r="HP33" i="55"/>
  <c r="HO33" i="55"/>
  <c r="IE33" i="55"/>
  <c r="AE270" i="55" l="1"/>
  <c r="AE271" i="55" s="1"/>
  <c r="Z258" i="55"/>
  <c r="Z259" i="55" s="1"/>
  <c r="AG282" i="55"/>
  <c r="AG283" i="55" s="1"/>
  <c r="AA294" i="55"/>
  <c r="AA295" i="55" s="1"/>
  <c r="AH314" i="55"/>
  <c r="AH281" i="55"/>
  <c r="AH279" i="55"/>
  <c r="AH302" i="55" s="1"/>
  <c r="AH310" i="55" s="1"/>
  <c r="AH278" i="55"/>
  <c r="AH280" i="55"/>
  <c r="AB298" i="55"/>
  <c r="AB253" i="55"/>
  <c r="AB315" i="55"/>
  <c r="AB292" i="55"/>
  <c r="AB291" i="55"/>
  <c r="AB303" i="55" s="1"/>
  <c r="AB311" i="55" s="1"/>
  <c r="AB290" i="55"/>
  <c r="AB293" i="55"/>
  <c r="AD251" i="55"/>
  <c r="HN35" i="55" s="1"/>
  <c r="AE250" i="55" a="1"/>
  <c r="AE250" i="55" s="1"/>
  <c r="AJ275" i="55"/>
  <c r="HV41" i="55" s="1"/>
  <c r="AK274" i="55" a="1"/>
  <c r="AK274" i="55" s="1"/>
  <c r="AD287" i="55"/>
  <c r="HZ35" i="55" s="1"/>
  <c r="AE286" i="55" a="1"/>
  <c r="AE286" i="55" s="1"/>
  <c r="AF313" i="55"/>
  <c r="AF269" i="55"/>
  <c r="AF268" i="55"/>
  <c r="AF267" i="55"/>
  <c r="AF301" i="55" s="1"/>
  <c r="AF309" i="55" s="1"/>
  <c r="AF266" i="55"/>
  <c r="AI276" i="55"/>
  <c r="AI277" i="55" s="1"/>
  <c r="HX40" i="55"/>
  <c r="IG40" i="55"/>
  <c r="HW40" i="55"/>
  <c r="AH263" i="55"/>
  <c r="HR39" i="55" s="1"/>
  <c r="AI262" i="55" a="1"/>
  <c r="AI262" i="55" s="1"/>
  <c r="AC252" i="55"/>
  <c r="IE34" i="55"/>
  <c r="HP34" i="55"/>
  <c r="HO34" i="55"/>
  <c r="AC288" i="55"/>
  <c r="AC289" i="55" s="1"/>
  <c r="IB34" i="55"/>
  <c r="IA34" i="55"/>
  <c r="IH34" i="55"/>
  <c r="AG264" i="55"/>
  <c r="AG265" i="55" s="1"/>
  <c r="IF38" i="55"/>
  <c r="HT38" i="55"/>
  <c r="HS38" i="55"/>
  <c r="AA312" i="55"/>
  <c r="AA299" i="55"/>
  <c r="AA257" i="55"/>
  <c r="AA255" i="55"/>
  <c r="AA300" i="55" s="1"/>
  <c r="AA308" i="55" s="1"/>
  <c r="AA254" i="55"/>
  <c r="AA256" i="55"/>
  <c r="AF270" i="55" l="1"/>
  <c r="AF271" i="55" s="1"/>
  <c r="AH282" i="55"/>
  <c r="AH283" i="55" s="1"/>
  <c r="AA258" i="55"/>
  <c r="AA259" i="55" s="1"/>
  <c r="AK275" i="55"/>
  <c r="HV42" i="55" s="1"/>
  <c r="AL274" i="55" a="1"/>
  <c r="AL274" i="55" s="1"/>
  <c r="AI314" i="55"/>
  <c r="AI278" i="55"/>
  <c r="AI281" i="55"/>
  <c r="AI280" i="55"/>
  <c r="AI279" i="55"/>
  <c r="AI302" i="55" s="1"/>
  <c r="AI310" i="55" s="1"/>
  <c r="AJ276" i="55"/>
  <c r="AJ277" i="55" s="1"/>
  <c r="HX41" i="55"/>
  <c r="IG41" i="55"/>
  <c r="HW41" i="55"/>
  <c r="AB312" i="55"/>
  <c r="AB299" i="55"/>
  <c r="AB254" i="55"/>
  <c r="AB257" i="55"/>
  <c r="AB256" i="55"/>
  <c r="AB255" i="55"/>
  <c r="AB300" i="55" s="1"/>
  <c r="AB308" i="55" s="1"/>
  <c r="AE251" i="55"/>
  <c r="HN36" i="55" s="1"/>
  <c r="AF250" i="55" a="1"/>
  <c r="AF250" i="55" s="1"/>
  <c r="AI263" i="55"/>
  <c r="HR40" i="55" s="1"/>
  <c r="AJ262" i="55" a="1"/>
  <c r="AJ262" i="55" s="1"/>
  <c r="AD252" i="55"/>
  <c r="HO35" i="55"/>
  <c r="IE35" i="55"/>
  <c r="HP35" i="55"/>
  <c r="AH264" i="55"/>
  <c r="AH265" i="55" s="1"/>
  <c r="HT39" i="55"/>
  <c r="HS39" i="55"/>
  <c r="IF39" i="55"/>
  <c r="AC298" i="55"/>
  <c r="AC253" i="55"/>
  <c r="AE287" i="55"/>
  <c r="HZ36" i="55" s="1"/>
  <c r="AF286" i="55" a="1"/>
  <c r="AF286" i="55" s="1"/>
  <c r="AG313" i="55"/>
  <c r="AG267" i="55"/>
  <c r="AG301" i="55" s="1"/>
  <c r="AG309" i="55" s="1"/>
  <c r="AG268" i="55"/>
  <c r="AG269" i="55"/>
  <c r="AG266" i="55"/>
  <c r="AC315" i="55"/>
  <c r="AC291" i="55"/>
  <c r="AC303" i="55" s="1"/>
  <c r="AC311" i="55" s="1"/>
  <c r="AC290" i="55"/>
  <c r="AC292" i="55"/>
  <c r="AC293" i="55"/>
  <c r="AD288" i="55"/>
  <c r="AD289" i="55" s="1"/>
  <c r="IB35" i="55"/>
  <c r="IA35" i="55"/>
  <c r="IH35" i="55"/>
  <c r="AB294" i="55"/>
  <c r="AB295" i="55" s="1"/>
  <c r="AB258" i="55" l="1"/>
  <c r="AB259" i="55" s="1"/>
  <c r="AE252" i="55"/>
  <c r="HP36" i="55"/>
  <c r="HO36" i="55"/>
  <c r="IE36" i="55"/>
  <c r="AC312" i="55"/>
  <c r="AC299" i="55"/>
  <c r="AC256" i="55"/>
  <c r="AC254" i="55"/>
  <c r="AC257" i="55"/>
  <c r="AC255" i="55"/>
  <c r="AC300" i="55" s="1"/>
  <c r="AC308" i="55" s="1"/>
  <c r="AC294" i="55"/>
  <c r="AC295" i="55" s="1"/>
  <c r="AH313" i="55"/>
  <c r="AH268" i="55"/>
  <c r="AH267" i="55"/>
  <c r="AH301" i="55" s="1"/>
  <c r="AH309" i="55" s="1"/>
  <c r="AH266" i="55"/>
  <c r="AH269" i="55"/>
  <c r="AE288" i="55"/>
  <c r="AE289" i="55" s="1"/>
  <c r="IH36" i="55"/>
  <c r="IB36" i="55"/>
  <c r="IA36" i="55"/>
  <c r="AJ314" i="55"/>
  <c r="AJ280" i="55"/>
  <c r="AJ278" i="55"/>
  <c r="AJ281" i="55"/>
  <c r="AJ279" i="55"/>
  <c r="AJ302" i="55" s="1"/>
  <c r="AJ310" i="55" s="1"/>
  <c r="AD298" i="55"/>
  <c r="AD253" i="55"/>
  <c r="AI282" i="55"/>
  <c r="AI283" i="55" s="1"/>
  <c r="AJ263" i="55"/>
  <c r="HR41" i="55" s="1"/>
  <c r="AK262" i="55" a="1"/>
  <c r="AK262" i="55" s="1"/>
  <c r="AD315" i="55"/>
  <c r="AD293" i="55"/>
  <c r="AD291" i="55"/>
  <c r="AD303" i="55" s="1"/>
  <c r="AD311" i="55" s="1"/>
  <c r="AD290" i="55"/>
  <c r="AD292" i="55"/>
  <c r="AG270" i="55"/>
  <c r="AG271" i="55" s="1"/>
  <c r="AI264" i="55"/>
  <c r="AI265" i="55" s="1"/>
  <c r="HT40" i="55"/>
  <c r="HS40" i="55"/>
  <c r="IF40" i="55"/>
  <c r="AF251" i="55"/>
  <c r="HN37" i="55" s="1"/>
  <c r="AG250" i="55" a="1"/>
  <c r="AG250" i="55" s="1"/>
  <c r="AL275" i="55"/>
  <c r="HV43" i="55" s="1"/>
  <c r="AM274" i="55" a="1"/>
  <c r="AM274" i="55" s="1"/>
  <c r="AF287" i="55"/>
  <c r="HZ37" i="55" s="1"/>
  <c r="AG286" i="55" a="1"/>
  <c r="AG286" i="55" s="1"/>
  <c r="AK276" i="55"/>
  <c r="AK277" i="55" s="1"/>
  <c r="HX42" i="55"/>
  <c r="IG42" i="55"/>
  <c r="HW42" i="55"/>
  <c r="AC258" i="55" l="1"/>
  <c r="AC259" i="55" s="1"/>
  <c r="AK314" i="55"/>
  <c r="AK281" i="55"/>
  <c r="AK280" i="55"/>
  <c r="AK279" i="55"/>
  <c r="AK302" i="55" s="1"/>
  <c r="AK310" i="55" s="1"/>
  <c r="AK278" i="55"/>
  <c r="AK263" i="55"/>
  <c r="HR42" i="55" s="1"/>
  <c r="AL262" i="55" a="1"/>
  <c r="AL262" i="55" s="1"/>
  <c r="AJ282" i="55"/>
  <c r="AJ283" i="55" s="1"/>
  <c r="AF288" i="55"/>
  <c r="AF289" i="55" s="1"/>
  <c r="IH37" i="55"/>
  <c r="IA37" i="55"/>
  <c r="IB37" i="55"/>
  <c r="AI313" i="55"/>
  <c r="AI268" i="55"/>
  <c r="AI269" i="55"/>
  <c r="AI267" i="55"/>
  <c r="AI301" i="55" s="1"/>
  <c r="AI309" i="55" s="1"/>
  <c r="AI266" i="55"/>
  <c r="AJ264" i="55"/>
  <c r="AJ265" i="55" s="1"/>
  <c r="IF41" i="55"/>
  <c r="HS41" i="55"/>
  <c r="HT41" i="55"/>
  <c r="AH270" i="55"/>
  <c r="AH271" i="55" s="1"/>
  <c r="AM275" i="55"/>
  <c r="HV44" i="55" s="1"/>
  <c r="AN274" i="55" a="1"/>
  <c r="AN274" i="55" s="1"/>
  <c r="AG287" i="55"/>
  <c r="HZ38" i="55" s="1"/>
  <c r="AH286" i="55" a="1"/>
  <c r="AH286" i="55" s="1"/>
  <c r="AL276" i="55"/>
  <c r="AL277" i="55" s="1"/>
  <c r="HX43" i="55"/>
  <c r="IG43" i="55"/>
  <c r="HW43" i="55"/>
  <c r="AD294" i="55"/>
  <c r="AD295" i="55" s="1"/>
  <c r="AD312" i="55"/>
  <c r="AD299" i="55"/>
  <c r="AD257" i="55"/>
  <c r="AD256" i="55"/>
  <c r="AD255" i="55"/>
  <c r="AD300" i="55" s="1"/>
  <c r="AD308" i="55" s="1"/>
  <c r="AD254" i="55"/>
  <c r="AG251" i="55"/>
  <c r="HN38" i="55" s="1"/>
  <c r="AH250" i="55" a="1"/>
  <c r="AH250" i="55" s="1"/>
  <c r="AF252" i="55"/>
  <c r="HP37" i="55"/>
  <c r="HO37" i="55"/>
  <c r="IE37" i="55"/>
  <c r="AE315" i="55"/>
  <c r="AE290" i="55"/>
  <c r="AE291" i="55"/>
  <c r="AE303" i="55" s="1"/>
  <c r="AE311" i="55" s="1"/>
  <c r="AE293" i="55"/>
  <c r="AE292" i="55"/>
  <c r="AE294" i="55" s="1"/>
  <c r="AE295" i="55" s="1"/>
  <c r="AE298" i="55"/>
  <c r="AE253" i="55"/>
  <c r="AK282" i="55" l="1"/>
  <c r="AK283" i="55" s="1"/>
  <c r="AN275" i="55"/>
  <c r="HV45" i="55" s="1"/>
  <c r="AO274" i="55" a="1"/>
  <c r="AO274" i="55" s="1"/>
  <c r="AL263" i="55"/>
  <c r="HR43" i="55" s="1"/>
  <c r="AM262" i="55" a="1"/>
  <c r="AM262" i="55" s="1"/>
  <c r="AF298" i="55"/>
  <c r="AF253" i="55"/>
  <c r="AG252" i="55"/>
  <c r="IE38" i="55"/>
  <c r="HP38" i="55"/>
  <c r="HO38" i="55"/>
  <c r="AI270" i="55"/>
  <c r="AI271" i="55" s="1"/>
  <c r="AK264" i="55"/>
  <c r="AK265" i="55" s="1"/>
  <c r="IF42" i="55"/>
  <c r="HT42" i="55"/>
  <c r="HS42" i="55"/>
  <c r="AH251" i="55"/>
  <c r="HN39" i="55" s="1"/>
  <c r="AI250" i="55" a="1"/>
  <c r="AI250" i="55" s="1"/>
  <c r="AM276" i="55"/>
  <c r="AM277" i="55" s="1"/>
  <c r="HX44" i="55"/>
  <c r="IG44" i="55"/>
  <c r="HW44" i="55"/>
  <c r="AD258" i="55"/>
  <c r="AD259" i="55" s="1"/>
  <c r="AL314" i="55"/>
  <c r="AL279" i="55"/>
  <c r="AL302" i="55" s="1"/>
  <c r="AL310" i="55" s="1"/>
  <c r="AL281" i="55"/>
  <c r="AL280" i="55"/>
  <c r="AL282" i="55" s="1"/>
  <c r="AL283" i="55" s="1"/>
  <c r="AL278" i="55"/>
  <c r="AH287" i="55"/>
  <c r="HZ39" i="55" s="1"/>
  <c r="AI286" i="55" a="1"/>
  <c r="AI286" i="55" s="1"/>
  <c r="AJ313" i="55"/>
  <c r="AJ267" i="55"/>
  <c r="AJ301" i="55" s="1"/>
  <c r="AJ309" i="55" s="1"/>
  <c r="AJ266" i="55"/>
  <c r="AJ269" i="55"/>
  <c r="AJ268" i="55"/>
  <c r="AJ270" i="55" s="1"/>
  <c r="AJ271" i="55" s="1"/>
  <c r="AE312" i="55"/>
  <c r="AE299" i="55"/>
  <c r="AE255" i="55"/>
  <c r="AE300" i="55" s="1"/>
  <c r="AE308" i="55" s="1"/>
  <c r="AE257" i="55"/>
  <c r="AE256" i="55"/>
  <c r="AE254" i="55"/>
  <c r="AG288" i="55"/>
  <c r="AG289" i="55" s="1"/>
  <c r="IB38" i="55"/>
  <c r="IA38" i="55"/>
  <c r="IH38" i="55"/>
  <c r="AF315" i="55"/>
  <c r="AF290" i="55"/>
  <c r="AF293" i="55"/>
  <c r="AF292" i="55"/>
  <c r="AF291" i="55"/>
  <c r="AF303" i="55" s="1"/>
  <c r="AF311" i="55" s="1"/>
  <c r="AF294" i="55" l="1"/>
  <c r="AF295" i="55" s="1"/>
  <c r="AE258" i="55"/>
  <c r="AE259" i="55" s="1"/>
  <c r="AH252" i="55"/>
  <c r="HO39" i="55"/>
  <c r="IE39" i="55"/>
  <c r="HP39" i="55"/>
  <c r="AI287" i="55"/>
  <c r="HZ40" i="55" s="1"/>
  <c r="AJ286" i="55" a="1"/>
  <c r="AJ286" i="55" s="1"/>
  <c r="AG298" i="55"/>
  <c r="AG253" i="55"/>
  <c r="AH288" i="55"/>
  <c r="AH289" i="55" s="1"/>
  <c r="IB39" i="55"/>
  <c r="IA39" i="55"/>
  <c r="IH39" i="55"/>
  <c r="AF299" i="55"/>
  <c r="AF312" i="55"/>
  <c r="AF256" i="55"/>
  <c r="AF255" i="55"/>
  <c r="AF300" i="55" s="1"/>
  <c r="AF308" i="55" s="1"/>
  <c r="AF254" i="55"/>
  <c r="AF257" i="55"/>
  <c r="AM263" i="55"/>
  <c r="HR44" i="55" s="1"/>
  <c r="AN262" i="55" a="1"/>
  <c r="AN262" i="55" s="1"/>
  <c r="AK313" i="55"/>
  <c r="AK269" i="55"/>
  <c r="AK266" i="55"/>
  <c r="AK268" i="55"/>
  <c r="AK267" i="55"/>
  <c r="AK301" i="55" s="1"/>
  <c r="AK309" i="55" s="1"/>
  <c r="AG315" i="55"/>
  <c r="AG293" i="55"/>
  <c r="AG292" i="55"/>
  <c r="AG294" i="55" s="1"/>
  <c r="AG295" i="55" s="1"/>
  <c r="AG290" i="55"/>
  <c r="AG291" i="55"/>
  <c r="AG303" i="55" s="1"/>
  <c r="AG311" i="55" s="1"/>
  <c r="AM314" i="55"/>
  <c r="AM280" i="55"/>
  <c r="AM279" i="55"/>
  <c r="AM302" i="55" s="1"/>
  <c r="AM310" i="55" s="1"/>
  <c r="AM278" i="55"/>
  <c r="AM281" i="55"/>
  <c r="AL264" i="55"/>
  <c r="AL265" i="55" s="1"/>
  <c r="HT43" i="55"/>
  <c r="HS43" i="55"/>
  <c r="IF43" i="55"/>
  <c r="AO275" i="55"/>
  <c r="HV46" i="55" s="1"/>
  <c r="AP274" i="55" a="1"/>
  <c r="AP274" i="55" s="1"/>
  <c r="AI251" i="55"/>
  <c r="HN40" i="55" s="1"/>
  <c r="AJ250" i="55" a="1"/>
  <c r="AJ250" i="55" s="1"/>
  <c r="AN276" i="55"/>
  <c r="AN277" i="55" s="1"/>
  <c r="HX45" i="55"/>
  <c r="IG45" i="55"/>
  <c r="HW45" i="55"/>
  <c r="AF258" i="55" l="1"/>
  <c r="AF259" i="55" s="1"/>
  <c r="AL313" i="55"/>
  <c r="AL266" i="55"/>
  <c r="AL269" i="55"/>
  <c r="AL268" i="55"/>
  <c r="AL267" i="55"/>
  <c r="AL301" i="55" s="1"/>
  <c r="AL309" i="55" s="1"/>
  <c r="AO276" i="55"/>
  <c r="AO277" i="55" s="1"/>
  <c r="HX46" i="55"/>
  <c r="IG46" i="55"/>
  <c r="HW46" i="55"/>
  <c r="AM282" i="55"/>
  <c r="AM283" i="55" s="1"/>
  <c r="AK270" i="55"/>
  <c r="AK271" i="55" s="1"/>
  <c r="AG312" i="55"/>
  <c r="AG299" i="55"/>
  <c r="AG254" i="55"/>
  <c r="AG256" i="55"/>
  <c r="AG255" i="55"/>
  <c r="AG300" i="55" s="1"/>
  <c r="AG308" i="55" s="1"/>
  <c r="AG257" i="55"/>
  <c r="AJ287" i="55"/>
  <c r="HZ41" i="55" s="1"/>
  <c r="AK286" i="55" a="1"/>
  <c r="AK286" i="55" s="1"/>
  <c r="AI288" i="55"/>
  <c r="AI289" i="55" s="1"/>
  <c r="IH40" i="55"/>
  <c r="IB40" i="55"/>
  <c r="IA40" i="55"/>
  <c r="AN263" i="55"/>
  <c r="HR45" i="55" s="1"/>
  <c r="AO262" i="55" a="1"/>
  <c r="AO262" i="55" s="1"/>
  <c r="AJ251" i="55"/>
  <c r="HN41" i="55" s="1"/>
  <c r="AK250" i="55" a="1"/>
  <c r="AK250" i="55" s="1"/>
  <c r="AM264" i="55"/>
  <c r="AM265" i="55" s="1"/>
  <c r="IF44" i="55"/>
  <c r="HT44" i="55"/>
  <c r="HS44" i="55"/>
  <c r="AN314" i="55"/>
  <c r="AN278" i="55"/>
  <c r="AN280" i="55"/>
  <c r="AN279" i="55"/>
  <c r="AN302" i="55" s="1"/>
  <c r="AN310" i="55" s="1"/>
  <c r="AN281" i="55"/>
  <c r="AI252" i="55"/>
  <c r="HP40" i="55"/>
  <c r="HO40" i="55"/>
  <c r="IE40" i="55"/>
  <c r="AP275" i="55"/>
  <c r="HV47" i="55" s="1"/>
  <c r="AQ274" i="55" a="1"/>
  <c r="AQ274" i="55" s="1"/>
  <c r="AH293" i="55"/>
  <c r="AH292" i="55"/>
  <c r="AH315" i="55"/>
  <c r="AH291" i="55"/>
  <c r="AH303" i="55" s="1"/>
  <c r="AH311" i="55" s="1"/>
  <c r="AH290" i="55"/>
  <c r="AH298" i="55"/>
  <c r="AH253" i="55"/>
  <c r="AN282" i="55" l="1"/>
  <c r="AN283" i="55" s="1"/>
  <c r="AG258" i="55"/>
  <c r="AG259" i="55" s="1"/>
  <c r="AN264" i="55"/>
  <c r="AN265" i="55" s="1"/>
  <c r="IF45" i="55"/>
  <c r="HT45" i="55"/>
  <c r="HS45" i="55"/>
  <c r="AH312" i="55"/>
  <c r="AH299" i="55"/>
  <c r="AH255" i="55"/>
  <c r="AH300" i="55" s="1"/>
  <c r="AH308" i="55" s="1"/>
  <c r="AH254" i="55"/>
  <c r="AH257" i="55"/>
  <c r="AH256" i="55"/>
  <c r="AO314" i="55"/>
  <c r="AO279" i="55"/>
  <c r="AO302" i="55" s="1"/>
  <c r="AO310" i="55" s="1"/>
  <c r="AO278" i="55"/>
  <c r="AO281" i="55"/>
  <c r="AO280" i="55"/>
  <c r="AP276" i="55"/>
  <c r="AP277" i="55" s="1"/>
  <c r="HX47" i="55"/>
  <c r="IG47" i="55"/>
  <c r="HW47" i="55"/>
  <c r="AI298" i="55"/>
  <c r="AI253" i="55"/>
  <c r="AK251" i="55"/>
  <c r="HN42" i="55" s="1"/>
  <c r="AL250" i="55" a="1"/>
  <c r="AL250" i="55" s="1"/>
  <c r="AH294" i="55"/>
  <c r="AH295" i="55" s="1"/>
  <c r="AM313" i="55"/>
  <c r="AM269" i="55"/>
  <c r="AM267" i="55"/>
  <c r="AM301" i="55" s="1"/>
  <c r="AM309" i="55" s="1"/>
  <c r="AM266" i="55"/>
  <c r="AM268" i="55"/>
  <c r="AI292" i="55"/>
  <c r="AI293" i="55"/>
  <c r="AI315" i="55"/>
  <c r="AI291" i="55"/>
  <c r="AI303" i="55" s="1"/>
  <c r="AI311" i="55" s="1"/>
  <c r="AI290" i="55"/>
  <c r="AL270" i="55"/>
  <c r="AL271" i="55" s="1"/>
  <c r="AK287" i="55"/>
  <c r="HZ42" i="55" s="1"/>
  <c r="AL286" i="55" a="1"/>
  <c r="AL286" i="55" s="1"/>
  <c r="AQ275" i="55"/>
  <c r="HV48" i="55" s="1"/>
  <c r="AR274" i="55" a="1"/>
  <c r="AR274" i="55" s="1"/>
  <c r="AJ252" i="55"/>
  <c r="HP41" i="55"/>
  <c r="HO41" i="55"/>
  <c r="IE41" i="55"/>
  <c r="AJ288" i="55"/>
  <c r="AJ289" i="55" s="1"/>
  <c r="IH41" i="55"/>
  <c r="IA41" i="55"/>
  <c r="IB41" i="55"/>
  <c r="AO263" i="55"/>
  <c r="HR46" i="55" s="1"/>
  <c r="AP262" i="55" a="1"/>
  <c r="AP262" i="55" s="1"/>
  <c r="AH258" i="55" l="1"/>
  <c r="AH259" i="55" s="1"/>
  <c r="AM270" i="55"/>
  <c r="AM271" i="55" s="1"/>
  <c r="AL287" i="55"/>
  <c r="HZ43" i="55" s="1"/>
  <c r="AM286" i="55" a="1"/>
  <c r="AM286" i="55" s="1"/>
  <c r="AI312" i="55"/>
  <c r="AI299" i="55"/>
  <c r="AI257" i="55"/>
  <c r="AI255" i="55"/>
  <c r="AI300" i="55" s="1"/>
  <c r="AI308" i="55" s="1"/>
  <c r="AI256" i="55"/>
  <c r="AI254" i="55"/>
  <c r="AP263" i="55"/>
  <c r="HR47" i="55" s="1"/>
  <c r="AQ262" i="55" a="1"/>
  <c r="AQ262" i="55" s="1"/>
  <c r="AO264" i="55"/>
  <c r="AO265" i="55" s="1"/>
  <c r="IF46" i="55"/>
  <c r="HT46" i="55"/>
  <c r="HS46" i="55"/>
  <c r="AJ298" i="55"/>
  <c r="AJ253" i="55"/>
  <c r="AR275" i="55"/>
  <c r="HV49" i="55" s="1"/>
  <c r="AS274" i="55" a="1"/>
  <c r="AS274" i="55" s="1"/>
  <c r="AQ276" i="55"/>
  <c r="AQ277" i="55" s="1"/>
  <c r="HX48" i="55"/>
  <c r="IG48" i="55"/>
  <c r="HW48" i="55"/>
  <c r="AI294" i="55"/>
  <c r="AI295" i="55" s="1"/>
  <c r="AP314" i="55"/>
  <c r="AP281" i="55"/>
  <c r="AP279" i="55"/>
  <c r="AP302" i="55" s="1"/>
  <c r="AP310" i="55" s="1"/>
  <c r="AP280" i="55"/>
  <c r="AP278" i="55"/>
  <c r="AL251" i="55"/>
  <c r="HN43" i="55" s="1"/>
  <c r="AM250" i="55" a="1"/>
  <c r="AM250" i="55" s="1"/>
  <c r="AO282" i="55"/>
  <c r="AO283" i="55" s="1"/>
  <c r="AN313" i="55"/>
  <c r="AN269" i="55"/>
  <c r="AN268" i="55"/>
  <c r="AN270" i="55" s="1"/>
  <c r="AN271" i="55" s="1"/>
  <c r="AN267" i="55"/>
  <c r="AN301" i="55" s="1"/>
  <c r="AN309" i="55" s="1"/>
  <c r="AN266" i="55"/>
  <c r="AJ315" i="55"/>
  <c r="AJ292" i="55"/>
  <c r="AJ293" i="55"/>
  <c r="AJ291" i="55"/>
  <c r="AJ303" i="55" s="1"/>
  <c r="AJ311" i="55" s="1"/>
  <c r="AJ290" i="55"/>
  <c r="AK288" i="55"/>
  <c r="AK289" i="55" s="1"/>
  <c r="IB42" i="55"/>
  <c r="IA42" i="55"/>
  <c r="IH42" i="55"/>
  <c r="AK252" i="55"/>
  <c r="IE42" i="55"/>
  <c r="HP42" i="55"/>
  <c r="HO42" i="55"/>
  <c r="AI258" i="55" l="1"/>
  <c r="AI259" i="55" s="1"/>
  <c r="AJ294" i="55"/>
  <c r="AJ295" i="55" s="1"/>
  <c r="AJ312" i="55"/>
  <c r="AJ299" i="55"/>
  <c r="AJ254" i="55"/>
  <c r="AJ257" i="55"/>
  <c r="AJ256" i="55"/>
  <c r="AJ255" i="55"/>
  <c r="AJ300" i="55" s="1"/>
  <c r="AJ308" i="55" s="1"/>
  <c r="AK298" i="55"/>
  <c r="AK253" i="55"/>
  <c r="AM251" i="55"/>
  <c r="HN44" i="55" s="1"/>
  <c r="AN250" i="55" a="1"/>
  <c r="AN250" i="55" s="1"/>
  <c r="AL252" i="55"/>
  <c r="HO43" i="55"/>
  <c r="IE43" i="55"/>
  <c r="HP43" i="55"/>
  <c r="AP282" i="55"/>
  <c r="AP283" i="55" s="1"/>
  <c r="AQ314" i="55"/>
  <c r="AQ278" i="55"/>
  <c r="AQ281" i="55"/>
  <c r="AQ280" i="55"/>
  <c r="AQ279" i="55"/>
  <c r="AQ302" i="55" s="1"/>
  <c r="AQ310" i="55" s="1"/>
  <c r="AO313" i="55"/>
  <c r="AO269" i="55"/>
  <c r="AO266" i="55"/>
  <c r="AO267" i="55"/>
  <c r="AO301" i="55" s="1"/>
  <c r="AO309" i="55" s="1"/>
  <c r="AO268" i="55"/>
  <c r="AK315" i="55"/>
  <c r="AK293" i="55"/>
  <c r="AK291" i="55"/>
  <c r="AK303" i="55" s="1"/>
  <c r="AK311" i="55" s="1"/>
  <c r="AK290" i="55"/>
  <c r="AK292" i="55"/>
  <c r="AS275" i="55"/>
  <c r="HV50" i="55" s="1"/>
  <c r="AT274" i="55" a="1"/>
  <c r="AT274" i="55" s="1"/>
  <c r="AQ263" i="55"/>
  <c r="HR48" i="55" s="1"/>
  <c r="AR262" i="55" a="1"/>
  <c r="AR262" i="55" s="1"/>
  <c r="AM287" i="55"/>
  <c r="HZ44" i="55" s="1"/>
  <c r="AN286" i="55" a="1"/>
  <c r="AN286" i="55" s="1"/>
  <c r="AR276" i="55"/>
  <c r="AR277" i="55" s="1"/>
  <c r="HX49" i="55"/>
  <c r="IG49" i="55"/>
  <c r="HW49" i="55"/>
  <c r="AP264" i="55"/>
  <c r="AP265" i="55" s="1"/>
  <c r="HT47" i="55"/>
  <c r="HS47" i="55"/>
  <c r="IF47" i="55"/>
  <c r="AL288" i="55"/>
  <c r="AL289" i="55" s="1"/>
  <c r="IB43" i="55"/>
  <c r="IA43" i="55"/>
  <c r="IH43" i="55"/>
  <c r="AO270" i="55" l="1"/>
  <c r="AO271" i="55" s="1"/>
  <c r="AQ282" i="55"/>
  <c r="AQ283" i="55" s="1"/>
  <c r="AJ258" i="55"/>
  <c r="AJ259" i="55" s="1"/>
  <c r="AL315" i="55"/>
  <c r="AL293" i="55"/>
  <c r="AL291" i="55"/>
  <c r="AL303" i="55" s="1"/>
  <c r="AL311" i="55" s="1"/>
  <c r="AL290" i="55"/>
  <c r="AL292" i="55"/>
  <c r="AR314" i="55"/>
  <c r="AR280" i="55"/>
  <c r="AR278" i="55"/>
  <c r="AR279" i="55"/>
  <c r="AR302" i="55" s="1"/>
  <c r="AR310" i="55" s="1"/>
  <c r="AR281" i="55"/>
  <c r="AS276" i="55"/>
  <c r="AS277" i="55" s="1"/>
  <c r="HX50" i="55"/>
  <c r="IG50" i="55"/>
  <c r="HW50" i="55"/>
  <c r="AK312" i="55"/>
  <c r="AK299" i="55"/>
  <c r="AK256" i="55"/>
  <c r="AK254" i="55"/>
  <c r="AK255" i="55"/>
  <c r="AK300" i="55" s="1"/>
  <c r="AK308" i="55" s="1"/>
  <c r="AK257" i="55"/>
  <c r="AK294" i="55"/>
  <c r="AK295" i="55" s="1"/>
  <c r="AN287" i="55"/>
  <c r="HZ45" i="55" s="1"/>
  <c r="AO286" i="55" a="1"/>
  <c r="AO286" i="55" s="1"/>
  <c r="AP313" i="55"/>
  <c r="AP268" i="55"/>
  <c r="AP267" i="55"/>
  <c r="AP301" i="55" s="1"/>
  <c r="AP309" i="55" s="1"/>
  <c r="AP266" i="55"/>
  <c r="AP269" i="55"/>
  <c r="AM288" i="55"/>
  <c r="AM289" i="55" s="1"/>
  <c r="IH44" i="55"/>
  <c r="IB44" i="55"/>
  <c r="IA44" i="55"/>
  <c r="AR263" i="55"/>
  <c r="HR49" i="55" s="1"/>
  <c r="AS262" i="55" a="1"/>
  <c r="AS262" i="55" s="1"/>
  <c r="AL298" i="55"/>
  <c r="AL253" i="55"/>
  <c r="AQ264" i="55"/>
  <c r="AQ265" i="55" s="1"/>
  <c r="IF48" i="55"/>
  <c r="HT48" i="55"/>
  <c r="HS48" i="55"/>
  <c r="AN251" i="55"/>
  <c r="HN45" i="55" s="1"/>
  <c r="AO250" i="55" a="1"/>
  <c r="AO250" i="55" s="1"/>
  <c r="AT275" i="55"/>
  <c r="HV51" i="55" s="1"/>
  <c r="AU274" i="55" a="1"/>
  <c r="AU274" i="55" s="1"/>
  <c r="AM252" i="55"/>
  <c r="HP44" i="55"/>
  <c r="HO44" i="55"/>
  <c r="IE44" i="55"/>
  <c r="AK258" i="55" l="1"/>
  <c r="AK259" i="55" s="1"/>
  <c r="AL294" i="55"/>
  <c r="AL295" i="55" s="1"/>
  <c r="AR282" i="55"/>
  <c r="AR283" i="55" s="1"/>
  <c r="AO287" i="55"/>
  <c r="HZ46" i="55" s="1"/>
  <c r="AP286" i="55" a="1"/>
  <c r="AP286" i="55" s="1"/>
  <c r="AN288" i="55"/>
  <c r="AN289" i="55" s="1"/>
  <c r="IH45" i="55"/>
  <c r="IB45" i="55"/>
  <c r="IA45" i="55"/>
  <c r="AM298" i="55"/>
  <c r="AM253" i="55"/>
  <c r="AQ313" i="55"/>
  <c r="AQ266" i="55"/>
  <c r="AQ267" i="55"/>
  <c r="AQ301" i="55" s="1"/>
  <c r="AQ309" i="55" s="1"/>
  <c r="AQ268" i="55"/>
  <c r="AQ269" i="55"/>
  <c r="AM315" i="55"/>
  <c r="AM290" i="55"/>
  <c r="AM293" i="55"/>
  <c r="AM291" i="55"/>
  <c r="AM303" i="55" s="1"/>
  <c r="AM311" i="55" s="1"/>
  <c r="AM292" i="55"/>
  <c r="AU275" i="55"/>
  <c r="HV52" i="55" s="1"/>
  <c r="AV274" i="55" a="1"/>
  <c r="AV274" i="55" s="1"/>
  <c r="AL312" i="55"/>
  <c r="AL299" i="55"/>
  <c r="AL257" i="55"/>
  <c r="AL256" i="55"/>
  <c r="AL255" i="55"/>
  <c r="AL300" i="55" s="1"/>
  <c r="AL308" i="55" s="1"/>
  <c r="AL254" i="55"/>
  <c r="AT276" i="55"/>
  <c r="AT277" i="55" s="1"/>
  <c r="HX51" i="55"/>
  <c r="IG51" i="55"/>
  <c r="HW51" i="55"/>
  <c r="AS263" i="55"/>
  <c r="HR50" i="55" s="1"/>
  <c r="AT262" i="55" a="1"/>
  <c r="AT262" i="55" s="1"/>
  <c r="AS314" i="55"/>
  <c r="AS281" i="55"/>
  <c r="AS280" i="55"/>
  <c r="AS279" i="55"/>
  <c r="AS302" i="55" s="1"/>
  <c r="AS310" i="55" s="1"/>
  <c r="AS278" i="55"/>
  <c r="AN252" i="55"/>
  <c r="HP45" i="55"/>
  <c r="HO45" i="55"/>
  <c r="IE45" i="55"/>
  <c r="AR264" i="55"/>
  <c r="AR265" i="55" s="1"/>
  <c r="IF49" i="55"/>
  <c r="HT49" i="55"/>
  <c r="HS49" i="55"/>
  <c r="AP270" i="55"/>
  <c r="AP271" i="55" s="1"/>
  <c r="AO251" i="55"/>
  <c r="HN46" i="55" s="1"/>
  <c r="AP250" i="55" a="1"/>
  <c r="AP250" i="55" s="1"/>
  <c r="AL258" i="55" l="1"/>
  <c r="AL259" i="55" s="1"/>
  <c r="AO252" i="55"/>
  <c r="IE46" i="55"/>
  <c r="HP46" i="55"/>
  <c r="HO46" i="55"/>
  <c r="AS264" i="55"/>
  <c r="AS265" i="55" s="1"/>
  <c r="IF50" i="55"/>
  <c r="HT50" i="55"/>
  <c r="HS50" i="55"/>
  <c r="AT263" i="55"/>
  <c r="HR51" i="55" s="1"/>
  <c r="AU262" i="55" a="1"/>
  <c r="AU262" i="55" s="1"/>
  <c r="AM312" i="55"/>
  <c r="AM299" i="55"/>
  <c r="AM255" i="55"/>
  <c r="AM300" i="55" s="1"/>
  <c r="AM308" i="55" s="1"/>
  <c r="AM257" i="55"/>
  <c r="AM254" i="55"/>
  <c r="AM256" i="55"/>
  <c r="AN298" i="55"/>
  <c r="AN253" i="55"/>
  <c r="AP251" i="55"/>
  <c r="HN47" i="55" s="1"/>
  <c r="AQ250" i="55" a="1"/>
  <c r="AQ250" i="55" s="1"/>
  <c r="AV275" i="55"/>
  <c r="HV53" i="55" s="1"/>
  <c r="AW274" i="55" a="1"/>
  <c r="AW274" i="55" s="1"/>
  <c r="AQ270" i="55"/>
  <c r="AQ271" i="55" s="1"/>
  <c r="AS282" i="55"/>
  <c r="AS283" i="55" s="1"/>
  <c r="AT314" i="55"/>
  <c r="AT279" i="55"/>
  <c r="AT302" i="55" s="1"/>
  <c r="AT310" i="55" s="1"/>
  <c r="AT281" i="55"/>
  <c r="AT278" i="55"/>
  <c r="AT280" i="55"/>
  <c r="AU276" i="55"/>
  <c r="AU277" i="55" s="1"/>
  <c r="HX52" i="55"/>
  <c r="IG52" i="55"/>
  <c r="HW52" i="55"/>
  <c r="AN315" i="55"/>
  <c r="AN290" i="55"/>
  <c r="AN292" i="55"/>
  <c r="AN293" i="55"/>
  <c r="AN291" i="55"/>
  <c r="AN303" i="55" s="1"/>
  <c r="AN311" i="55" s="1"/>
  <c r="AP287" i="55"/>
  <c r="HZ47" i="55" s="1"/>
  <c r="AQ286" i="55" a="1"/>
  <c r="AQ286" i="55" s="1"/>
  <c r="AR313" i="55"/>
  <c r="AR267" i="55"/>
  <c r="AR301" i="55" s="1"/>
  <c r="AR309" i="55" s="1"/>
  <c r="AR266" i="55"/>
  <c r="AR269" i="55"/>
  <c r="AR268" i="55"/>
  <c r="AM294" i="55"/>
  <c r="AM295" i="55" s="1"/>
  <c r="AO288" i="55"/>
  <c r="AO289" i="55" s="1"/>
  <c r="IB46" i="55"/>
  <c r="IA46" i="55"/>
  <c r="IH46" i="55"/>
  <c r="AN294" i="55" l="1"/>
  <c r="AN295" i="55" s="1"/>
  <c r="AU314" i="55"/>
  <c r="AU280" i="55"/>
  <c r="AU279" i="55"/>
  <c r="AU302" i="55" s="1"/>
  <c r="AU310" i="55" s="1"/>
  <c r="AU278" i="55"/>
  <c r="AU281" i="55"/>
  <c r="AR270" i="55"/>
  <c r="AR271" i="55" s="1"/>
  <c r="AT282" i="55"/>
  <c r="AT283" i="55" s="1"/>
  <c r="AV276" i="55"/>
  <c r="AV277" i="55" s="1"/>
  <c r="HX53" i="55"/>
  <c r="IG53" i="55"/>
  <c r="HW53" i="55"/>
  <c r="AQ251" i="55"/>
  <c r="HN48" i="55" s="1"/>
  <c r="AR250" i="55" a="1"/>
  <c r="AR250" i="55" s="1"/>
  <c r="AS313" i="55"/>
  <c r="AS269" i="55"/>
  <c r="AS266" i="55"/>
  <c r="AS268" i="55"/>
  <c r="AS267" i="55"/>
  <c r="AS301" i="55" s="1"/>
  <c r="AS309" i="55" s="1"/>
  <c r="AP252" i="55"/>
  <c r="HP47" i="55"/>
  <c r="HO47" i="55"/>
  <c r="IE47" i="55"/>
  <c r="AO315" i="55"/>
  <c r="AO292" i="55"/>
  <c r="AO290" i="55"/>
  <c r="AO293" i="55"/>
  <c r="AO291" i="55"/>
  <c r="AO303" i="55" s="1"/>
  <c r="AO311" i="55" s="1"/>
  <c r="AN299" i="55"/>
  <c r="AN312" i="55"/>
  <c r="AN256" i="55"/>
  <c r="AN255" i="55"/>
  <c r="AN300" i="55" s="1"/>
  <c r="AN308" i="55" s="1"/>
  <c r="AN254" i="55"/>
  <c r="AN257" i="55"/>
  <c r="AU263" i="55"/>
  <c r="HR52" i="55" s="1"/>
  <c r="AV262" i="55" a="1"/>
  <c r="AV262" i="55" s="1"/>
  <c r="AQ287" i="55"/>
  <c r="HZ48" i="55" s="1"/>
  <c r="AR286" i="55" a="1"/>
  <c r="AR286" i="55" s="1"/>
  <c r="AP288" i="55"/>
  <c r="AP289" i="55" s="1"/>
  <c r="IB47" i="55"/>
  <c r="IA47" i="55"/>
  <c r="IH47" i="55"/>
  <c r="AT264" i="55"/>
  <c r="AT265" i="55" s="1"/>
  <c r="HT51" i="55"/>
  <c r="HS51" i="55"/>
  <c r="IF51" i="55"/>
  <c r="AO298" i="55"/>
  <c r="AO253" i="55"/>
  <c r="AW275" i="55"/>
  <c r="HV54" i="55" s="1"/>
  <c r="AX274" i="55" a="1"/>
  <c r="AX274" i="55" s="1"/>
  <c r="AM258" i="55"/>
  <c r="AM259" i="55" s="1"/>
  <c r="AS270" i="55" l="1"/>
  <c r="AS271" i="55" s="1"/>
  <c r="AU282" i="55"/>
  <c r="AU283" i="55" s="1"/>
  <c r="AO312" i="55"/>
  <c r="AO299" i="55"/>
  <c r="AO254" i="55"/>
  <c r="AO256" i="55"/>
  <c r="AO255" i="55"/>
  <c r="AO300" i="55" s="1"/>
  <c r="AO308" i="55" s="1"/>
  <c r="AO257" i="55"/>
  <c r="AV314" i="55"/>
  <c r="AV278" i="55"/>
  <c r="AV280" i="55"/>
  <c r="AV279" i="55"/>
  <c r="AV302" i="55" s="1"/>
  <c r="AV310" i="55" s="1"/>
  <c r="AV281" i="55"/>
  <c r="AP293" i="55"/>
  <c r="AP315" i="55"/>
  <c r="AP292" i="55"/>
  <c r="AP291" i="55"/>
  <c r="AP303" i="55" s="1"/>
  <c r="AP311" i="55" s="1"/>
  <c r="AP290" i="55"/>
  <c r="AN258" i="55"/>
  <c r="AN259" i="55" s="1"/>
  <c r="AR287" i="55"/>
  <c r="HZ49" i="55" s="1"/>
  <c r="AS286" i="55" a="1"/>
  <c r="AS286" i="55" s="1"/>
  <c r="AR251" i="55"/>
  <c r="HN49" i="55" s="1"/>
  <c r="AS250" i="55" a="1"/>
  <c r="AS250" i="55" s="1"/>
  <c r="AQ288" i="55"/>
  <c r="AQ289" i="55" s="1"/>
  <c r="IH48" i="55"/>
  <c r="IB48" i="55"/>
  <c r="IA48" i="55"/>
  <c r="AQ252" i="55"/>
  <c r="HP48" i="55"/>
  <c r="HO48" i="55"/>
  <c r="IE48" i="55"/>
  <c r="AV263" i="55"/>
  <c r="HR53" i="55" s="1"/>
  <c r="AW262" i="55" a="1"/>
  <c r="AW262" i="55" s="1"/>
  <c r="AP298" i="55"/>
  <c r="AP253" i="55"/>
  <c r="AT313" i="55"/>
  <c r="AT266" i="55"/>
  <c r="AT269" i="55"/>
  <c r="AT268" i="55"/>
  <c r="AT270" i="55" s="1"/>
  <c r="AT271" i="55" s="1"/>
  <c r="AT267" i="55"/>
  <c r="AT301" i="55" s="1"/>
  <c r="AT309" i="55" s="1"/>
  <c r="AU264" i="55"/>
  <c r="AU265" i="55" s="1"/>
  <c r="IF52" i="55"/>
  <c r="HT52" i="55"/>
  <c r="HS52" i="55"/>
  <c r="AX275" i="55"/>
  <c r="HV55" i="55" s="1"/>
  <c r="AY274" i="55" a="1"/>
  <c r="AY274" i="55" s="1"/>
  <c r="AW276" i="55"/>
  <c r="AW277" i="55" s="1"/>
  <c r="HX54" i="55"/>
  <c r="IG54" i="55"/>
  <c r="HW54" i="55"/>
  <c r="AO294" i="55"/>
  <c r="AO295" i="55" s="1"/>
  <c r="AO258" i="55" l="1"/>
  <c r="AO259" i="55" s="1"/>
  <c r="AW263" i="55"/>
  <c r="HR54" i="55" s="1"/>
  <c r="AX262" i="55" a="1"/>
  <c r="AX262" i="55" s="1"/>
  <c r="AU313" i="55"/>
  <c r="AU268" i="55"/>
  <c r="AU267" i="55"/>
  <c r="AU301" i="55" s="1"/>
  <c r="AU309" i="55" s="1"/>
  <c r="AU266" i="55"/>
  <c r="AU269" i="55"/>
  <c r="AV264" i="55"/>
  <c r="AV265" i="55" s="1"/>
  <c r="IF53" i="55"/>
  <c r="HT53" i="55"/>
  <c r="HS53" i="55"/>
  <c r="AQ315" i="55"/>
  <c r="AQ292" i="55"/>
  <c r="AQ291" i="55"/>
  <c r="AQ303" i="55" s="1"/>
  <c r="AQ311" i="55" s="1"/>
  <c r="AQ293" i="55"/>
  <c r="AQ290" i="55"/>
  <c r="AP294" i="55"/>
  <c r="AP295" i="55" s="1"/>
  <c r="AS251" i="55"/>
  <c r="HN50" i="55" s="1"/>
  <c r="AT250" i="55" a="1"/>
  <c r="AT250" i="55" s="1"/>
  <c r="AY275" i="55"/>
  <c r="HV56" i="55" s="1"/>
  <c r="AZ274" i="55" a="1"/>
  <c r="AZ274" i="55" s="1"/>
  <c r="AR252" i="55"/>
  <c r="HP49" i="55"/>
  <c r="HO49" i="55"/>
  <c r="IE49" i="55"/>
  <c r="AS287" i="55"/>
  <c r="HZ50" i="55" s="1"/>
  <c r="AT286" i="55" a="1"/>
  <c r="AT286" i="55" s="1"/>
  <c r="AX276" i="55"/>
  <c r="AX277" i="55" s="1"/>
  <c r="HX55" i="55"/>
  <c r="IG55" i="55"/>
  <c r="HW55" i="55"/>
  <c r="AQ298" i="55"/>
  <c r="AQ253" i="55"/>
  <c r="AR288" i="55"/>
  <c r="AR289" i="55" s="1"/>
  <c r="IH49" i="55"/>
  <c r="IB49" i="55"/>
  <c r="IA49" i="55"/>
  <c r="AW314" i="55"/>
  <c r="AW279" i="55"/>
  <c r="AW302" i="55" s="1"/>
  <c r="AW310" i="55" s="1"/>
  <c r="AW278" i="55"/>
  <c r="AW281" i="55"/>
  <c r="AW280" i="55"/>
  <c r="AW282" i="55" s="1"/>
  <c r="AW283" i="55" s="1"/>
  <c r="AP312" i="55"/>
  <c r="AP299" i="55"/>
  <c r="AP255" i="55"/>
  <c r="AP300" i="55" s="1"/>
  <c r="AP308" i="55" s="1"/>
  <c r="AP254" i="55"/>
  <c r="AP257" i="55"/>
  <c r="AP256" i="55"/>
  <c r="AV282" i="55"/>
  <c r="AV283" i="55" s="1"/>
  <c r="AQ294" i="55" l="1"/>
  <c r="AQ295" i="55" s="1"/>
  <c r="AP258" i="55"/>
  <c r="AP259" i="55" s="1"/>
  <c r="AV313" i="55"/>
  <c r="AV269" i="55"/>
  <c r="AV268" i="55"/>
  <c r="AV267" i="55"/>
  <c r="AV301" i="55" s="1"/>
  <c r="AV309" i="55" s="1"/>
  <c r="AV266" i="55"/>
  <c r="AR298" i="55"/>
  <c r="AR253" i="55"/>
  <c r="AZ275" i="55"/>
  <c r="HV57" i="55" s="1"/>
  <c r="BA274" i="55" a="1"/>
  <c r="BA274" i="55" s="1"/>
  <c r="AX314" i="55"/>
  <c r="AX281" i="55"/>
  <c r="AX279" i="55"/>
  <c r="AX302" i="55" s="1"/>
  <c r="AX310" i="55" s="1"/>
  <c r="AX278" i="55"/>
  <c r="AX280" i="55"/>
  <c r="AY276" i="55"/>
  <c r="AY277" i="55" s="1"/>
  <c r="HX56" i="55"/>
  <c r="IG56" i="55"/>
  <c r="HW56" i="55"/>
  <c r="AU270" i="55"/>
  <c r="AU271" i="55" s="1"/>
  <c r="AT287" i="55"/>
  <c r="HZ51" i="55" s="1"/>
  <c r="AU286" i="55" a="1"/>
  <c r="AU286" i="55" s="1"/>
  <c r="AT251" i="55"/>
  <c r="HN51" i="55" s="1"/>
  <c r="AU250" i="55" a="1"/>
  <c r="AU250" i="55" s="1"/>
  <c r="AS288" i="55"/>
  <c r="AS289" i="55" s="1"/>
  <c r="IB50" i="55"/>
  <c r="IA50" i="55"/>
  <c r="IH50" i="55"/>
  <c r="AS252" i="55"/>
  <c r="IE50" i="55"/>
  <c r="HP50" i="55"/>
  <c r="HO50" i="55"/>
  <c r="AX263" i="55"/>
  <c r="HR55" i="55" s="1"/>
  <c r="AY262" i="55" a="1"/>
  <c r="AY262" i="55" s="1"/>
  <c r="AR315" i="55"/>
  <c r="AR292" i="55"/>
  <c r="AR291" i="55"/>
  <c r="AR303" i="55" s="1"/>
  <c r="AR311" i="55" s="1"/>
  <c r="AR293" i="55"/>
  <c r="AR290" i="55"/>
  <c r="AQ312" i="55"/>
  <c r="AQ299" i="55"/>
  <c r="AQ257" i="55"/>
  <c r="AQ255" i="55"/>
  <c r="AQ300" i="55" s="1"/>
  <c r="AQ308" i="55" s="1"/>
  <c r="AQ254" i="55"/>
  <c r="AQ256" i="55"/>
  <c r="AW264" i="55"/>
  <c r="AW265" i="55" s="1"/>
  <c r="IF54" i="55"/>
  <c r="HT54" i="55"/>
  <c r="HS54" i="55"/>
  <c r="AQ258" i="55" l="1"/>
  <c r="AQ259" i="55" s="1"/>
  <c r="AX282" i="55"/>
  <c r="AX283" i="55" s="1"/>
  <c r="AU287" i="55"/>
  <c r="HZ52" i="55" s="1"/>
  <c r="AV286" i="55" a="1"/>
  <c r="AV286" i="55" s="1"/>
  <c r="AR312" i="55"/>
  <c r="AR299" i="55"/>
  <c r="AR254" i="55"/>
  <c r="AR257" i="55"/>
  <c r="AR256" i="55"/>
  <c r="AR255" i="55"/>
  <c r="AR300" i="55" s="1"/>
  <c r="AR308" i="55" s="1"/>
  <c r="AS298" i="55"/>
  <c r="AS253" i="55"/>
  <c r="AT288" i="55"/>
  <c r="AT289" i="55" s="1"/>
  <c r="IB51" i="55"/>
  <c r="IA51" i="55"/>
  <c r="IH51" i="55"/>
  <c r="AR294" i="55"/>
  <c r="AR295" i="55" s="1"/>
  <c r="AY263" i="55"/>
  <c r="HR56" i="55" s="1"/>
  <c r="AZ262" i="55" a="1"/>
  <c r="AZ262" i="55" s="1"/>
  <c r="AV270" i="55"/>
  <c r="AV271" i="55" s="1"/>
  <c r="AX264" i="55"/>
  <c r="AX265" i="55" s="1"/>
  <c r="HT55" i="55"/>
  <c r="HS55" i="55"/>
  <c r="IF55" i="55"/>
  <c r="AS315" i="55"/>
  <c r="AS292" i="55"/>
  <c r="AS291" i="55"/>
  <c r="AS303" i="55" s="1"/>
  <c r="AS311" i="55" s="1"/>
  <c r="AS293" i="55"/>
  <c r="AS290" i="55"/>
  <c r="AU251" i="55"/>
  <c r="HN52" i="55" s="1"/>
  <c r="AV250" i="55" a="1"/>
  <c r="AV250" i="55" s="1"/>
  <c r="AY314" i="55"/>
  <c r="AY278" i="55"/>
  <c r="AY281" i="55"/>
  <c r="AY280" i="55"/>
  <c r="AY282" i="55" s="1"/>
  <c r="AY283" i="55" s="1"/>
  <c r="AY279" i="55"/>
  <c r="AY302" i="55" s="1"/>
  <c r="AY310" i="55" s="1"/>
  <c r="BA275" i="55"/>
  <c r="HV58" i="55" s="1"/>
  <c r="BB274" i="55" a="1"/>
  <c r="BB274" i="55" s="1"/>
  <c r="BB275" i="55" s="1"/>
  <c r="AW313" i="55"/>
  <c r="AW269" i="55"/>
  <c r="AW268" i="55"/>
  <c r="AW266" i="55"/>
  <c r="AW267" i="55"/>
  <c r="AW301" i="55" s="1"/>
  <c r="AW309" i="55" s="1"/>
  <c r="AT252" i="55"/>
  <c r="HP51" i="55"/>
  <c r="HO51" i="55"/>
  <c r="IE51" i="55"/>
  <c r="AZ276" i="55"/>
  <c r="AZ277" i="55" s="1"/>
  <c r="HX57" i="55"/>
  <c r="IG57" i="55"/>
  <c r="HW57" i="55"/>
  <c r="AW270" i="55" l="1"/>
  <c r="AW271" i="55" s="1"/>
  <c r="AR258" i="55"/>
  <c r="AR259" i="55" s="1"/>
  <c r="HV59" i="55"/>
  <c r="BB276" i="55" s="1"/>
  <c r="BB277" i="55" s="1"/>
  <c r="AS294" i="55"/>
  <c r="AS295" i="55" s="1"/>
  <c r="AY264" i="55"/>
  <c r="AY265" i="55" s="1"/>
  <c r="IF56" i="55"/>
  <c r="HT56" i="55"/>
  <c r="HS56" i="55"/>
  <c r="AZ314" i="55"/>
  <c r="AZ280" i="55"/>
  <c r="AZ278" i="55"/>
  <c r="AZ281" i="55"/>
  <c r="AZ279" i="55"/>
  <c r="AZ302" i="55" s="1"/>
  <c r="AZ310" i="55" s="1"/>
  <c r="AV251" i="55"/>
  <c r="HN53" i="55" s="1"/>
  <c r="AW250" i="55" a="1"/>
  <c r="AW250" i="55" s="1"/>
  <c r="AU252" i="55"/>
  <c r="HP52" i="55"/>
  <c r="HO52" i="55"/>
  <c r="IE52" i="55"/>
  <c r="BA276" i="55"/>
  <c r="BA277" i="55" s="1"/>
  <c r="HX58" i="55"/>
  <c r="IG58" i="55"/>
  <c r="HW58" i="55"/>
  <c r="AX313" i="55"/>
  <c r="AX268" i="55"/>
  <c r="AX267" i="55"/>
  <c r="AX301" i="55" s="1"/>
  <c r="AX309" i="55" s="1"/>
  <c r="AX266" i="55"/>
  <c r="AX269" i="55"/>
  <c r="AT315" i="55"/>
  <c r="AT293" i="55"/>
  <c r="AT291" i="55"/>
  <c r="AT303" i="55" s="1"/>
  <c r="AT311" i="55" s="1"/>
  <c r="AT290" i="55"/>
  <c r="AT292" i="55"/>
  <c r="AT298" i="55"/>
  <c r="AT253" i="55"/>
  <c r="AS312" i="55"/>
  <c r="AS299" i="55"/>
  <c r="AS256" i="55"/>
  <c r="AS254" i="55"/>
  <c r="AS257" i="55"/>
  <c r="AS255" i="55"/>
  <c r="AS300" i="55" s="1"/>
  <c r="AS308" i="55" s="1"/>
  <c r="AV287" i="55"/>
  <c r="HZ53" i="55" s="1"/>
  <c r="AW286" i="55" a="1"/>
  <c r="AW286" i="55" s="1"/>
  <c r="AZ263" i="55"/>
  <c r="HR57" i="55" s="1"/>
  <c r="BA262" i="55" a="1"/>
  <c r="BA262" i="55" s="1"/>
  <c r="AU288" i="55"/>
  <c r="AU289" i="55" s="1"/>
  <c r="IH52" i="55"/>
  <c r="IB52" i="55"/>
  <c r="IA52" i="55"/>
  <c r="IG59" i="55" l="1"/>
  <c r="HW59" i="55"/>
  <c r="HX59" i="55"/>
  <c r="AS258" i="55"/>
  <c r="AS259" i="55" s="1"/>
  <c r="AZ282" i="55"/>
  <c r="AZ283" i="55" s="1"/>
  <c r="AU315" i="55"/>
  <c r="AU293" i="55"/>
  <c r="AU290" i="55"/>
  <c r="AU291" i="55"/>
  <c r="AU303" i="55" s="1"/>
  <c r="AU311" i="55" s="1"/>
  <c r="AU292" i="55"/>
  <c r="BA263" i="55"/>
  <c r="HR58" i="55" s="1"/>
  <c r="BB262" i="55" a="1"/>
  <c r="BB262" i="55" s="1"/>
  <c r="BB263" i="55" s="1"/>
  <c r="HR59" i="55" s="1"/>
  <c r="AZ264" i="55"/>
  <c r="AZ265" i="55" s="1"/>
  <c r="IF57" i="55"/>
  <c r="HT57" i="55"/>
  <c r="HS57" i="55"/>
  <c r="BA314" i="55"/>
  <c r="BA281" i="55"/>
  <c r="BA280" i="55"/>
  <c r="BA279" i="55"/>
  <c r="BA302" i="55" s="1"/>
  <c r="BA310" i="55" s="1"/>
  <c r="BA278" i="55"/>
  <c r="BB314" i="55"/>
  <c r="BB279" i="55"/>
  <c r="BB302" i="55" s="1"/>
  <c r="BB310" i="55" s="1"/>
  <c r="BB281" i="55"/>
  <c r="BB278" i="55"/>
  <c r="BB280" i="55"/>
  <c r="AW251" i="55"/>
  <c r="HN54" i="55" s="1"/>
  <c r="AX250" i="55" a="1"/>
  <c r="AX250" i="55" s="1"/>
  <c r="AV288" i="55"/>
  <c r="AV289" i="55" s="1"/>
  <c r="IH53" i="55"/>
  <c r="IB53" i="55"/>
  <c r="IA53" i="55"/>
  <c r="AV252" i="55"/>
  <c r="HP53" i="55"/>
  <c r="HO53" i="55"/>
  <c r="IE53" i="55"/>
  <c r="AT294" i="55"/>
  <c r="AT295" i="55" s="1"/>
  <c r="AX270" i="55"/>
  <c r="AX271" i="55" s="1"/>
  <c r="AY313" i="55"/>
  <c r="AY269" i="55"/>
  <c r="AY266" i="55"/>
  <c r="AY267" i="55"/>
  <c r="AY301" i="55" s="1"/>
  <c r="AY309" i="55" s="1"/>
  <c r="AY268" i="55"/>
  <c r="AW287" i="55"/>
  <c r="HZ54" i="55" s="1"/>
  <c r="AX286" i="55" a="1"/>
  <c r="AX286" i="55" s="1"/>
  <c r="AT312" i="55"/>
  <c r="AT299" i="55"/>
  <c r="AT257" i="55"/>
  <c r="AT256" i="55"/>
  <c r="AT255" i="55"/>
  <c r="AT300" i="55" s="1"/>
  <c r="AT308" i="55" s="1"/>
  <c r="AT254" i="55"/>
  <c r="AU298" i="55"/>
  <c r="AU253" i="55"/>
  <c r="AY270" i="55" l="1"/>
  <c r="AY271" i="55" s="1"/>
  <c r="AT258" i="55"/>
  <c r="AT259" i="55" s="1"/>
  <c r="BB282" i="55"/>
  <c r="BB283" i="55" s="1"/>
  <c r="AU294" i="55"/>
  <c r="AU295" i="55" s="1"/>
  <c r="BA282" i="55"/>
  <c r="BA283" i="55" s="1"/>
  <c r="BB264" i="55"/>
  <c r="BB265" i="55" s="1"/>
  <c r="HT59" i="55"/>
  <c r="HS59" i="55"/>
  <c r="IF59" i="55"/>
  <c r="AX287" i="55"/>
  <c r="HZ55" i="55" s="1"/>
  <c r="AY286" i="55" a="1"/>
  <c r="AY286" i="55" s="1"/>
  <c r="AZ313" i="55"/>
  <c r="AZ267" i="55"/>
  <c r="AZ301" i="55" s="1"/>
  <c r="AZ309" i="55" s="1"/>
  <c r="AZ266" i="55"/>
  <c r="AZ269" i="55"/>
  <c r="AZ268" i="55"/>
  <c r="AW252" i="55"/>
  <c r="IE54" i="55"/>
  <c r="HP54" i="55"/>
  <c r="HO54" i="55"/>
  <c r="BA264" i="55"/>
  <c r="BA265" i="55" s="1"/>
  <c r="IF58" i="55"/>
  <c r="HT58" i="55"/>
  <c r="HS58" i="55"/>
  <c r="AX251" i="55"/>
  <c r="HN55" i="55" s="1"/>
  <c r="AY250" i="55" a="1"/>
  <c r="AY250" i="55" s="1"/>
  <c r="AU312" i="55"/>
  <c r="AU299" i="55"/>
  <c r="AU255" i="55"/>
  <c r="AU300" i="55" s="1"/>
  <c r="AU308" i="55" s="1"/>
  <c r="AU257" i="55"/>
  <c r="AU254" i="55"/>
  <c r="AU256" i="55"/>
  <c r="AW288" i="55"/>
  <c r="AW289" i="55" s="1"/>
  <c r="IB54" i="55"/>
  <c r="IA54" i="55"/>
  <c r="IH54" i="55"/>
  <c r="AV298" i="55"/>
  <c r="AV253" i="55"/>
  <c r="AV315" i="55"/>
  <c r="AV292" i="55"/>
  <c r="AV293" i="55"/>
  <c r="AV290" i="55"/>
  <c r="AV291" i="55"/>
  <c r="AV303" i="55" s="1"/>
  <c r="AV311" i="55" s="1"/>
  <c r="AU258" i="55" l="1"/>
  <c r="AU259" i="55" s="1"/>
  <c r="AZ270" i="55"/>
  <c r="AZ271" i="55" s="1"/>
  <c r="BA313" i="55"/>
  <c r="BA269" i="55"/>
  <c r="BA266" i="55"/>
  <c r="BA268" i="55"/>
  <c r="BA267" i="55"/>
  <c r="BA301" i="55" s="1"/>
  <c r="BA309" i="55" s="1"/>
  <c r="AY287" i="55"/>
  <c r="HZ56" i="55" s="1"/>
  <c r="AZ286" i="55" a="1"/>
  <c r="AZ286" i="55" s="1"/>
  <c r="AY251" i="55"/>
  <c r="HN56" i="55" s="1"/>
  <c r="AZ250" i="55" a="1"/>
  <c r="AZ250" i="55" s="1"/>
  <c r="AX288" i="55"/>
  <c r="AX289" i="55" s="1"/>
  <c r="IB55" i="55"/>
  <c r="IA55" i="55"/>
  <c r="IH55" i="55"/>
  <c r="AX252" i="55"/>
  <c r="HP55" i="55"/>
  <c r="HO55" i="55"/>
  <c r="IE55" i="55"/>
  <c r="AW298" i="55"/>
  <c r="AW253" i="55"/>
  <c r="AW315" i="55"/>
  <c r="AW293" i="55"/>
  <c r="AW290" i="55"/>
  <c r="AW292" i="55"/>
  <c r="AW291" i="55"/>
  <c r="AW303" i="55" s="1"/>
  <c r="AW311" i="55" s="1"/>
  <c r="AV312" i="55"/>
  <c r="AV299" i="55"/>
  <c r="AV256" i="55"/>
  <c r="AV255" i="55"/>
  <c r="AV300" i="55" s="1"/>
  <c r="AV308" i="55" s="1"/>
  <c r="AV254" i="55"/>
  <c r="AV257" i="55"/>
  <c r="AV294" i="55"/>
  <c r="AV295" i="55" s="1"/>
  <c r="BB313" i="55"/>
  <c r="BB266" i="55"/>
  <c r="BB269" i="55"/>
  <c r="BB268" i="55"/>
  <c r="BB267" i="55"/>
  <c r="BB301" i="55" s="1"/>
  <c r="AW294" i="55" l="1"/>
  <c r="AW295" i="55" s="1"/>
  <c r="BA270" i="55"/>
  <c r="BA271" i="55" s="1"/>
  <c r="AY252" i="55"/>
  <c r="HP56" i="55"/>
  <c r="HO56" i="55"/>
  <c r="IE56" i="55"/>
  <c r="AZ287" i="55"/>
  <c r="HZ57" i="55" s="1"/>
  <c r="BA286" i="55" a="1"/>
  <c r="BA286" i="55" s="1"/>
  <c r="AX298" i="55"/>
  <c r="AX253" i="55"/>
  <c r="AY288" i="55"/>
  <c r="AY289" i="55" s="1"/>
  <c r="IH56" i="55"/>
  <c r="IB56" i="55"/>
  <c r="IA56" i="55"/>
  <c r="BB309" i="55"/>
  <c r="G297" i="55"/>
  <c r="AA102" i="59" s="1"/>
  <c r="BB270" i="55"/>
  <c r="BB271" i="55" s="1"/>
  <c r="AV258" i="55"/>
  <c r="AV259" i="55" s="1"/>
  <c r="AW312" i="55"/>
  <c r="AW299" i="55"/>
  <c r="AW254" i="55"/>
  <c r="AW256" i="55"/>
  <c r="AW257" i="55"/>
  <c r="AW255" i="55"/>
  <c r="AW300" i="55" s="1"/>
  <c r="AW308" i="55" s="1"/>
  <c r="AX293" i="55"/>
  <c r="AX315" i="55"/>
  <c r="AX292" i="55"/>
  <c r="AX291" i="55"/>
  <c r="AX303" i="55" s="1"/>
  <c r="AX311" i="55" s="1"/>
  <c r="AX290" i="55"/>
  <c r="AZ251" i="55"/>
  <c r="HN57" i="55" s="1"/>
  <c r="BA250" i="55" a="1"/>
  <c r="BA250" i="55" s="1"/>
  <c r="I297" i="55" l="1"/>
  <c r="AA103" i="59" s="1"/>
  <c r="K297" i="55"/>
  <c r="AA104" i="59" s="1"/>
  <c r="AA105" i="59" s="1"/>
  <c r="AX312" i="55"/>
  <c r="AX299" i="55"/>
  <c r="AX255" i="55"/>
  <c r="AX300" i="55" s="1"/>
  <c r="AX308" i="55" s="1"/>
  <c r="AX254" i="55"/>
  <c r="AX257" i="55"/>
  <c r="AX256" i="55"/>
  <c r="BA251" i="55"/>
  <c r="HN58" i="55" s="1"/>
  <c r="BB250" i="55" a="1"/>
  <c r="BB250" i="55" s="1"/>
  <c r="BB251" i="55" s="1"/>
  <c r="HN59" i="55" s="1"/>
  <c r="AZ252" i="55"/>
  <c r="HP57" i="55"/>
  <c r="HO57" i="55"/>
  <c r="IE57" i="55"/>
  <c r="AW258" i="55"/>
  <c r="AW259" i="55" s="1"/>
  <c r="BA287" i="55"/>
  <c r="HZ58" i="55" s="1"/>
  <c r="BB286" i="55" a="1"/>
  <c r="BB286" i="55" s="1"/>
  <c r="BB287" i="55" s="1"/>
  <c r="HZ59" i="55" s="1"/>
  <c r="AZ288" i="55"/>
  <c r="AZ289" i="55" s="1"/>
  <c r="IH57" i="55"/>
  <c r="IB57" i="55"/>
  <c r="IA57" i="55"/>
  <c r="AX294" i="55"/>
  <c r="AX295" i="55" s="1"/>
  <c r="E297" i="55"/>
  <c r="AA107" i="59" s="1"/>
  <c r="AY315" i="55"/>
  <c r="AY292" i="55"/>
  <c r="AY291" i="55"/>
  <c r="AY303" i="55" s="1"/>
  <c r="AY311" i="55" s="1"/>
  <c r="AY290" i="55"/>
  <c r="AY293" i="55"/>
  <c r="AY298" i="55"/>
  <c r="AY253" i="55"/>
  <c r="AY294" i="55" l="1"/>
  <c r="AY295" i="55" s="1"/>
  <c r="AA108" i="59"/>
  <c r="AA109" i="59"/>
  <c r="AX258" i="55"/>
  <c r="AX259" i="55" s="1"/>
  <c r="BA288" i="55"/>
  <c r="BA289" i="55" s="1"/>
  <c r="IB58" i="55"/>
  <c r="IA58" i="55"/>
  <c r="IH58" i="55"/>
  <c r="AY312" i="55"/>
  <c r="AY299" i="55"/>
  <c r="AY257" i="55"/>
  <c r="AY255" i="55"/>
  <c r="AY300" i="55" s="1"/>
  <c r="AY308" i="55" s="1"/>
  <c r="AY254" i="55"/>
  <c r="AY256" i="55"/>
  <c r="AZ315" i="55"/>
  <c r="AZ292" i="55"/>
  <c r="AZ291" i="55"/>
  <c r="AZ303" i="55" s="1"/>
  <c r="AZ311" i="55" s="1"/>
  <c r="AZ290" i="55"/>
  <c r="AZ293" i="55"/>
  <c r="AZ298" i="55"/>
  <c r="AZ253" i="55"/>
  <c r="BB252" i="55"/>
  <c r="HP59" i="55"/>
  <c r="HO59" i="55"/>
  <c r="IE59" i="55"/>
  <c r="BB288" i="55"/>
  <c r="BB289" i="55" s="1"/>
  <c r="IB59" i="55"/>
  <c r="IA59" i="55"/>
  <c r="IH59" i="55"/>
  <c r="BA252" i="55"/>
  <c r="IE58" i="55"/>
  <c r="HP58" i="55"/>
  <c r="HO58" i="55"/>
  <c r="AZ294" i="55" l="1"/>
  <c r="AZ295" i="55" s="1"/>
  <c r="BA298" i="55"/>
  <c r="BA253" i="55"/>
  <c r="BB298" i="55"/>
  <c r="BB253" i="55"/>
  <c r="AZ312" i="55"/>
  <c r="AZ299" i="55"/>
  <c r="AZ254" i="55"/>
  <c r="AZ257" i="55"/>
  <c r="AZ256" i="55"/>
  <c r="AZ255" i="55"/>
  <c r="AZ300" i="55" s="1"/>
  <c r="AZ308" i="55" s="1"/>
  <c r="BB315" i="55"/>
  <c r="BB293" i="55"/>
  <c r="BB291" i="55"/>
  <c r="BB303" i="55" s="1"/>
  <c r="BB292" i="55"/>
  <c r="BB290" i="55"/>
  <c r="AY258" i="55"/>
  <c r="AY259" i="55" s="1"/>
  <c r="BA315" i="55"/>
  <c r="BA291" i="55"/>
  <c r="BA303" i="55" s="1"/>
  <c r="BA311" i="55" s="1"/>
  <c r="BA292" i="55"/>
  <c r="BA290" i="55"/>
  <c r="BA293" i="55"/>
  <c r="BB294" i="55" l="1"/>
  <c r="BB295" i="55" s="1"/>
  <c r="BA294" i="55"/>
  <c r="BA295" i="55" s="1"/>
  <c r="BB311" i="55"/>
  <c r="G296" i="55"/>
  <c r="S102" i="59" s="1"/>
  <c r="BB312" i="55"/>
  <c r="BB299" i="55"/>
  <c r="BB257" i="55"/>
  <c r="BB256" i="55"/>
  <c r="BB255" i="55"/>
  <c r="BB300" i="55" s="1"/>
  <c r="BB308" i="55" s="1"/>
  <c r="BB254" i="55"/>
  <c r="BA312" i="55"/>
  <c r="BA299" i="55"/>
  <c r="BA256" i="55"/>
  <c r="BA254" i="55"/>
  <c r="BA255" i="55"/>
  <c r="BA300" i="55" s="1"/>
  <c r="BA308" i="55" s="1"/>
  <c r="BA257" i="55"/>
  <c r="AZ258" i="55"/>
  <c r="AZ259" i="55" s="1"/>
  <c r="E296" i="55" l="1"/>
  <c r="S107" i="59" s="1"/>
  <c r="S109" i="59" s="1"/>
  <c r="BB258" i="55"/>
  <c r="BB259" i="55" s="1"/>
  <c r="BA258" i="55"/>
  <c r="BA259" i="55" s="1"/>
  <c r="K296" i="55"/>
  <c r="S104" i="59" s="1"/>
  <c r="S105" i="59" s="1"/>
  <c r="I296" i="55"/>
  <c r="S103" i="59" s="1"/>
  <c r="M297" i="55" l="1"/>
  <c r="W108" i="59" s="1"/>
  <c r="W105" i="59" s="1"/>
  <c r="W107" i="59" s="1"/>
  <c r="W109" i="59" s="1"/>
  <c r="M296" i="55"/>
  <c r="O109" i="59" s="1"/>
  <c r="O105" i="59" s="1"/>
  <c r="O107" i="59" s="1"/>
  <c r="H69" i="50" l="1"/>
  <c r="G69" i="50"/>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V268" i="60"/>
  <c r="U268" i="60"/>
  <c r="U313" i="60" s="1"/>
  <c r="T268" i="60"/>
  <c r="S268" i="60"/>
  <c r="S313" i="60" s="1"/>
  <c r="R268" i="60"/>
  <c r="R313" i="60" s="1"/>
  <c r="Q268" i="60"/>
  <c r="P268" i="60"/>
  <c r="P313" i="60" s="1"/>
  <c r="W266" i="60"/>
  <c r="W311" i="60" s="1"/>
  <c r="V266" i="60"/>
  <c r="V311" i="60" s="1"/>
  <c r="U266" i="60"/>
  <c r="T266" i="60"/>
  <c r="T311" i="60" s="1"/>
  <c r="S266" i="60"/>
  <c r="S311" i="60" s="1"/>
  <c r="R266" i="60"/>
  <c r="Q266" i="60"/>
  <c r="P266" i="60"/>
  <c r="P311" i="60" s="1"/>
  <c r="W264" i="60"/>
  <c r="V264" i="60"/>
  <c r="U264" i="60"/>
  <c r="T264" i="60"/>
  <c r="S264" i="60"/>
  <c r="R264" i="60"/>
  <c r="Q264" i="60"/>
  <c r="P264" i="60"/>
  <c r="W263" i="60"/>
  <c r="W308" i="60" s="1"/>
  <c r="V263" i="60"/>
  <c r="V308" i="60" s="1"/>
  <c r="U263" i="60"/>
  <c r="U308" i="60" s="1"/>
  <c r="T263" i="60"/>
  <c r="T308" i="60" s="1"/>
  <c r="S263" i="60"/>
  <c r="S308" i="60" s="1"/>
  <c r="R263" i="60"/>
  <c r="R308" i="60" s="1"/>
  <c r="Q263" i="60"/>
  <c r="P263" i="60"/>
  <c r="P308" i="60" s="1"/>
  <c r="W262" i="60"/>
  <c r="W307" i="60" s="1"/>
  <c r="V262" i="60"/>
  <c r="V307" i="60" s="1"/>
  <c r="U262" i="60"/>
  <c r="U307" i="60" s="1"/>
  <c r="T262" i="60"/>
  <c r="T307" i="60" s="1"/>
  <c r="S262" i="60"/>
  <c r="S307" i="60" s="1"/>
  <c r="R262" i="60"/>
  <c r="Q262" i="60"/>
  <c r="Q307" i="60" s="1"/>
  <c r="P262" i="60"/>
  <c r="P307" i="60" s="1"/>
  <c r="W261" i="60"/>
  <c r="W306" i="60" s="1"/>
  <c r="V261" i="60"/>
  <c r="V306" i="60" s="1"/>
  <c r="U261" i="60"/>
  <c r="U306" i="60" s="1"/>
  <c r="T261" i="60"/>
  <c r="T306" i="60" s="1"/>
  <c r="S261" i="60"/>
  <c r="S306" i="60" s="1"/>
  <c r="R261" i="60"/>
  <c r="Q261" i="60"/>
  <c r="Q306" i="60" s="1"/>
  <c r="P261" i="60"/>
  <c r="P306" i="60" s="1"/>
  <c r="W260" i="60"/>
  <c r="W305" i="60" s="1"/>
  <c r="V260" i="60"/>
  <c r="V305" i="60" s="1"/>
  <c r="U260" i="60"/>
  <c r="U305" i="60" s="1"/>
  <c r="T260" i="60"/>
  <c r="T305" i="60" s="1"/>
  <c r="S260" i="60"/>
  <c r="R260" i="60"/>
  <c r="R305" i="60" s="1"/>
  <c r="Q260" i="60"/>
  <c r="Q305" i="60" s="1"/>
  <c r="P260" i="60"/>
  <c r="P305" i="60" s="1"/>
  <c r="W259" i="60"/>
  <c r="W304" i="60" s="1"/>
  <c r="V259" i="60"/>
  <c r="V304" i="60" s="1"/>
  <c r="U259" i="60"/>
  <c r="U304" i="60" s="1"/>
  <c r="T259" i="60"/>
  <c r="T304" i="60" s="1"/>
  <c r="S259" i="60"/>
  <c r="S304" i="60" s="1"/>
  <c r="R259" i="60"/>
  <c r="Q259" i="60"/>
  <c r="Q304" i="60" s="1"/>
  <c r="P259" i="60"/>
  <c r="P304" i="60" s="1"/>
  <c r="W258" i="60"/>
  <c r="W303" i="60" s="1"/>
  <c r="V258" i="60"/>
  <c r="V303" i="60" s="1"/>
  <c r="U258" i="60"/>
  <c r="U303" i="60" s="1"/>
  <c r="T258" i="60"/>
  <c r="T303" i="60" s="1"/>
  <c r="S258" i="60"/>
  <c r="R258" i="60"/>
  <c r="R303" i="60" s="1"/>
  <c r="Q258" i="60"/>
  <c r="Q303" i="60" s="1"/>
  <c r="P258" i="60"/>
  <c r="P303" i="60" s="1"/>
  <c r="W257" i="60"/>
  <c r="W302" i="60" s="1"/>
  <c r="V257" i="60"/>
  <c r="V302" i="60" s="1"/>
  <c r="U257" i="60"/>
  <c r="U302" i="60" s="1"/>
  <c r="T257" i="60"/>
  <c r="T302" i="60" s="1"/>
  <c r="S257" i="60"/>
  <c r="S302" i="60" s="1"/>
  <c r="R257" i="60"/>
  <c r="Q257" i="60"/>
  <c r="Q302" i="60" s="1"/>
  <c r="P257" i="60"/>
  <c r="P302" i="60" s="1"/>
  <c r="W256" i="60"/>
  <c r="W301" i="60" s="1"/>
  <c r="V256" i="60"/>
  <c r="V301" i="60" s="1"/>
  <c r="U256" i="60"/>
  <c r="U301" i="60" s="1"/>
  <c r="T256" i="60"/>
  <c r="T301" i="60" s="1"/>
  <c r="S256" i="60"/>
  <c r="R256" i="60"/>
  <c r="R301" i="60" s="1"/>
  <c r="Q256" i="60"/>
  <c r="Q301" i="60" s="1"/>
  <c r="P256" i="60"/>
  <c r="P301" i="60" s="1"/>
  <c r="W255" i="60"/>
  <c r="W300" i="60" s="1"/>
  <c r="V255" i="60"/>
  <c r="V300" i="60" s="1"/>
  <c r="U255" i="60"/>
  <c r="U300" i="60" s="1"/>
  <c r="T255" i="60"/>
  <c r="T300" i="60" s="1"/>
  <c r="S255" i="60"/>
  <c r="S300" i="60" s="1"/>
  <c r="R255" i="60"/>
  <c r="Q255" i="60"/>
  <c r="Q300" i="60" s="1"/>
  <c r="P255" i="60"/>
  <c r="P300" i="60" s="1"/>
  <c r="W254" i="60"/>
  <c r="W299" i="60" s="1"/>
  <c r="V254" i="60"/>
  <c r="V299" i="60" s="1"/>
  <c r="U254" i="60"/>
  <c r="U299" i="60" s="1"/>
  <c r="T254" i="60"/>
  <c r="T299" i="60" s="1"/>
  <c r="S254" i="60"/>
  <c r="R254" i="60"/>
  <c r="R299" i="60" s="1"/>
  <c r="Q254" i="60"/>
  <c r="Q299" i="60" s="1"/>
  <c r="P254" i="60"/>
  <c r="P299" i="60" s="1"/>
  <c r="W253" i="60"/>
  <c r="V253" i="60"/>
  <c r="V298" i="60" s="1"/>
  <c r="U253" i="60"/>
  <c r="T253" i="60"/>
  <c r="S253" i="60"/>
  <c r="R253" i="60"/>
  <c r="Q253" i="60"/>
  <c r="P253" i="60"/>
  <c r="W252" i="60"/>
  <c r="W297" i="60" s="1"/>
  <c r="V252" i="60"/>
  <c r="V297" i="60" s="1"/>
  <c r="U252" i="60"/>
  <c r="U297" i="60" s="1"/>
  <c r="T252" i="60"/>
  <c r="T297" i="60" s="1"/>
  <c r="S252" i="60"/>
  <c r="R252" i="60"/>
  <c r="R297" i="60" s="1"/>
  <c r="Q252" i="60"/>
  <c r="Q297" i="60" s="1"/>
  <c r="P252" i="60"/>
  <c r="P297" i="60" s="1"/>
  <c r="W251" i="60"/>
  <c r="W296" i="60" s="1"/>
  <c r="V251" i="60"/>
  <c r="V296" i="60" s="1"/>
  <c r="U251" i="60"/>
  <c r="U296" i="60" s="1"/>
  <c r="T251" i="60"/>
  <c r="T296" i="60" s="1"/>
  <c r="S251" i="60"/>
  <c r="S296" i="60" s="1"/>
  <c r="R251" i="60"/>
  <c r="Q251" i="60"/>
  <c r="Q296" i="60" s="1"/>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W220" i="60" s="1"/>
  <c r="V110" i="60"/>
  <c r="V220" i="60" s="1"/>
  <c r="U110" i="60"/>
  <c r="T110" i="60"/>
  <c r="T220" i="60" s="1"/>
  <c r="S110" i="60"/>
  <c r="S220" i="60" s="1"/>
  <c r="R110" i="60"/>
  <c r="R220" i="60" s="1"/>
  <c r="Q110" i="60"/>
  <c r="Q220" i="60" s="1"/>
  <c r="P110" i="60"/>
  <c r="P220" i="60" s="1"/>
  <c r="K110" i="60"/>
  <c r="K268" i="60" s="1"/>
  <c r="J110" i="60"/>
  <c r="J268" i="60" s="1"/>
  <c r="I110" i="60"/>
  <c r="I268" i="60" s="1"/>
  <c r="H110" i="60"/>
  <c r="H268" i="60" s="1"/>
  <c r="W108" i="60"/>
  <c r="W218" i="60" s="1"/>
  <c r="V108" i="60"/>
  <c r="V218" i="60" s="1"/>
  <c r="U108" i="60"/>
  <c r="U218" i="60" s="1"/>
  <c r="T108" i="60"/>
  <c r="T218" i="60" s="1"/>
  <c r="S108" i="60"/>
  <c r="S218" i="60" s="1"/>
  <c r="R108" i="60"/>
  <c r="R218" i="60" s="1"/>
  <c r="Q108" i="60"/>
  <c r="P108" i="60"/>
  <c r="P218" i="60" s="1"/>
  <c r="K108" i="60"/>
  <c r="K266" i="60" s="1"/>
  <c r="J108" i="60"/>
  <c r="J266" i="60" s="1"/>
  <c r="I108" i="60"/>
  <c r="I266" i="60" s="1"/>
  <c r="H108" i="60"/>
  <c r="H266" i="60" s="1"/>
  <c r="W106" i="60"/>
  <c r="W216" i="60" s="1"/>
  <c r="V106" i="60"/>
  <c r="V216" i="60" s="1"/>
  <c r="U106" i="60"/>
  <c r="T106" i="60"/>
  <c r="T216" i="60" s="1"/>
  <c r="S106" i="60"/>
  <c r="S216" i="60" s="1"/>
  <c r="R106" i="60"/>
  <c r="R216" i="60" s="1"/>
  <c r="Q106" i="60"/>
  <c r="Q216" i="60" s="1"/>
  <c r="P106" i="60"/>
  <c r="P216" i="60" s="1"/>
  <c r="K106" i="60"/>
  <c r="K264" i="60" s="1"/>
  <c r="J106" i="60"/>
  <c r="J264" i="60" s="1"/>
  <c r="I106" i="60"/>
  <c r="I264" i="60" s="1"/>
  <c r="H106" i="60"/>
  <c r="H264" i="60" s="1"/>
  <c r="W105" i="60"/>
  <c r="W215" i="60" s="1"/>
  <c r="V105" i="60"/>
  <c r="V215" i="60" s="1"/>
  <c r="U105" i="60"/>
  <c r="U215" i="60" s="1"/>
  <c r="T105" i="60"/>
  <c r="T215" i="60" s="1"/>
  <c r="S105" i="60"/>
  <c r="S215" i="60" s="1"/>
  <c r="R105" i="60"/>
  <c r="R215" i="60" s="1"/>
  <c r="Q105" i="60"/>
  <c r="Q215" i="60" s="1"/>
  <c r="P105" i="60"/>
  <c r="P215" i="60" s="1"/>
  <c r="W104" i="60"/>
  <c r="W214" i="60" s="1"/>
  <c r="V104" i="60"/>
  <c r="V214" i="60" s="1"/>
  <c r="U104" i="60"/>
  <c r="U214" i="60" s="1"/>
  <c r="T104" i="60"/>
  <c r="T214" i="60" s="1"/>
  <c r="S104" i="60"/>
  <c r="S214" i="60" s="1"/>
  <c r="R104" i="60"/>
  <c r="R214" i="60" s="1"/>
  <c r="Q104" i="60"/>
  <c r="P104" i="60"/>
  <c r="P214" i="60" s="1"/>
  <c r="W103" i="60"/>
  <c r="W213" i="60" s="1"/>
  <c r="V103" i="60"/>
  <c r="V213" i="60" s="1"/>
  <c r="U103" i="60"/>
  <c r="U213" i="60" s="1"/>
  <c r="T103" i="60"/>
  <c r="T213" i="60" s="1"/>
  <c r="S103" i="60"/>
  <c r="S213" i="60" s="1"/>
  <c r="R103" i="60"/>
  <c r="R213" i="60" s="1"/>
  <c r="Q103" i="60"/>
  <c r="Q213" i="60" s="1"/>
  <c r="P103" i="60"/>
  <c r="P213" i="60" s="1"/>
  <c r="W102" i="60"/>
  <c r="W212" i="60" s="1"/>
  <c r="V102" i="60"/>
  <c r="V212" i="60" s="1"/>
  <c r="U102" i="60"/>
  <c r="U212" i="60" s="1"/>
  <c r="T102" i="60"/>
  <c r="T212" i="60" s="1"/>
  <c r="S102" i="60"/>
  <c r="S212" i="60" s="1"/>
  <c r="R102" i="60"/>
  <c r="Q102" i="60"/>
  <c r="Q212" i="60" s="1"/>
  <c r="P102" i="60"/>
  <c r="P212" i="60" s="1"/>
  <c r="W101" i="60"/>
  <c r="W211" i="60" s="1"/>
  <c r="V101" i="60"/>
  <c r="V211" i="60" s="1"/>
  <c r="U101" i="60"/>
  <c r="U211" i="60" s="1"/>
  <c r="T101" i="60"/>
  <c r="T211" i="60" s="1"/>
  <c r="S101" i="60"/>
  <c r="S211" i="60" s="1"/>
  <c r="R101" i="60"/>
  <c r="R211" i="60" s="1"/>
  <c r="Q101" i="60"/>
  <c r="Q211" i="60" s="1"/>
  <c r="P101" i="60"/>
  <c r="P211" i="60" s="1"/>
  <c r="W100" i="60"/>
  <c r="W210" i="60" s="1"/>
  <c r="V100" i="60"/>
  <c r="V210" i="60" s="1"/>
  <c r="U100" i="60"/>
  <c r="U210" i="60" s="1"/>
  <c r="T100" i="60"/>
  <c r="T210" i="60" s="1"/>
  <c r="S100" i="60"/>
  <c r="S210" i="60" s="1"/>
  <c r="R100" i="60"/>
  <c r="Q100" i="60"/>
  <c r="Q210" i="60" s="1"/>
  <c r="P100" i="60"/>
  <c r="P210" i="60" s="1"/>
  <c r="W99" i="60"/>
  <c r="W209" i="60" s="1"/>
  <c r="V99" i="60"/>
  <c r="V209" i="60" s="1"/>
  <c r="U99" i="60"/>
  <c r="U209" i="60" s="1"/>
  <c r="T99" i="60"/>
  <c r="T209" i="60" s="1"/>
  <c r="S99" i="60"/>
  <c r="S209" i="60" s="1"/>
  <c r="R99" i="60"/>
  <c r="R209" i="60" s="1"/>
  <c r="Q99" i="60"/>
  <c r="Q209" i="60" s="1"/>
  <c r="P99" i="60"/>
  <c r="P209" i="60" s="1"/>
  <c r="W98" i="60"/>
  <c r="W208" i="60" s="1"/>
  <c r="V98" i="60"/>
  <c r="V208" i="60" s="1"/>
  <c r="U98" i="60"/>
  <c r="U208" i="60" s="1"/>
  <c r="T98" i="60"/>
  <c r="T208" i="60" s="1"/>
  <c r="S98" i="60"/>
  <c r="S208" i="60" s="1"/>
  <c r="R98" i="60"/>
  <c r="Q98" i="60"/>
  <c r="Q208" i="60" s="1"/>
  <c r="P98" i="60"/>
  <c r="P208" i="60" s="1"/>
  <c r="W97" i="60"/>
  <c r="W207" i="60" s="1"/>
  <c r="V97" i="60"/>
  <c r="U97" i="60"/>
  <c r="U207" i="60" s="1"/>
  <c r="T97" i="60"/>
  <c r="T207" i="60" s="1"/>
  <c r="S97" i="60"/>
  <c r="S207" i="60" s="1"/>
  <c r="R97" i="60"/>
  <c r="R207" i="60" s="1"/>
  <c r="Q97" i="60"/>
  <c r="Q207" i="60" s="1"/>
  <c r="P97" i="60"/>
  <c r="P207" i="60" s="1"/>
  <c r="W96" i="60"/>
  <c r="W206" i="60" s="1"/>
  <c r="V96" i="60"/>
  <c r="V206" i="60" s="1"/>
  <c r="U96" i="60"/>
  <c r="U206" i="60" s="1"/>
  <c r="T96" i="60"/>
  <c r="T206" i="60" s="1"/>
  <c r="S96" i="60"/>
  <c r="S206" i="60" s="1"/>
  <c r="R96" i="60"/>
  <c r="Q96" i="60"/>
  <c r="Q206" i="60" s="1"/>
  <c r="P96" i="60"/>
  <c r="P206" i="60" s="1"/>
  <c r="W95" i="60"/>
  <c r="W205" i="60" s="1"/>
  <c r="V95" i="60"/>
  <c r="U95" i="60"/>
  <c r="U205" i="60" s="1"/>
  <c r="T95" i="60"/>
  <c r="T205" i="60" s="1"/>
  <c r="S95" i="60"/>
  <c r="S205" i="60" s="1"/>
  <c r="R95" i="60"/>
  <c r="R205" i="60" s="1"/>
  <c r="Q95" i="60"/>
  <c r="Q205" i="60" s="1"/>
  <c r="P95" i="60"/>
  <c r="P205" i="60" s="1"/>
  <c r="W94" i="60"/>
  <c r="W204" i="60" s="1"/>
  <c r="V94" i="60"/>
  <c r="V204" i="60" s="1"/>
  <c r="U94" i="60"/>
  <c r="U204" i="60" s="1"/>
  <c r="T94" i="60"/>
  <c r="T204" i="60" s="1"/>
  <c r="S94" i="60"/>
  <c r="S204" i="60" s="1"/>
  <c r="R94" i="60"/>
  <c r="Q94" i="60"/>
  <c r="Q204" i="60" s="1"/>
  <c r="P94" i="60"/>
  <c r="P204" i="60" s="1"/>
  <c r="W93" i="60"/>
  <c r="W203" i="60" s="1"/>
  <c r="V93" i="60"/>
  <c r="V203" i="60" s="1"/>
  <c r="U93" i="60"/>
  <c r="U203" i="60" s="1"/>
  <c r="T93" i="60"/>
  <c r="T203" i="60" s="1"/>
  <c r="S93" i="60"/>
  <c r="S203" i="60" s="1"/>
  <c r="R93" i="60"/>
  <c r="R203" i="60" s="1"/>
  <c r="Q93" i="60"/>
  <c r="Q203" i="60" s="1"/>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AA391" i="60"/>
  <c r="Z391" i="60"/>
  <c r="Y391" i="60"/>
  <c r="X391" i="60"/>
  <c r="S391" i="60"/>
  <c r="R391" i="60"/>
  <c r="Q391" i="60"/>
  <c r="P391" i="60"/>
  <c r="AA389" i="60"/>
  <c r="Z389" i="60"/>
  <c r="Y389" i="60"/>
  <c r="X389" i="60"/>
  <c r="S389" i="60"/>
  <c r="R389" i="60"/>
  <c r="Q389" i="60"/>
  <c r="P389" i="60"/>
  <c r="AA387" i="60"/>
  <c r="Z387" i="60"/>
  <c r="Y387" i="60"/>
  <c r="X387" i="60"/>
  <c r="S387" i="60"/>
  <c r="R387" i="60"/>
  <c r="Q387" i="60"/>
  <c r="P387" i="60"/>
  <c r="AA385" i="60"/>
  <c r="Z385" i="60"/>
  <c r="Y385" i="60"/>
  <c r="X385" i="60"/>
  <c r="S385" i="60"/>
  <c r="R385" i="60"/>
  <c r="Q385" i="60"/>
  <c r="P385" i="60"/>
  <c r="AA377" i="60"/>
  <c r="Z377" i="60"/>
  <c r="Y377" i="60"/>
  <c r="X377" i="60"/>
  <c r="S377" i="60"/>
  <c r="R377" i="60"/>
  <c r="Q377" i="60"/>
  <c r="P377" i="60"/>
  <c r="AA376" i="60"/>
  <c r="Z376" i="60"/>
  <c r="Y376" i="60"/>
  <c r="X376" i="60"/>
  <c r="S376" i="60"/>
  <c r="R376" i="60"/>
  <c r="Q376" i="60"/>
  <c r="P376" i="60"/>
  <c r="AA375" i="60"/>
  <c r="Z375" i="60"/>
  <c r="Y375" i="60"/>
  <c r="X375" i="60"/>
  <c r="S375" i="60"/>
  <c r="R375" i="60"/>
  <c r="Q375" i="60"/>
  <c r="P375" i="60"/>
  <c r="AA374" i="60"/>
  <c r="Z374" i="60"/>
  <c r="Y374" i="60"/>
  <c r="X374" i="60"/>
  <c r="S374" i="60"/>
  <c r="R374" i="60"/>
  <c r="Q374" i="60"/>
  <c r="P374" i="60"/>
  <c r="W289" i="60"/>
  <c r="W244" i="60"/>
  <c r="W282" i="60"/>
  <c r="W237" i="60"/>
  <c r="V289" i="60"/>
  <c r="V244" i="60"/>
  <c r="V282" i="60"/>
  <c r="V237" i="60"/>
  <c r="U289" i="60"/>
  <c r="U244" i="60"/>
  <c r="U282" i="60"/>
  <c r="U237" i="60"/>
  <c r="T289" i="60"/>
  <c r="T244" i="60"/>
  <c r="T282" i="60"/>
  <c r="T237" i="60"/>
  <c r="Z43" i="60" l="1"/>
  <c r="Z40" i="60"/>
  <c r="Z48" i="60"/>
  <c r="S11" i="60"/>
  <c r="S29" i="60"/>
  <c r="Q26" i="60"/>
  <c r="AA18" i="60"/>
  <c r="S18" i="60"/>
  <c r="AA20" i="60"/>
  <c r="S20" i="60"/>
  <c r="S22" i="60"/>
  <c r="S24" i="60"/>
  <c r="AA24" i="60"/>
  <c r="AA26" i="60"/>
  <c r="S26" i="60"/>
  <c r="AA28" i="60"/>
  <c r="S28" i="60"/>
  <c r="S30" i="60"/>
  <c r="S32" i="60"/>
  <c r="AA32" i="60"/>
  <c r="AA34" i="60"/>
  <c r="S34" i="60"/>
  <c r="AA37" i="60"/>
  <c r="S37" i="60"/>
  <c r="AA39" i="60"/>
  <c r="S41" i="60"/>
  <c r="AA43" i="60"/>
  <c r="S43" i="60"/>
  <c r="AA45" i="60"/>
  <c r="S45" i="60"/>
  <c r="AA47" i="60"/>
  <c r="S47" i="60"/>
  <c r="AA49" i="60"/>
  <c r="S49" i="60"/>
  <c r="AA51" i="60"/>
  <c r="S51" i="60"/>
  <c r="AA53" i="60"/>
  <c r="S53" i="60"/>
  <c r="S55" i="60"/>
  <c r="AA55" i="60"/>
  <c r="AA60" i="60"/>
  <c r="S60" i="60"/>
  <c r="S66" i="60"/>
  <c r="AA66" i="60"/>
  <c r="AA69" i="60"/>
  <c r="S69" i="60"/>
  <c r="AA71" i="60"/>
  <c r="S71" i="60"/>
  <c r="AA166" i="60"/>
  <c r="S166" i="60"/>
  <c r="AA175" i="60"/>
  <c r="S175" i="60"/>
  <c r="AA178" i="60"/>
  <c r="S178" i="60"/>
  <c r="AA180" i="60"/>
  <c r="S180" i="60"/>
  <c r="S230" i="60"/>
  <c r="W230" i="60"/>
  <c r="S232" i="60"/>
  <c r="W232" i="60"/>
  <c r="S234" i="60"/>
  <c r="W234" i="60"/>
  <c r="S236" i="60"/>
  <c r="W236" i="60"/>
  <c r="S239" i="60"/>
  <c r="W239" i="60"/>
  <c r="S241" i="60"/>
  <c r="W241" i="60"/>
  <c r="W243" i="60"/>
  <c r="S243" i="60"/>
  <c r="W246" i="60"/>
  <c r="S246" i="60"/>
  <c r="W248" i="60"/>
  <c r="S248" i="60"/>
  <c r="AA373" i="60"/>
  <c r="S373" i="60"/>
  <c r="S379" i="60"/>
  <c r="AA379" i="60"/>
  <c r="AA395" i="60"/>
  <c r="S395" i="60"/>
  <c r="AA398" i="60"/>
  <c r="S398" i="60"/>
  <c r="S400" i="60"/>
  <c r="AA400" i="60"/>
  <c r="S12" i="60"/>
  <c r="AA13" i="60"/>
  <c r="AA22" i="60"/>
  <c r="X9" i="60"/>
  <c r="P9" i="60"/>
  <c r="X11" i="60"/>
  <c r="P11" i="60"/>
  <c r="X13" i="60"/>
  <c r="P13" i="60"/>
  <c r="X15" i="60"/>
  <c r="P15" i="60"/>
  <c r="X17" i="60"/>
  <c r="P17" i="60"/>
  <c r="X19" i="60"/>
  <c r="P19" i="60"/>
  <c r="X21" i="60"/>
  <c r="P21" i="60"/>
  <c r="X23" i="60"/>
  <c r="P23" i="60"/>
  <c r="X25" i="60"/>
  <c r="P25" i="60"/>
  <c r="X27" i="60"/>
  <c r="P27" i="60"/>
  <c r="X29" i="60"/>
  <c r="P29" i="60"/>
  <c r="X31" i="60"/>
  <c r="P31" i="60"/>
  <c r="X33" i="60"/>
  <c r="P33" i="60"/>
  <c r="P36" i="60"/>
  <c r="P38" i="60"/>
  <c r="X38" i="60"/>
  <c r="X40" i="60"/>
  <c r="P40" i="60"/>
  <c r="X42" i="60"/>
  <c r="P42" i="60"/>
  <c r="X44" i="60"/>
  <c r="P44" i="60"/>
  <c r="X46" i="60"/>
  <c r="P46" i="60"/>
  <c r="X48" i="60"/>
  <c r="P48" i="60"/>
  <c r="X50" i="60"/>
  <c r="P50" i="60"/>
  <c r="X52" i="60"/>
  <c r="P52" i="60"/>
  <c r="X54" i="60"/>
  <c r="P54" i="60"/>
  <c r="X56" i="60"/>
  <c r="P56" i="60"/>
  <c r="X65" i="60"/>
  <c r="P65" i="60"/>
  <c r="X68" i="60"/>
  <c r="P68" i="60"/>
  <c r="X70" i="60"/>
  <c r="P70" i="60"/>
  <c r="X170" i="60"/>
  <c r="P170" i="60"/>
  <c r="P176" i="60"/>
  <c r="X176" i="60"/>
  <c r="P179" i="60"/>
  <c r="X179" i="60"/>
  <c r="X181" i="60"/>
  <c r="P181" i="60"/>
  <c r="P231" i="60"/>
  <c r="T231" i="60"/>
  <c r="P233" i="60"/>
  <c r="T233" i="60"/>
  <c r="P235" i="60"/>
  <c r="T235" i="60"/>
  <c r="T238" i="60"/>
  <c r="P238" i="60"/>
  <c r="T240" i="60"/>
  <c r="P240" i="60"/>
  <c r="T242" i="60"/>
  <c r="P242" i="60"/>
  <c r="T245" i="60"/>
  <c r="P245" i="60"/>
  <c r="T247" i="60"/>
  <c r="P247" i="60"/>
  <c r="X369" i="60"/>
  <c r="P369" i="60"/>
  <c r="P378" i="60"/>
  <c r="X378" i="60"/>
  <c r="P393" i="60"/>
  <c r="X393" i="60"/>
  <c r="X397" i="60"/>
  <c r="P397" i="60"/>
  <c r="P399" i="60"/>
  <c r="X399" i="60"/>
  <c r="S9" i="60"/>
  <c r="AA10" i="60"/>
  <c r="S17" i="60"/>
  <c r="S39" i="60"/>
  <c r="Y9" i="60"/>
  <c r="Q9" i="60"/>
  <c r="Y11" i="60"/>
  <c r="Q11" i="60"/>
  <c r="Y13" i="60"/>
  <c r="Q13" i="60"/>
  <c r="Y15" i="60"/>
  <c r="Q15" i="60"/>
  <c r="Y17" i="60"/>
  <c r="Q17" i="60"/>
  <c r="Y19" i="60"/>
  <c r="Q19" i="60"/>
  <c r="Y21" i="60"/>
  <c r="Q21" i="60"/>
  <c r="Y23" i="60"/>
  <c r="Q23" i="60"/>
  <c r="Y25" i="60"/>
  <c r="Q25" i="60"/>
  <c r="Q27" i="60"/>
  <c r="Q29" i="60"/>
  <c r="Y29" i="60"/>
  <c r="Y31" i="60"/>
  <c r="Q31" i="60"/>
  <c r="Y33" i="60"/>
  <c r="Q33" i="60"/>
  <c r="Y36" i="60"/>
  <c r="Q36" i="60"/>
  <c r="Y38" i="60"/>
  <c r="Q38" i="60"/>
  <c r="Y40" i="60"/>
  <c r="Q40" i="60"/>
  <c r="Y42" i="60"/>
  <c r="Q42" i="60"/>
  <c r="Y44" i="60"/>
  <c r="Q44" i="60"/>
  <c r="Q46" i="60"/>
  <c r="Y46" i="60"/>
  <c r="Q48" i="60"/>
  <c r="Y48" i="60"/>
  <c r="Q50" i="60"/>
  <c r="Y50" i="60"/>
  <c r="Y52" i="60"/>
  <c r="Q52" i="60"/>
  <c r="Y54" i="60"/>
  <c r="Q54" i="60"/>
  <c r="Y56" i="60"/>
  <c r="Q56" i="60"/>
  <c r="Q65" i="60"/>
  <c r="Y65" i="60"/>
  <c r="Y68" i="60"/>
  <c r="Q68" i="60"/>
  <c r="Y70" i="60"/>
  <c r="Q70" i="60"/>
  <c r="Y170" i="60"/>
  <c r="Q170" i="60"/>
  <c r="Q176" i="60"/>
  <c r="Y176" i="60"/>
  <c r="Y179" i="60"/>
  <c r="Q179" i="60"/>
  <c r="Y181" i="60"/>
  <c r="Q181" i="60"/>
  <c r="U231" i="60"/>
  <c r="Q231" i="60"/>
  <c r="U233" i="60"/>
  <c r="Q233" i="60"/>
  <c r="U235" i="60"/>
  <c r="Q235" i="60"/>
  <c r="U238" i="60"/>
  <c r="Q238" i="60"/>
  <c r="U240" i="60"/>
  <c r="Q240" i="60"/>
  <c r="U242" i="60"/>
  <c r="Q242" i="60"/>
  <c r="U245" i="60"/>
  <c r="Q245" i="60"/>
  <c r="U247" i="60"/>
  <c r="Q247" i="60"/>
  <c r="Y369" i="60"/>
  <c r="Q369" i="60"/>
  <c r="Y378" i="60"/>
  <c r="Q378" i="60"/>
  <c r="Y393" i="60"/>
  <c r="Q393" i="60"/>
  <c r="Q397" i="60"/>
  <c r="Y397" i="60"/>
  <c r="Y399" i="60"/>
  <c r="Q399" i="60"/>
  <c r="S14" i="60"/>
  <c r="AA15" i="60"/>
  <c r="X36" i="60"/>
  <c r="Z9" i="60"/>
  <c r="R9" i="60"/>
  <c r="Z11" i="60"/>
  <c r="R11" i="60"/>
  <c r="Z13" i="60"/>
  <c r="R13" i="60"/>
  <c r="Z15" i="60"/>
  <c r="R15" i="60"/>
  <c r="Z17" i="60"/>
  <c r="R17" i="60"/>
  <c r="Z19" i="60"/>
  <c r="R19" i="60"/>
  <c r="Z21" i="60"/>
  <c r="R21" i="60"/>
  <c r="Z23" i="60"/>
  <c r="R23" i="60"/>
  <c r="Z25" i="60"/>
  <c r="R25" i="60"/>
  <c r="Z27" i="60"/>
  <c r="R27" i="60"/>
  <c r="Z29" i="60"/>
  <c r="R29" i="60"/>
  <c r="Z31" i="60"/>
  <c r="R31" i="60"/>
  <c r="Z33" i="60"/>
  <c r="R33" i="60"/>
  <c r="R36" i="60"/>
  <c r="Z36" i="60"/>
  <c r="Z38" i="60"/>
  <c r="R40" i="60"/>
  <c r="R42" i="60"/>
  <c r="Z42" i="60"/>
  <c r="Z44" i="60"/>
  <c r="R44" i="60"/>
  <c r="Z46" i="60"/>
  <c r="R46" i="60"/>
  <c r="R48" i="60"/>
  <c r="Z50" i="60"/>
  <c r="R50" i="60"/>
  <c r="Z52" i="60"/>
  <c r="R52" i="60"/>
  <c r="Z54" i="60"/>
  <c r="R54" i="60"/>
  <c r="Z56" i="60"/>
  <c r="R56" i="60"/>
  <c r="Z65" i="60"/>
  <c r="R65" i="60"/>
  <c r="Z68" i="60"/>
  <c r="R68" i="60"/>
  <c r="R70" i="60"/>
  <c r="Z70" i="60"/>
  <c r="Z170" i="60"/>
  <c r="R170" i="60"/>
  <c r="Z176" i="60"/>
  <c r="R176" i="60"/>
  <c r="Z179" i="60"/>
  <c r="R179" i="60"/>
  <c r="Z181" i="60"/>
  <c r="R181" i="60"/>
  <c r="V231" i="60"/>
  <c r="R231" i="60"/>
  <c r="V233" i="60"/>
  <c r="R233" i="60"/>
  <c r="V235" i="60"/>
  <c r="R235" i="60"/>
  <c r="V238" i="60"/>
  <c r="R238" i="60"/>
  <c r="V240" i="60"/>
  <c r="R240" i="60"/>
  <c r="V242" i="60"/>
  <c r="R242" i="60"/>
  <c r="V245" i="60"/>
  <c r="R245" i="60"/>
  <c r="R247" i="60"/>
  <c r="V247" i="60"/>
  <c r="Z369" i="60"/>
  <c r="R369" i="60"/>
  <c r="Z378" i="60"/>
  <c r="R378" i="60"/>
  <c r="R393" i="60"/>
  <c r="Z393" i="60"/>
  <c r="R397" i="60"/>
  <c r="Z397" i="60"/>
  <c r="Z399" i="60"/>
  <c r="R399" i="60"/>
  <c r="AA12" i="60"/>
  <c r="AA41" i="60"/>
  <c r="AA19" i="60"/>
  <c r="S19" i="60"/>
  <c r="AA21" i="60"/>
  <c r="S21" i="60"/>
  <c r="AA23" i="60"/>
  <c r="S23" i="60"/>
  <c r="AA25" i="60"/>
  <c r="S25" i="60"/>
  <c r="S27" i="60"/>
  <c r="AA27" i="60"/>
  <c r="AA29" i="60"/>
  <c r="AA31" i="60"/>
  <c r="S31" i="60"/>
  <c r="AA33" i="60"/>
  <c r="S33" i="60"/>
  <c r="S36" i="60"/>
  <c r="AA36" i="60"/>
  <c r="AA38" i="60"/>
  <c r="S38" i="60"/>
  <c r="S40" i="60"/>
  <c r="AA40" i="60"/>
  <c r="AA42" i="60"/>
  <c r="S42" i="60"/>
  <c r="AA44" i="60"/>
  <c r="S44" i="60"/>
  <c r="AA46" i="60"/>
  <c r="S46" i="60"/>
  <c r="AA48" i="60"/>
  <c r="S48" i="60"/>
  <c r="AA50" i="60"/>
  <c r="S50" i="60"/>
  <c r="AA52" i="60"/>
  <c r="S52" i="60"/>
  <c r="AA54" i="60"/>
  <c r="S54" i="60"/>
  <c r="S56" i="60"/>
  <c r="AA56" i="60"/>
  <c r="AA65" i="60"/>
  <c r="S65" i="60"/>
  <c r="AA68" i="60"/>
  <c r="S68" i="60"/>
  <c r="AA70" i="60"/>
  <c r="S70" i="60"/>
  <c r="AA170" i="60"/>
  <c r="S170" i="60"/>
  <c r="AA176" i="60"/>
  <c r="S176" i="60"/>
  <c r="AA179" i="60"/>
  <c r="S179" i="60"/>
  <c r="AA181" i="60"/>
  <c r="S181" i="60"/>
  <c r="W231" i="60"/>
  <c r="S231" i="60"/>
  <c r="W233" i="60"/>
  <c r="S233" i="60"/>
  <c r="W235" i="60"/>
  <c r="S235" i="60"/>
  <c r="W238" i="60"/>
  <c r="S238" i="60"/>
  <c r="W240" i="60"/>
  <c r="S240" i="60"/>
  <c r="W242" i="60"/>
  <c r="S242" i="60"/>
  <c r="S245" i="60"/>
  <c r="W245" i="60"/>
  <c r="S247" i="60"/>
  <c r="W247" i="60"/>
  <c r="AA369" i="60"/>
  <c r="S369" i="60"/>
  <c r="AA378" i="60"/>
  <c r="S378" i="60"/>
  <c r="AA393" i="60"/>
  <c r="S393" i="60"/>
  <c r="AA397" i="60"/>
  <c r="S397" i="60"/>
  <c r="AA399" i="60"/>
  <c r="S399" i="60"/>
  <c r="S8" i="60"/>
  <c r="AA9" i="60"/>
  <c r="S16" i="60"/>
  <c r="AA17" i="60"/>
  <c r="X8" i="60"/>
  <c r="P8" i="60"/>
  <c r="X10" i="60"/>
  <c r="P10" i="60"/>
  <c r="X12" i="60"/>
  <c r="P12" i="60"/>
  <c r="X14" i="60"/>
  <c r="P14" i="60"/>
  <c r="X16" i="60"/>
  <c r="P16" i="60"/>
  <c r="X18" i="60"/>
  <c r="P18" i="60"/>
  <c r="X20" i="60"/>
  <c r="P20" i="60"/>
  <c r="X22" i="60"/>
  <c r="P22" i="60"/>
  <c r="X24" i="60"/>
  <c r="P24" i="60"/>
  <c r="X26" i="60"/>
  <c r="P26" i="60"/>
  <c r="X28" i="60"/>
  <c r="P28" i="60"/>
  <c r="X30" i="60"/>
  <c r="P30" i="60"/>
  <c r="X32" i="60"/>
  <c r="P32" i="60"/>
  <c r="X34" i="60"/>
  <c r="P34" i="60"/>
  <c r="X37" i="60"/>
  <c r="P37" i="60"/>
  <c r="X39" i="60"/>
  <c r="P39" i="60"/>
  <c r="X41" i="60"/>
  <c r="P41" i="60"/>
  <c r="X43" i="60"/>
  <c r="P43" i="60"/>
  <c r="X45" i="60"/>
  <c r="P45" i="60"/>
  <c r="X47" i="60"/>
  <c r="P47" i="60"/>
  <c r="X49" i="60"/>
  <c r="P49" i="60"/>
  <c r="X51" i="60"/>
  <c r="P51" i="60"/>
  <c r="X53" i="60"/>
  <c r="P53" i="60"/>
  <c r="X55" i="60"/>
  <c r="P55" i="60"/>
  <c r="X60" i="60"/>
  <c r="P60" i="60"/>
  <c r="X66" i="60"/>
  <c r="P66" i="60"/>
  <c r="P69" i="60"/>
  <c r="X69" i="60"/>
  <c r="X71" i="60"/>
  <c r="P71" i="60"/>
  <c r="P166" i="60"/>
  <c r="X166" i="60"/>
  <c r="X175" i="60"/>
  <c r="P175" i="60"/>
  <c r="X178" i="60"/>
  <c r="P178" i="60"/>
  <c r="X180" i="60"/>
  <c r="P180" i="60"/>
  <c r="T230" i="60"/>
  <c r="P230" i="60"/>
  <c r="T232" i="60"/>
  <c r="P232" i="60"/>
  <c r="T234" i="60"/>
  <c r="P234" i="60"/>
  <c r="T236" i="60"/>
  <c r="P236" i="60"/>
  <c r="P239" i="60"/>
  <c r="T239" i="60"/>
  <c r="P241" i="60"/>
  <c r="T241" i="60"/>
  <c r="P243" i="60"/>
  <c r="T243" i="60"/>
  <c r="P246" i="60"/>
  <c r="T246" i="60"/>
  <c r="P248" i="60"/>
  <c r="T248" i="60"/>
  <c r="P373" i="60"/>
  <c r="X373" i="60"/>
  <c r="X379" i="60"/>
  <c r="P379" i="60"/>
  <c r="X395" i="60"/>
  <c r="P395" i="60"/>
  <c r="P398" i="60"/>
  <c r="X398" i="60"/>
  <c r="X400" i="60"/>
  <c r="P400" i="60"/>
  <c r="S13" i="60"/>
  <c r="AA14" i="60"/>
  <c r="Y27" i="60"/>
  <c r="AA30" i="60"/>
  <c r="Y8" i="60"/>
  <c r="Q8" i="60"/>
  <c r="Y10" i="60"/>
  <c r="Q10" i="60"/>
  <c r="Y12" i="60"/>
  <c r="Q12" i="60"/>
  <c r="Y14" i="60"/>
  <c r="Q14" i="60"/>
  <c r="Y16" i="60"/>
  <c r="Q16" i="60"/>
  <c r="Y18" i="60"/>
  <c r="Q18" i="60"/>
  <c r="Y20" i="60"/>
  <c r="Q20" i="60"/>
  <c r="Y22" i="60"/>
  <c r="Q22" i="60"/>
  <c r="Q24" i="60"/>
  <c r="Y24" i="60"/>
  <c r="Y26" i="60"/>
  <c r="Y28" i="60"/>
  <c r="Q28" i="60"/>
  <c r="Y30" i="60"/>
  <c r="Q30" i="60"/>
  <c r="Q32" i="60"/>
  <c r="Y32" i="60"/>
  <c r="Y34" i="60"/>
  <c r="Y37" i="60"/>
  <c r="Q37" i="60"/>
  <c r="Y39" i="60"/>
  <c r="Q39" i="60"/>
  <c r="Y41" i="60"/>
  <c r="Q41" i="60"/>
  <c r="Y43" i="60"/>
  <c r="Q43" i="60"/>
  <c r="Q45" i="60"/>
  <c r="Y47" i="60"/>
  <c r="Q47" i="60"/>
  <c r="Y49" i="60"/>
  <c r="Q49" i="60"/>
  <c r="Y51" i="60"/>
  <c r="Q51" i="60"/>
  <c r="Q53" i="60"/>
  <c r="Y53" i="60"/>
  <c r="Q55" i="60"/>
  <c r="Y55" i="60"/>
  <c r="Y60" i="60"/>
  <c r="Q60" i="60"/>
  <c r="Y66" i="60"/>
  <c r="Q66" i="60"/>
  <c r="Y69" i="60"/>
  <c r="Q69" i="60"/>
  <c r="Y71" i="60"/>
  <c r="Q71" i="60"/>
  <c r="Q166" i="60"/>
  <c r="Y166" i="60"/>
  <c r="Y175" i="60"/>
  <c r="Q175" i="60"/>
  <c r="Y178" i="60"/>
  <c r="Q178" i="60"/>
  <c r="Q180" i="60"/>
  <c r="Y180" i="60"/>
  <c r="U230" i="60"/>
  <c r="Q230" i="60"/>
  <c r="Q232" i="60"/>
  <c r="U232" i="60"/>
  <c r="Q234" i="60"/>
  <c r="U234" i="60"/>
  <c r="Q236" i="60"/>
  <c r="U236" i="60"/>
  <c r="Q239" i="60"/>
  <c r="U239" i="60"/>
  <c r="Q241" i="60"/>
  <c r="U241" i="60"/>
  <c r="Q243" i="60"/>
  <c r="U243" i="60"/>
  <c r="Q246" i="60"/>
  <c r="U246" i="60"/>
  <c r="U248" i="60"/>
  <c r="Q248" i="60"/>
  <c r="Y373" i="60"/>
  <c r="Q373" i="60"/>
  <c r="Q379" i="60"/>
  <c r="Y379" i="60"/>
  <c r="Q395" i="60"/>
  <c r="Y395" i="60"/>
  <c r="Q398" i="60"/>
  <c r="Y398" i="60"/>
  <c r="Q400" i="60"/>
  <c r="Y400" i="60"/>
  <c r="S10" i="60"/>
  <c r="AA11" i="60"/>
  <c r="Z8" i="60"/>
  <c r="R8" i="60"/>
  <c r="Z10" i="60"/>
  <c r="R10" i="60"/>
  <c r="Z12" i="60"/>
  <c r="R12" i="60"/>
  <c r="Z14" i="60"/>
  <c r="R14" i="60"/>
  <c r="Z16" i="60"/>
  <c r="R16" i="60"/>
  <c r="Z18" i="60"/>
  <c r="R18" i="60"/>
  <c r="Z20" i="60"/>
  <c r="R20" i="60"/>
  <c r="Z22" i="60"/>
  <c r="R22" i="60"/>
  <c r="Z24" i="60"/>
  <c r="R24" i="60"/>
  <c r="Z26" i="60"/>
  <c r="R26" i="60"/>
  <c r="Z28" i="60"/>
  <c r="R28" i="60"/>
  <c r="Z30" i="60"/>
  <c r="R30" i="60"/>
  <c r="Z32" i="60"/>
  <c r="R32" i="60"/>
  <c r="Z34" i="60"/>
  <c r="R34" i="60"/>
  <c r="Z37" i="60"/>
  <c r="R37" i="60"/>
  <c r="Z39" i="60"/>
  <c r="R39" i="60"/>
  <c r="Z41" i="60"/>
  <c r="R41" i="60"/>
  <c r="R43" i="60"/>
  <c r="R45" i="60"/>
  <c r="Z45" i="60"/>
  <c r="Z47" i="60"/>
  <c r="R47" i="60"/>
  <c r="R49" i="60"/>
  <c r="Z49" i="60"/>
  <c r="Z51" i="60"/>
  <c r="R51" i="60"/>
  <c r="R53" i="60"/>
  <c r="Z53" i="60"/>
  <c r="Z55" i="60"/>
  <c r="R55" i="60"/>
  <c r="Z60" i="60"/>
  <c r="R60" i="60"/>
  <c r="R66" i="60"/>
  <c r="Z66" i="60"/>
  <c r="R69" i="60"/>
  <c r="Z69" i="60"/>
  <c r="Z71" i="60"/>
  <c r="R71" i="60"/>
  <c r="Z166" i="60"/>
  <c r="R166" i="60"/>
  <c r="Z175" i="60"/>
  <c r="R175" i="60"/>
  <c r="Z178" i="60"/>
  <c r="R178" i="60"/>
  <c r="Z180" i="60"/>
  <c r="R180" i="60"/>
  <c r="R230" i="60"/>
  <c r="V230" i="60"/>
  <c r="R232" i="60"/>
  <c r="V232" i="60"/>
  <c r="R234" i="60"/>
  <c r="V234" i="60"/>
  <c r="R236" i="60"/>
  <c r="V236" i="60"/>
  <c r="R239" i="60"/>
  <c r="V239" i="60"/>
  <c r="R241" i="60"/>
  <c r="V241" i="60"/>
  <c r="R243" i="60"/>
  <c r="V243" i="60"/>
  <c r="R246" i="60"/>
  <c r="V246" i="60"/>
  <c r="V248" i="60"/>
  <c r="R248" i="60"/>
  <c r="Z373" i="60"/>
  <c r="R373" i="60"/>
  <c r="Z379" i="60"/>
  <c r="R379" i="60"/>
  <c r="Z395" i="60"/>
  <c r="R395" i="60"/>
  <c r="Z398" i="60"/>
  <c r="R398" i="60"/>
  <c r="R400" i="60"/>
  <c r="Z400" i="60"/>
  <c r="AA8" i="60"/>
  <c r="S15" i="60"/>
  <c r="AA16" i="60"/>
  <c r="Q34" i="60"/>
  <c r="R38" i="60"/>
  <c r="Y45" i="60"/>
  <c r="O231" i="60"/>
  <c r="M268" i="60"/>
  <c r="M313" i="60" s="1"/>
  <c r="O247" i="60"/>
  <c r="L243" i="60"/>
  <c r="L245" i="60"/>
  <c r="O248" i="60"/>
  <c r="L268" i="60"/>
  <c r="N95" i="60"/>
  <c r="L303" i="60"/>
  <c r="L306" i="60"/>
  <c r="M296" i="60"/>
  <c r="M302" i="60"/>
  <c r="M304" i="60"/>
  <c r="N264" i="60"/>
  <c r="N268" i="60"/>
  <c r="M110" i="60"/>
  <c r="O253" i="60"/>
  <c r="O307" i="60"/>
  <c r="O264" i="60"/>
  <c r="O309" i="60" s="1"/>
  <c r="O268" i="60"/>
  <c r="O95" i="60"/>
  <c r="O205" i="60" s="1"/>
  <c r="L96" i="60"/>
  <c r="L206" i="60" s="1"/>
  <c r="M252" i="60"/>
  <c r="O99" i="60"/>
  <c r="O209" i="60" s="1"/>
  <c r="L106" i="60"/>
  <c r="L216" i="60" s="1"/>
  <c r="N103" i="60"/>
  <c r="N213" i="60" s="1"/>
  <c r="M106" i="60"/>
  <c r="L253" i="60"/>
  <c r="M254" i="60"/>
  <c r="O103" i="60"/>
  <c r="O213" i="60" s="1"/>
  <c r="L302" i="60"/>
  <c r="L258" i="60"/>
  <c r="M307" i="60"/>
  <c r="O104" i="60"/>
  <c r="O214" i="60" s="1"/>
  <c r="M258" i="60"/>
  <c r="M93" i="60"/>
  <c r="M203" i="60" s="1"/>
  <c r="O261" i="60"/>
  <c r="M35" i="60"/>
  <c r="L110" i="60"/>
  <c r="L220" i="60" s="1"/>
  <c r="L254" i="60"/>
  <c r="L262" i="60"/>
  <c r="N110" i="60"/>
  <c r="N220" i="60" s="1"/>
  <c r="M306" i="60"/>
  <c r="O262" i="60"/>
  <c r="M96" i="60"/>
  <c r="M206" i="60" s="1"/>
  <c r="W224" i="60"/>
  <c r="W110" i="59" s="1"/>
  <c r="W116" i="59" s="1"/>
  <c r="L299" i="60"/>
  <c r="O255" i="60"/>
  <c r="N263" i="60"/>
  <c r="N308" i="60" s="1"/>
  <c r="P224" i="60"/>
  <c r="P110" i="59" s="1"/>
  <c r="P116" i="59" s="1"/>
  <c r="M99" i="60"/>
  <c r="M209" i="60" s="1"/>
  <c r="M256" i="60"/>
  <c r="O263" i="60"/>
  <c r="O308" i="60" s="1"/>
  <c r="N99" i="60"/>
  <c r="N209" i="60" s="1"/>
  <c r="U112" i="60"/>
  <c r="U222" i="60" s="1"/>
  <c r="M300" i="60"/>
  <c r="O257" i="60"/>
  <c r="O266" i="60"/>
  <c r="L100" i="60"/>
  <c r="L210" i="60" s="1"/>
  <c r="L104" i="60"/>
  <c r="L214" i="60" s="1"/>
  <c r="N93" i="60"/>
  <c r="N203" i="60" s="1"/>
  <c r="M97" i="60"/>
  <c r="M207" i="60" s="1"/>
  <c r="M101" i="60"/>
  <c r="M211" i="60" s="1"/>
  <c r="L251" i="60"/>
  <c r="L255" i="60"/>
  <c r="L259" i="60"/>
  <c r="O93" i="60"/>
  <c r="O203" i="60" s="1"/>
  <c r="N97" i="60"/>
  <c r="N101" i="60"/>
  <c r="N211" i="60" s="1"/>
  <c r="M105" i="60"/>
  <c r="M215" i="60" s="1"/>
  <c r="N106" i="60"/>
  <c r="N216" i="60" s="1"/>
  <c r="L108" i="60"/>
  <c r="L218" i="60" s="1"/>
  <c r="O251" i="60"/>
  <c r="O259" i="60"/>
  <c r="N35" i="60"/>
  <c r="L94" i="60"/>
  <c r="L204" i="60" s="1"/>
  <c r="O97" i="60"/>
  <c r="O207" i="60" s="1"/>
  <c r="O101" i="60"/>
  <c r="O211" i="60" s="1"/>
  <c r="N105" i="60"/>
  <c r="N215" i="60" s="1"/>
  <c r="O106" i="60"/>
  <c r="O216" i="60" s="1"/>
  <c r="U109" i="60"/>
  <c r="U219" i="60" s="1"/>
  <c r="O110" i="60"/>
  <c r="O220" i="60" s="1"/>
  <c r="L300" i="60"/>
  <c r="L256" i="60"/>
  <c r="N256" i="60"/>
  <c r="L304" i="60"/>
  <c r="L260" i="60"/>
  <c r="V35" i="60"/>
  <c r="S35" i="60"/>
  <c r="M95" i="60"/>
  <c r="M205" i="60" s="1"/>
  <c r="S224" i="60"/>
  <c r="S110" i="59" s="1"/>
  <c r="S116" i="59" s="1"/>
  <c r="L98" i="60"/>
  <c r="L208" i="60" s="1"/>
  <c r="L102" i="60"/>
  <c r="L212" i="60" s="1"/>
  <c r="Q107" i="60"/>
  <c r="Q217" i="60" s="1"/>
  <c r="Q111" i="60"/>
  <c r="Q221" i="60" s="1"/>
  <c r="N252" i="60"/>
  <c r="M260" i="60"/>
  <c r="N305" i="60"/>
  <c r="AA35" i="60"/>
  <c r="T224" i="60"/>
  <c r="T110" i="59" s="1"/>
  <c r="T116" i="59" s="1"/>
  <c r="M103" i="60"/>
  <c r="M213" i="60" s="1"/>
  <c r="R107" i="60"/>
  <c r="R217" i="60" s="1"/>
  <c r="N251" i="60"/>
  <c r="L297" i="60"/>
  <c r="L301" i="60"/>
  <c r="L257" i="60"/>
  <c r="N260" i="60"/>
  <c r="L266" i="60"/>
  <c r="L311" i="60" s="1"/>
  <c r="L282" i="60"/>
  <c r="P282" i="60"/>
  <c r="L59" i="60"/>
  <c r="P59" i="60"/>
  <c r="AA402" i="60"/>
  <c r="W402" i="60"/>
  <c r="S169" i="60"/>
  <c r="O169" i="60"/>
  <c r="P370" i="60"/>
  <c r="L370" i="60"/>
  <c r="P371" i="60"/>
  <c r="L371" i="60"/>
  <c r="P372" i="60"/>
  <c r="L372" i="60"/>
  <c r="T177" i="60"/>
  <c r="X177" i="60"/>
  <c r="Q237" i="60"/>
  <c r="M237" i="60"/>
  <c r="M282" i="60"/>
  <c r="Q282" i="60"/>
  <c r="Q57" i="60"/>
  <c r="M57" i="60"/>
  <c r="M58" i="60"/>
  <c r="Q58" i="60"/>
  <c r="M59" i="60"/>
  <c r="Q59" i="60"/>
  <c r="Q244" i="60"/>
  <c r="M244" i="60"/>
  <c r="Z57" i="60"/>
  <c r="V57" i="60"/>
  <c r="Z58" i="60"/>
  <c r="V58" i="60"/>
  <c r="V59" i="60"/>
  <c r="Z59" i="60"/>
  <c r="R177" i="60"/>
  <c r="N177" i="60"/>
  <c r="S403" i="60"/>
  <c r="O403" i="60"/>
  <c r="S404" i="60"/>
  <c r="O404" i="60"/>
  <c r="S405" i="60"/>
  <c r="O405" i="60"/>
  <c r="W67" i="60"/>
  <c r="AA67" i="60"/>
  <c r="P237" i="60"/>
  <c r="L237" i="60"/>
  <c r="P57" i="60"/>
  <c r="L57" i="60"/>
  <c r="U372" i="60"/>
  <c r="Y372" i="60"/>
  <c r="R403" i="60"/>
  <c r="N403" i="60"/>
  <c r="R404" i="60"/>
  <c r="N404" i="60"/>
  <c r="R405" i="60"/>
  <c r="N405" i="60"/>
  <c r="P35" i="60"/>
  <c r="P145" i="60"/>
  <c r="L145" i="60"/>
  <c r="X167" i="60"/>
  <c r="T167" i="60"/>
  <c r="X168" i="60"/>
  <c r="T168" i="60"/>
  <c r="T169" i="60"/>
  <c r="X169" i="60"/>
  <c r="L67" i="60"/>
  <c r="P67" i="60"/>
  <c r="Q370" i="60"/>
  <c r="M370" i="60"/>
  <c r="Q371" i="60"/>
  <c r="M371" i="60"/>
  <c r="Q372" i="60"/>
  <c r="M372" i="60"/>
  <c r="U177" i="60"/>
  <c r="Y177" i="60"/>
  <c r="Z370" i="60"/>
  <c r="V370" i="60"/>
  <c r="Z371" i="60"/>
  <c r="V371" i="60"/>
  <c r="V372" i="60"/>
  <c r="Z372" i="60"/>
  <c r="AA57" i="60"/>
  <c r="AA58" i="60"/>
  <c r="AA59" i="60"/>
  <c r="W59" i="60"/>
  <c r="S177" i="60"/>
  <c r="O177" i="60"/>
  <c r="L247" i="60"/>
  <c r="Q35" i="60"/>
  <c r="P58" i="60"/>
  <c r="L58" i="60"/>
  <c r="Y371" i="60"/>
  <c r="U371" i="60"/>
  <c r="L348" i="60"/>
  <c r="P348" i="60"/>
  <c r="X35" i="60"/>
  <c r="L402" i="60"/>
  <c r="P402" i="60"/>
  <c r="X145" i="60"/>
  <c r="T145" i="60"/>
  <c r="X403" i="60"/>
  <c r="T403" i="60"/>
  <c r="X404" i="60"/>
  <c r="T404" i="60"/>
  <c r="X405" i="60"/>
  <c r="T405" i="60"/>
  <c r="Q145" i="60"/>
  <c r="M145" i="60"/>
  <c r="Y167" i="60"/>
  <c r="U167" i="60"/>
  <c r="Y168" i="60"/>
  <c r="U168" i="60"/>
  <c r="U169" i="60"/>
  <c r="Y169" i="60"/>
  <c r="M67" i="60"/>
  <c r="Q67" i="60"/>
  <c r="R237" i="60"/>
  <c r="N237" i="60"/>
  <c r="R282" i="60"/>
  <c r="N282" i="60"/>
  <c r="R57" i="60"/>
  <c r="R58" i="60"/>
  <c r="N58" i="60"/>
  <c r="N59" i="60"/>
  <c r="R59" i="60"/>
  <c r="R244" i="60"/>
  <c r="N244" i="60"/>
  <c r="AA370" i="60"/>
  <c r="W370" i="60"/>
  <c r="AA371" i="60"/>
  <c r="W371" i="60"/>
  <c r="W372" i="60"/>
  <c r="AA372" i="60"/>
  <c r="S168" i="60"/>
  <c r="O168" i="60"/>
  <c r="X348" i="60"/>
  <c r="T348" i="60"/>
  <c r="T402" i="60"/>
  <c r="X402" i="60"/>
  <c r="P167" i="60"/>
  <c r="L167" i="60"/>
  <c r="P168" i="60"/>
  <c r="L168" i="60"/>
  <c r="P169" i="60"/>
  <c r="L169" i="60"/>
  <c r="L289" i="60"/>
  <c r="P289" i="60"/>
  <c r="M348" i="60"/>
  <c r="Q348" i="60"/>
  <c r="U35" i="60"/>
  <c r="Y35" i="60"/>
  <c r="M402" i="60"/>
  <c r="Q402" i="60"/>
  <c r="U145" i="60"/>
  <c r="Y145" i="60"/>
  <c r="Y403" i="60"/>
  <c r="U403" i="60"/>
  <c r="Y404" i="60"/>
  <c r="U404" i="60"/>
  <c r="Y405" i="60"/>
  <c r="U405" i="60"/>
  <c r="R370" i="60"/>
  <c r="N370" i="60"/>
  <c r="R371" i="60"/>
  <c r="N371" i="60"/>
  <c r="N372" i="60"/>
  <c r="R372" i="60"/>
  <c r="Z177" i="60"/>
  <c r="V177" i="60"/>
  <c r="O237" i="60"/>
  <c r="S237" i="60"/>
  <c r="S282" i="60"/>
  <c r="O282" i="60"/>
  <c r="O57" i="60"/>
  <c r="S57" i="60"/>
  <c r="S58" i="60"/>
  <c r="O58" i="60"/>
  <c r="S59" i="60"/>
  <c r="O59" i="60"/>
  <c r="S244" i="60"/>
  <c r="O244" i="60"/>
  <c r="T35" i="60"/>
  <c r="Y370" i="60"/>
  <c r="U370" i="60"/>
  <c r="V67" i="60"/>
  <c r="Z67" i="60"/>
  <c r="W348" i="60"/>
  <c r="AA348" i="60"/>
  <c r="O167" i="60"/>
  <c r="S167" i="60"/>
  <c r="O289" i="60"/>
  <c r="S289" i="60"/>
  <c r="P403" i="60"/>
  <c r="L403" i="60"/>
  <c r="P404" i="60"/>
  <c r="L404" i="60"/>
  <c r="P405" i="60"/>
  <c r="L405" i="60"/>
  <c r="T67" i="60"/>
  <c r="X67" i="60"/>
  <c r="U348" i="60"/>
  <c r="Y348" i="60"/>
  <c r="U402" i="60"/>
  <c r="Y402" i="60"/>
  <c r="M167" i="60"/>
  <c r="Q167" i="60"/>
  <c r="Q168" i="60"/>
  <c r="M168" i="60"/>
  <c r="Q169" i="60"/>
  <c r="M169" i="60"/>
  <c r="M289" i="60"/>
  <c r="Q289" i="60"/>
  <c r="R35" i="60"/>
  <c r="N145" i="60"/>
  <c r="R145" i="60"/>
  <c r="Z167" i="60"/>
  <c r="V167" i="60"/>
  <c r="Z168" i="60"/>
  <c r="V168" i="60"/>
  <c r="Z169" i="60"/>
  <c r="V169" i="60"/>
  <c r="N67" i="60"/>
  <c r="R67" i="60"/>
  <c r="S370" i="60"/>
  <c r="O370" i="60"/>
  <c r="S371" i="60"/>
  <c r="O371" i="60"/>
  <c r="O372" i="60"/>
  <c r="S372" i="60"/>
  <c r="AA177" i="60"/>
  <c r="W177" i="60"/>
  <c r="W58" i="60"/>
  <c r="L244" i="60"/>
  <c r="P244" i="60"/>
  <c r="X57" i="60"/>
  <c r="T57" i="60"/>
  <c r="T58" i="60"/>
  <c r="X58" i="60"/>
  <c r="T59" i="60"/>
  <c r="X59" i="60"/>
  <c r="L177" i="60"/>
  <c r="P177" i="60"/>
  <c r="Q403" i="60"/>
  <c r="M403" i="60"/>
  <c r="Q404" i="60"/>
  <c r="M404" i="60"/>
  <c r="Q405" i="60"/>
  <c r="M405" i="60"/>
  <c r="U67" i="60"/>
  <c r="Y67" i="60"/>
  <c r="N348" i="60"/>
  <c r="R348" i="60"/>
  <c r="Z35" i="60"/>
  <c r="R402" i="60"/>
  <c r="N402" i="60"/>
  <c r="V145" i="60"/>
  <c r="Z145" i="60"/>
  <c r="Z403" i="60"/>
  <c r="V403" i="60"/>
  <c r="Z404" i="60"/>
  <c r="V404" i="60"/>
  <c r="Z405" i="60"/>
  <c r="V405" i="60"/>
  <c r="O35" i="60"/>
  <c r="S145" i="60"/>
  <c r="O145" i="60"/>
  <c r="AA167" i="60"/>
  <c r="W167" i="60"/>
  <c r="AA168" i="60"/>
  <c r="W168" i="60"/>
  <c r="AA169" i="60"/>
  <c r="W169" i="60"/>
  <c r="O67" i="60"/>
  <c r="S67" i="60"/>
  <c r="X370" i="60"/>
  <c r="T370" i="60"/>
  <c r="X371" i="60"/>
  <c r="T371" i="60"/>
  <c r="X372" i="60"/>
  <c r="T372" i="60"/>
  <c r="Y57" i="60"/>
  <c r="U57" i="60"/>
  <c r="Y58" i="60"/>
  <c r="U58" i="60"/>
  <c r="U59" i="60"/>
  <c r="Y59" i="60"/>
  <c r="M177" i="60"/>
  <c r="Q177" i="60"/>
  <c r="V348" i="60"/>
  <c r="Z348" i="60"/>
  <c r="Z402" i="60"/>
  <c r="V402" i="60"/>
  <c r="R167" i="60"/>
  <c r="N167" i="60"/>
  <c r="R168" i="60"/>
  <c r="N168" i="60"/>
  <c r="R169" i="60"/>
  <c r="N169" i="60"/>
  <c r="N289" i="60"/>
  <c r="R289" i="60"/>
  <c r="S348" i="60"/>
  <c r="O348" i="60"/>
  <c r="W35" i="60"/>
  <c r="S402" i="60"/>
  <c r="O402" i="60"/>
  <c r="W145" i="60"/>
  <c r="AA145" i="60"/>
  <c r="AA403" i="60"/>
  <c r="W403" i="60"/>
  <c r="AA404" i="60"/>
  <c r="W404" i="60"/>
  <c r="AA405" i="60"/>
  <c r="W405" i="60"/>
  <c r="L35" i="60"/>
  <c r="N57" i="60"/>
  <c r="W57" i="60"/>
  <c r="N205" i="60"/>
  <c r="V205" i="60"/>
  <c r="R204" i="60"/>
  <c r="N94" i="60"/>
  <c r="N204" i="60" s="1"/>
  <c r="R208" i="60"/>
  <c r="N98" i="60"/>
  <c r="N208" i="60" s="1"/>
  <c r="R212" i="60"/>
  <c r="N102" i="60"/>
  <c r="N212" i="60" s="1"/>
  <c r="M216" i="60"/>
  <c r="M107" i="60"/>
  <c r="U216" i="60"/>
  <c r="U224" i="60" s="1"/>
  <c r="U110" i="59" s="1"/>
  <c r="U116" i="59" s="1"/>
  <c r="U107" i="60"/>
  <c r="N207" i="60"/>
  <c r="V207" i="60"/>
  <c r="M220" i="60"/>
  <c r="M111" i="60"/>
  <c r="M221" i="60" s="1"/>
  <c r="U220" i="60"/>
  <c r="U111" i="60"/>
  <c r="U221" i="60" s="1"/>
  <c r="R206" i="60"/>
  <c r="R224" i="60" s="1"/>
  <c r="R110" i="59" s="1"/>
  <c r="R116" i="59" s="1"/>
  <c r="N96" i="60"/>
  <c r="N206" i="60" s="1"/>
  <c r="R210" i="60"/>
  <c r="N100" i="60"/>
  <c r="N210" i="60" s="1"/>
  <c r="Q214" i="60"/>
  <c r="M104" i="60"/>
  <c r="M214" i="60" s="1"/>
  <c r="Q218" i="60"/>
  <c r="Q224" i="60" s="1"/>
  <c r="Q110" i="59" s="1"/>
  <c r="Q116" i="59" s="1"/>
  <c r="Q109" i="60"/>
  <c r="M108" i="60"/>
  <c r="V109" i="60"/>
  <c r="V219" i="60" s="1"/>
  <c r="R111" i="60"/>
  <c r="V112" i="60"/>
  <c r="V222" i="60" s="1"/>
  <c r="O105" i="60"/>
  <c r="O215" i="60" s="1"/>
  <c r="S107" i="60"/>
  <c r="W109" i="60"/>
  <c r="W219" i="60" s="1"/>
  <c r="S111" i="60"/>
  <c r="S221" i="60" s="1"/>
  <c r="W112" i="60"/>
  <c r="W222" i="60" s="1"/>
  <c r="M94" i="60"/>
  <c r="M204" i="60" s="1"/>
  <c r="M98" i="60"/>
  <c r="M208" i="60" s="1"/>
  <c r="M100" i="60"/>
  <c r="M102" i="60"/>
  <c r="P269" i="60"/>
  <c r="P314" i="60" s="1"/>
  <c r="T265" i="60"/>
  <c r="P267" i="60"/>
  <c r="P312" i="60" s="1"/>
  <c r="L107" i="60"/>
  <c r="T107" i="60"/>
  <c r="P109" i="60"/>
  <c r="P219" i="60" s="1"/>
  <c r="L111" i="60"/>
  <c r="L221" i="60" s="1"/>
  <c r="T111" i="60"/>
  <c r="T221" i="60" s="1"/>
  <c r="P112" i="60"/>
  <c r="P222" i="60" s="1"/>
  <c r="V224" i="60"/>
  <c r="V110" i="59" s="1"/>
  <c r="V116" i="59" s="1"/>
  <c r="U265" i="60"/>
  <c r="Q112" i="60"/>
  <c r="Q222" i="60" s="1"/>
  <c r="O94" i="60"/>
  <c r="O204" i="60" s="1"/>
  <c r="O96" i="60"/>
  <c r="O206" i="60" s="1"/>
  <c r="O98" i="60"/>
  <c r="O208" i="60" s="1"/>
  <c r="O100" i="60"/>
  <c r="O210" i="60" s="1"/>
  <c r="O102" i="60"/>
  <c r="O212" i="60" s="1"/>
  <c r="N104" i="60"/>
  <c r="N214" i="60" s="1"/>
  <c r="R269" i="60"/>
  <c r="R314" i="60" s="1"/>
  <c r="R265" i="60"/>
  <c r="N107" i="60"/>
  <c r="V107" i="60"/>
  <c r="N108" i="60"/>
  <c r="R109" i="60"/>
  <c r="R219" i="60" s="1"/>
  <c r="N111" i="60"/>
  <c r="N221" i="60" s="1"/>
  <c r="V111" i="60"/>
  <c r="V221" i="60" s="1"/>
  <c r="R112" i="60"/>
  <c r="R222" i="60" s="1"/>
  <c r="L93" i="60"/>
  <c r="L203" i="60" s="1"/>
  <c r="L95" i="60"/>
  <c r="L97" i="60"/>
  <c r="L99" i="60"/>
  <c r="L209" i="60" s="1"/>
  <c r="L101" i="60"/>
  <c r="L211" i="60" s="1"/>
  <c r="L224" i="60" s="1"/>
  <c r="L110" i="59" s="1"/>
  <c r="L116" i="59" s="1"/>
  <c r="L103" i="60"/>
  <c r="L213" i="60" s="1"/>
  <c r="O107" i="60"/>
  <c r="W107" i="60"/>
  <c r="O108" i="60"/>
  <c r="S109" i="60"/>
  <c r="S219" i="60" s="1"/>
  <c r="O111" i="60"/>
  <c r="O221" i="60" s="1"/>
  <c r="W111" i="60"/>
  <c r="W221" i="60" s="1"/>
  <c r="S112" i="60"/>
  <c r="S222" i="60" s="1"/>
  <c r="L105" i="60"/>
  <c r="L215" i="60" s="1"/>
  <c r="P107" i="60"/>
  <c r="L109" i="60"/>
  <c r="L219" i="60" s="1"/>
  <c r="T109" i="60"/>
  <c r="T219" i="60" s="1"/>
  <c r="P111" i="60"/>
  <c r="P221" i="60" s="1"/>
  <c r="L112" i="60"/>
  <c r="L222" i="60" s="1"/>
  <c r="T112" i="60"/>
  <c r="T222" i="60" s="1"/>
  <c r="S297" i="60"/>
  <c r="O297" i="60" s="1"/>
  <c r="O252" i="60"/>
  <c r="R304" i="60"/>
  <c r="N304" i="60" s="1"/>
  <c r="N259" i="60"/>
  <c r="M263" i="60"/>
  <c r="M308" i="60" s="1"/>
  <c r="Q308" i="60"/>
  <c r="N309" i="60"/>
  <c r="N265" i="60"/>
  <c r="V309" i="60"/>
  <c r="V265" i="60"/>
  <c r="V270" i="60"/>
  <c r="V315" i="60" s="1"/>
  <c r="N253" i="60"/>
  <c r="R298" i="60"/>
  <c r="N254" i="60"/>
  <c r="N301" i="60"/>
  <c r="S301" i="60"/>
  <c r="O301" i="60" s="1"/>
  <c r="O256" i="60"/>
  <c r="L313" i="60"/>
  <c r="L269" i="60"/>
  <c r="L314" i="60" s="1"/>
  <c r="T313" i="60"/>
  <c r="T269" i="60"/>
  <c r="T314" i="60" s="1"/>
  <c r="N257" i="60"/>
  <c r="R302" i="60"/>
  <c r="N302" i="60" s="1"/>
  <c r="N258" i="60"/>
  <c r="M262" i="60"/>
  <c r="Q309" i="60"/>
  <c r="Q270" i="60"/>
  <c r="Q265" i="60"/>
  <c r="M264" i="60"/>
  <c r="R311" i="60"/>
  <c r="R267" i="60"/>
  <c r="R312" i="60" s="1"/>
  <c r="N266" i="60"/>
  <c r="N299" i="60"/>
  <c r="S305" i="60"/>
  <c r="O305" i="60" s="1"/>
  <c r="O260" i="60"/>
  <c r="N261" i="60"/>
  <c r="R306" i="60"/>
  <c r="N306" i="60" s="1"/>
  <c r="S299" i="60"/>
  <c r="O299" i="60" s="1"/>
  <c r="O254" i="60"/>
  <c r="S265" i="60"/>
  <c r="W298" i="60"/>
  <c r="N255" i="60"/>
  <c r="R300" i="60"/>
  <c r="N300" i="60" s="1"/>
  <c r="N303" i="60"/>
  <c r="U267" i="60"/>
  <c r="U312" i="60" s="1"/>
  <c r="U311" i="60"/>
  <c r="R296" i="60"/>
  <c r="N296" i="60" s="1"/>
  <c r="N297" i="60"/>
  <c r="S303" i="60"/>
  <c r="O303" i="60" s="1"/>
  <c r="O258" i="60"/>
  <c r="R307" i="60"/>
  <c r="N307" i="60" s="1"/>
  <c r="N262" i="60"/>
  <c r="M266" i="60"/>
  <c r="Q269" i="60"/>
  <c r="Q314" i="60" s="1"/>
  <c r="L296" i="60"/>
  <c r="L252" i="60"/>
  <c r="P298" i="60"/>
  <c r="W309" i="60"/>
  <c r="W270" i="60"/>
  <c r="W315" i="60" s="1"/>
  <c r="T267" i="60"/>
  <c r="T312" i="60" s="1"/>
  <c r="Q298" i="60"/>
  <c r="P309" i="60"/>
  <c r="P270" i="60"/>
  <c r="V267" i="60"/>
  <c r="V312" i="60" s="1"/>
  <c r="O296" i="60"/>
  <c r="S298" i="60"/>
  <c r="O300" i="60"/>
  <c r="O302" i="60"/>
  <c r="O304" i="60"/>
  <c r="O306" i="60"/>
  <c r="R309" i="60"/>
  <c r="R270" i="60"/>
  <c r="M269" i="60"/>
  <c r="M314" i="60" s="1"/>
  <c r="U269" i="60"/>
  <c r="U314" i="60" s="1"/>
  <c r="T298" i="60"/>
  <c r="L305" i="60"/>
  <c r="L261" i="60"/>
  <c r="S309" i="60"/>
  <c r="S270" i="60"/>
  <c r="O265" i="60"/>
  <c r="W265" i="60"/>
  <c r="O311" i="60"/>
  <c r="O267" i="60"/>
  <c r="O312" i="60" s="1"/>
  <c r="N269" i="60"/>
  <c r="N314" i="60" s="1"/>
  <c r="N313" i="60"/>
  <c r="V269" i="60"/>
  <c r="V314" i="60" s="1"/>
  <c r="V313" i="60"/>
  <c r="M251" i="60"/>
  <c r="M297" i="60"/>
  <c r="M253" i="60"/>
  <c r="U298" i="60"/>
  <c r="M299" i="60"/>
  <c r="M255" i="60"/>
  <c r="M301" i="60"/>
  <c r="M257" i="60"/>
  <c r="M303" i="60"/>
  <c r="M259" i="60"/>
  <c r="M305" i="60"/>
  <c r="M261" i="60"/>
  <c r="L307" i="60"/>
  <c r="L263" i="60"/>
  <c r="L308" i="60" s="1"/>
  <c r="L264" i="60"/>
  <c r="T309" i="60"/>
  <c r="T270" i="60"/>
  <c r="T315" i="60" s="1"/>
  <c r="P265" i="60"/>
  <c r="L267" i="60"/>
  <c r="L312" i="60" s="1"/>
  <c r="O269" i="60"/>
  <c r="O314" i="60" s="1"/>
  <c r="W269" i="60"/>
  <c r="W314" i="60" s="1"/>
  <c r="U270" i="60"/>
  <c r="U315" i="60" s="1"/>
  <c r="Q311" i="60"/>
  <c r="Q267" i="60"/>
  <c r="Q312" i="60" s="1"/>
  <c r="U309" i="60"/>
  <c r="W267" i="60"/>
  <c r="W312" i="60" s="1"/>
  <c r="S269" i="60"/>
  <c r="S314" i="60" s="1"/>
  <c r="O313" i="60"/>
  <c r="W313" i="60"/>
  <c r="Q313" i="60"/>
  <c r="S267" i="60"/>
  <c r="S312" i="60" s="1"/>
  <c r="N232" i="60"/>
  <c r="N241" i="60"/>
  <c r="N243" i="60"/>
  <c r="O232" i="60"/>
  <c r="O239" i="60"/>
  <c r="O241" i="60"/>
  <c r="O243" i="60"/>
  <c r="L235" i="60"/>
  <c r="M231" i="60"/>
  <c r="M233" i="60"/>
  <c r="M235" i="60"/>
  <c r="M236" i="60"/>
  <c r="M238" i="60"/>
  <c r="M240" i="60"/>
  <c r="M242" i="60"/>
  <c r="M230" i="60"/>
  <c r="N233" i="60"/>
  <c r="N234" i="60"/>
  <c r="N238" i="60"/>
  <c r="N230" i="60"/>
  <c r="O233" i="60"/>
  <c r="O235" i="60"/>
  <c r="O230" i="60"/>
  <c r="M248" i="60"/>
  <c r="O246" i="60"/>
  <c r="N248" i="60"/>
  <c r="N240" i="60"/>
  <c r="N236" i="60"/>
  <c r="M246" i="60"/>
  <c r="N231" i="60"/>
  <c r="L233" i="60"/>
  <c r="O236" i="60"/>
  <c r="L241" i="60"/>
  <c r="L248" i="60"/>
  <c r="O238" i="60"/>
  <c r="L232" i="60"/>
  <c r="L234" i="60"/>
  <c r="N235" i="60"/>
  <c r="L239" i="60"/>
  <c r="O240" i="60"/>
  <c r="L242" i="60"/>
  <c r="O245" i="60"/>
  <c r="N246" i="60"/>
  <c r="M232" i="60"/>
  <c r="M234" i="60"/>
  <c r="M239" i="60"/>
  <c r="N247" i="60"/>
  <c r="L231" i="60"/>
  <c r="L236" i="60"/>
  <c r="N239" i="60"/>
  <c r="N242" i="60"/>
  <c r="L246" i="60"/>
  <c r="O234" i="60"/>
  <c r="L238" i="60"/>
  <c r="O242" i="60"/>
  <c r="N245" i="60"/>
  <c r="R325" i="60"/>
  <c r="R333" i="60"/>
  <c r="Y360" i="60"/>
  <c r="Y368" i="60"/>
  <c r="M243" i="60"/>
  <c r="M247" i="60"/>
  <c r="M245" i="60"/>
  <c r="L230" i="60"/>
  <c r="M241" i="60"/>
  <c r="L240" i="60"/>
  <c r="E71" i="60"/>
  <c r="E243" i="60"/>
  <c r="D2" i="60"/>
  <c r="D3" i="60"/>
  <c r="D4" i="60"/>
  <c r="E247" i="60"/>
  <c r="E248" i="60"/>
  <c r="E104" i="60"/>
  <c r="E214" i="60" s="1"/>
  <c r="E262" i="60" s="1"/>
  <c r="E307" i="60" s="1"/>
  <c r="E238" i="60"/>
  <c r="E54" i="60"/>
  <c r="E70" i="60"/>
  <c r="E36" i="60"/>
  <c r="Q361" i="60" l="1"/>
  <c r="Y361" i="60"/>
  <c r="Z353" i="60"/>
  <c r="R353" i="60"/>
  <c r="P365" i="60"/>
  <c r="X365" i="60"/>
  <c r="Z324" i="60"/>
  <c r="R324" i="60"/>
  <c r="S357" i="60"/>
  <c r="AA357" i="60"/>
  <c r="X351" i="60"/>
  <c r="P351" i="60"/>
  <c r="Z342" i="60"/>
  <c r="R342" i="60"/>
  <c r="R334" i="60"/>
  <c r="Z334" i="60"/>
  <c r="AA358" i="60"/>
  <c r="S358" i="60"/>
  <c r="AA350" i="60"/>
  <c r="S350" i="60"/>
  <c r="Y340" i="60"/>
  <c r="Q340" i="60"/>
  <c r="Y332" i="60"/>
  <c r="Q332" i="60"/>
  <c r="Y324" i="60"/>
  <c r="Q324" i="60"/>
  <c r="AA366" i="60"/>
  <c r="S366" i="60"/>
  <c r="P344" i="60"/>
  <c r="X344" i="60"/>
  <c r="X336" i="60"/>
  <c r="P336" i="60"/>
  <c r="P328" i="60"/>
  <c r="X328" i="60"/>
  <c r="Q353" i="60"/>
  <c r="Y353" i="60"/>
  <c r="S343" i="60"/>
  <c r="AA343" i="60"/>
  <c r="AA335" i="60"/>
  <c r="S335" i="60"/>
  <c r="AA327" i="60"/>
  <c r="S327" i="60"/>
  <c r="AA321" i="60"/>
  <c r="S321" i="60"/>
  <c r="R366" i="60"/>
  <c r="R360" i="60"/>
  <c r="R352" i="60"/>
  <c r="Z333" i="60"/>
  <c r="Z325" i="60"/>
  <c r="Q362" i="60"/>
  <c r="X366" i="60"/>
  <c r="P366" i="60"/>
  <c r="P360" i="60"/>
  <c r="X360" i="60"/>
  <c r="X354" i="60"/>
  <c r="P354" i="60"/>
  <c r="Y345" i="60"/>
  <c r="Y337" i="60"/>
  <c r="Y329" i="60"/>
  <c r="R361" i="60"/>
  <c r="Z361" i="60"/>
  <c r="R349" i="60"/>
  <c r="Z349" i="60"/>
  <c r="X341" i="60"/>
  <c r="P341" i="60"/>
  <c r="X333" i="60"/>
  <c r="P333" i="60"/>
  <c r="X325" i="60"/>
  <c r="P325" i="60"/>
  <c r="Z367" i="60"/>
  <c r="R367" i="60"/>
  <c r="AA344" i="60"/>
  <c r="S344" i="60"/>
  <c r="AA336" i="60"/>
  <c r="S336" i="60"/>
  <c r="S328" i="60"/>
  <c r="AA328" i="60"/>
  <c r="P358" i="60"/>
  <c r="X358" i="60"/>
  <c r="Z366" i="60"/>
  <c r="R364" i="60"/>
  <c r="R358" i="60"/>
  <c r="R335" i="60"/>
  <c r="R327" i="60"/>
  <c r="Y362" i="60"/>
  <c r="Q329" i="60"/>
  <c r="AA365" i="60"/>
  <c r="S365" i="60"/>
  <c r="Z359" i="60"/>
  <c r="R359" i="60"/>
  <c r="AA351" i="60"/>
  <c r="S351" i="60"/>
  <c r="Q343" i="60"/>
  <c r="Q335" i="60"/>
  <c r="Y327" i="60"/>
  <c r="Y321" i="60"/>
  <c r="X347" i="60"/>
  <c r="P347" i="60"/>
  <c r="X339" i="60"/>
  <c r="P339" i="60"/>
  <c r="P331" i="60"/>
  <c r="X331" i="60"/>
  <c r="P323" i="60"/>
  <c r="X323" i="60"/>
  <c r="X359" i="60"/>
  <c r="P359" i="60"/>
  <c r="Y351" i="60"/>
  <c r="Q351" i="60"/>
  <c r="AA342" i="60"/>
  <c r="S342" i="60"/>
  <c r="AA334" i="60"/>
  <c r="S334" i="60"/>
  <c r="AA326" i="60"/>
  <c r="S326" i="60"/>
  <c r="X321" i="60"/>
  <c r="P321" i="60"/>
  <c r="Y354" i="60"/>
  <c r="Y359" i="60"/>
  <c r="Q359" i="60"/>
  <c r="P363" i="60"/>
  <c r="X363" i="60"/>
  <c r="R322" i="60"/>
  <c r="Z322" i="60"/>
  <c r="X356" i="60"/>
  <c r="P356" i="60"/>
  <c r="P349" i="60"/>
  <c r="X349" i="60"/>
  <c r="Z340" i="60"/>
  <c r="R340" i="60"/>
  <c r="Z332" i="60"/>
  <c r="R332" i="60"/>
  <c r="X367" i="60"/>
  <c r="P367" i="60"/>
  <c r="Z357" i="60"/>
  <c r="R357" i="60"/>
  <c r="Y346" i="60"/>
  <c r="Q346" i="60"/>
  <c r="Y338" i="60"/>
  <c r="Q338" i="60"/>
  <c r="Y330" i="60"/>
  <c r="Q330" i="60"/>
  <c r="Y322" i="60"/>
  <c r="Q322" i="60"/>
  <c r="Z363" i="60"/>
  <c r="R363" i="60"/>
  <c r="AA354" i="60"/>
  <c r="S354" i="60"/>
  <c r="X342" i="60"/>
  <c r="P342" i="60"/>
  <c r="P334" i="60"/>
  <c r="X334" i="60"/>
  <c r="P326" i="60"/>
  <c r="X326" i="60"/>
  <c r="Y358" i="60"/>
  <c r="Q358" i="60"/>
  <c r="Y350" i="60"/>
  <c r="Q350" i="60"/>
  <c r="S341" i="60"/>
  <c r="AA341" i="60"/>
  <c r="AA333" i="60"/>
  <c r="S333" i="60"/>
  <c r="AA325" i="60"/>
  <c r="S325" i="60"/>
  <c r="Y365" i="60"/>
  <c r="Q365" i="60"/>
  <c r="Y357" i="60"/>
  <c r="Q357" i="60"/>
  <c r="P361" i="60"/>
  <c r="X361" i="60"/>
  <c r="Z328" i="60"/>
  <c r="R328" i="60"/>
  <c r="Y367" i="60"/>
  <c r="Q367" i="60"/>
  <c r="P355" i="60"/>
  <c r="X355" i="60"/>
  <c r="Z346" i="60"/>
  <c r="R346" i="60"/>
  <c r="R338" i="60"/>
  <c r="Z338" i="60"/>
  <c r="R330" i="60"/>
  <c r="Z330" i="60"/>
  <c r="X364" i="60"/>
  <c r="P364" i="60"/>
  <c r="AA353" i="60"/>
  <c r="S353" i="60"/>
  <c r="Y344" i="60"/>
  <c r="Q344" i="60"/>
  <c r="Y336" i="60"/>
  <c r="Q336" i="60"/>
  <c r="Q328" i="60"/>
  <c r="Y328" i="60"/>
  <c r="S362" i="60"/>
  <c r="AA362" i="60"/>
  <c r="P340" i="60"/>
  <c r="X340" i="60"/>
  <c r="X332" i="60"/>
  <c r="P332" i="60"/>
  <c r="X324" i="60"/>
  <c r="P324" i="60"/>
  <c r="P357" i="60"/>
  <c r="X357" i="60"/>
  <c r="AA347" i="60"/>
  <c r="S347" i="60"/>
  <c r="AA339" i="60"/>
  <c r="S339" i="60"/>
  <c r="AA331" i="60"/>
  <c r="S331" i="60"/>
  <c r="AA323" i="60"/>
  <c r="S323" i="60"/>
  <c r="R368" i="60"/>
  <c r="Z364" i="60"/>
  <c r="Z360" i="60"/>
  <c r="Z358" i="60"/>
  <c r="R356" i="60"/>
  <c r="R350" i="60"/>
  <c r="R341" i="60"/>
  <c r="Z335" i="60"/>
  <c r="Z327" i="60"/>
  <c r="Q352" i="60"/>
  <c r="Y341" i="60"/>
  <c r="Z368" i="60"/>
  <c r="Z356" i="60"/>
  <c r="Z350" i="60"/>
  <c r="R347" i="60"/>
  <c r="Z343" i="60"/>
  <c r="R329" i="60"/>
  <c r="R321" i="60"/>
  <c r="Q364" i="60"/>
  <c r="Q337" i="60"/>
  <c r="AA368" i="60"/>
  <c r="S368" i="60"/>
  <c r="Y363" i="60"/>
  <c r="Q363" i="60"/>
  <c r="Z355" i="60"/>
  <c r="R355" i="60"/>
  <c r="X368" i="60"/>
  <c r="P368" i="60"/>
  <c r="R326" i="60"/>
  <c r="Z326" i="60"/>
  <c r="Y352" i="60"/>
  <c r="R344" i="60"/>
  <c r="Z344" i="60"/>
  <c r="Z336" i="60"/>
  <c r="R336" i="60"/>
  <c r="AA363" i="60"/>
  <c r="S363" i="60"/>
  <c r="P352" i="60"/>
  <c r="X352" i="60"/>
  <c r="Q342" i="60"/>
  <c r="Y342" i="60"/>
  <c r="Y334" i="60"/>
  <c r="Q334" i="60"/>
  <c r="Y326" i="60"/>
  <c r="Q326" i="60"/>
  <c r="S360" i="60"/>
  <c r="AA360" i="60"/>
  <c r="P346" i="60"/>
  <c r="X346" i="60"/>
  <c r="X338" i="60"/>
  <c r="P338" i="60"/>
  <c r="P330" i="60"/>
  <c r="X330" i="60"/>
  <c r="P322" i="60"/>
  <c r="X322" i="60"/>
  <c r="AA345" i="60"/>
  <c r="S345" i="60"/>
  <c r="AA337" i="60"/>
  <c r="S337" i="60"/>
  <c r="AA329" i="60"/>
  <c r="S329" i="60"/>
  <c r="R362" i="60"/>
  <c r="Z354" i="60"/>
  <c r="R345" i="60"/>
  <c r="Z341" i="60"/>
  <c r="R337" i="60"/>
  <c r="Z337" i="60"/>
  <c r="Z329" i="60"/>
  <c r="Z321" i="60"/>
  <c r="Q366" i="60"/>
  <c r="Y364" i="60"/>
  <c r="Q327" i="60"/>
  <c r="X362" i="60"/>
  <c r="P362" i="60"/>
  <c r="AA356" i="60"/>
  <c r="S356" i="60"/>
  <c r="AA349" i="60"/>
  <c r="S349" i="60"/>
  <c r="Q341" i="60"/>
  <c r="Y333" i="60"/>
  <c r="Q333" i="60"/>
  <c r="Y325" i="60"/>
  <c r="Q325" i="60"/>
  <c r="Z365" i="60"/>
  <c r="R365" i="60"/>
  <c r="S352" i="60"/>
  <c r="AA352" i="60"/>
  <c r="X345" i="60"/>
  <c r="P345" i="60"/>
  <c r="P337" i="60"/>
  <c r="X337" i="60"/>
  <c r="X329" i="60"/>
  <c r="P329" i="60"/>
  <c r="Y356" i="60"/>
  <c r="Q356" i="60"/>
  <c r="Y349" i="60"/>
  <c r="Q349" i="60"/>
  <c r="AA340" i="60"/>
  <c r="S340" i="60"/>
  <c r="AA332" i="60"/>
  <c r="S332" i="60"/>
  <c r="AA324" i="60"/>
  <c r="S324" i="60"/>
  <c r="P353" i="60"/>
  <c r="X353" i="60"/>
  <c r="Z352" i="60"/>
  <c r="Z345" i="60"/>
  <c r="R339" i="60"/>
  <c r="R331" i="60"/>
  <c r="R323" i="60"/>
  <c r="Y366" i="60"/>
  <c r="Q345" i="60"/>
  <c r="Y335" i="60"/>
  <c r="Z347" i="60"/>
  <c r="R343" i="60"/>
  <c r="Z339" i="60"/>
  <c r="Z331" i="60"/>
  <c r="Z323" i="60"/>
  <c r="Q368" i="60"/>
  <c r="Q360" i="60"/>
  <c r="AA367" i="60"/>
  <c r="S367" i="60"/>
  <c r="AA361" i="60"/>
  <c r="S361" i="60"/>
  <c r="AA355" i="60"/>
  <c r="S355" i="60"/>
  <c r="Y347" i="60"/>
  <c r="Q347" i="60"/>
  <c r="Y339" i="60"/>
  <c r="Q339" i="60"/>
  <c r="Y331" i="60"/>
  <c r="Q331" i="60"/>
  <c r="Y323" i="60"/>
  <c r="Q323" i="60"/>
  <c r="AA364" i="60"/>
  <c r="S364" i="60"/>
  <c r="Z351" i="60"/>
  <c r="R351" i="60"/>
  <c r="X343" i="60"/>
  <c r="P343" i="60"/>
  <c r="X335" i="60"/>
  <c r="P335" i="60"/>
  <c r="P327" i="60"/>
  <c r="X327" i="60"/>
  <c r="Y355" i="60"/>
  <c r="Q355" i="60"/>
  <c r="AA346" i="60"/>
  <c r="S346" i="60"/>
  <c r="AA338" i="60"/>
  <c r="S338" i="60"/>
  <c r="AA330" i="60"/>
  <c r="S330" i="60"/>
  <c r="AA322" i="60"/>
  <c r="S322" i="60"/>
  <c r="AA359" i="60"/>
  <c r="S359" i="60"/>
  <c r="X350" i="60"/>
  <c r="P350" i="60"/>
  <c r="Z362" i="60"/>
  <c r="R354" i="60"/>
  <c r="Q354" i="60"/>
  <c r="Y343" i="60"/>
  <c r="Q321" i="60"/>
  <c r="P310" i="60"/>
  <c r="P271" i="60"/>
  <c r="N310" i="60"/>
  <c r="L298" i="60"/>
  <c r="L207" i="60"/>
  <c r="L309" i="60"/>
  <c r="L265" i="60"/>
  <c r="L205" i="60"/>
  <c r="W310" i="60"/>
  <c r="W271" i="60"/>
  <c r="M217" i="60"/>
  <c r="O310" i="60"/>
  <c r="O271" i="60"/>
  <c r="W217" i="60"/>
  <c r="W113" i="60"/>
  <c r="N217" i="60"/>
  <c r="M212" i="60"/>
  <c r="R221" i="60"/>
  <c r="R113" i="60"/>
  <c r="M267" i="60"/>
  <c r="M312" i="60" s="1"/>
  <c r="M311" i="60"/>
  <c r="Q271" i="60"/>
  <c r="Q310" i="60"/>
  <c r="R315" i="60"/>
  <c r="N270" i="60"/>
  <c r="N315" i="60" s="1"/>
  <c r="N311" i="60"/>
  <c r="N267" i="60"/>
  <c r="N312" i="60" s="1"/>
  <c r="R310" i="60"/>
  <c r="R271" i="60"/>
  <c r="T310" i="60"/>
  <c r="T271" i="60"/>
  <c r="L270" i="60"/>
  <c r="L315" i="60" s="1"/>
  <c r="P315" i="60"/>
  <c r="O218" i="60"/>
  <c r="O224" i="60" s="1"/>
  <c r="O110" i="59" s="1"/>
  <c r="O116" i="59" s="1"/>
  <c r="O109" i="60"/>
  <c r="O219" i="60" s="1"/>
  <c r="M210" i="60"/>
  <c r="O112" i="60"/>
  <c r="O222" i="60" s="1"/>
  <c r="M270" i="60"/>
  <c r="M315" i="60" s="1"/>
  <c r="Q315" i="60"/>
  <c r="N298" i="60"/>
  <c r="P217" i="60"/>
  <c r="P113" i="60"/>
  <c r="O217" i="60"/>
  <c r="N218" i="60"/>
  <c r="N224" i="60" s="1"/>
  <c r="N110" i="59" s="1"/>
  <c r="N116" i="59" s="1"/>
  <c r="N109" i="60"/>
  <c r="N219" i="60" s="1"/>
  <c r="N112" i="60"/>
  <c r="N222" i="60" s="1"/>
  <c r="M218" i="60"/>
  <c r="M224" i="60" s="1"/>
  <c r="M110" i="59" s="1"/>
  <c r="M116" i="59" s="1"/>
  <c r="M109" i="60"/>
  <c r="M219" i="60" s="1"/>
  <c r="M112" i="60"/>
  <c r="M222" i="60" s="1"/>
  <c r="L217" i="60"/>
  <c r="L113" i="60"/>
  <c r="L223" i="60" s="1"/>
  <c r="S217" i="60"/>
  <c r="S113" i="60"/>
  <c r="S315" i="60"/>
  <c r="O270" i="60"/>
  <c r="O315" i="60" s="1"/>
  <c r="V217" i="60"/>
  <c r="V113" i="60"/>
  <c r="Q219" i="60"/>
  <c r="Q113" i="60"/>
  <c r="O298" i="60"/>
  <c r="M298" i="60"/>
  <c r="S310" i="60"/>
  <c r="S271" i="60"/>
  <c r="M309" i="60"/>
  <c r="M265" i="60"/>
  <c r="T217" i="60"/>
  <c r="T113" i="60"/>
  <c r="V310" i="60"/>
  <c r="V271" i="60"/>
  <c r="U310" i="60"/>
  <c r="U271" i="60"/>
  <c r="U217" i="60"/>
  <c r="U113" i="60"/>
  <c r="E43" i="60"/>
  <c r="E395" i="60"/>
  <c r="E393" i="60"/>
  <c r="E60" i="60"/>
  <c r="E399" i="60"/>
  <c r="E55" i="60"/>
  <c r="E398" i="60"/>
  <c r="E397" i="60"/>
  <c r="E400" i="60"/>
  <c r="E66" i="60"/>
  <c r="E65" i="60"/>
  <c r="S223" i="60" l="1"/>
  <c r="N113" i="60"/>
  <c r="W316" i="60"/>
  <c r="M310" i="60"/>
  <c r="M271" i="60"/>
  <c r="V223" i="60"/>
  <c r="U223" i="60"/>
  <c r="W223" i="60"/>
  <c r="S316" i="60"/>
  <c r="N271" i="60"/>
  <c r="O113" i="60"/>
  <c r="T316" i="60"/>
  <c r="R223" i="60"/>
  <c r="O316" i="60"/>
  <c r="U316" i="60"/>
  <c r="Q316" i="60"/>
  <c r="L310" i="60"/>
  <c r="L271" i="60"/>
  <c r="P316" i="60"/>
  <c r="P223" i="60"/>
  <c r="R316" i="60"/>
  <c r="M113" i="60"/>
  <c r="V316" i="60"/>
  <c r="T223" i="60"/>
  <c r="Q223" i="60"/>
  <c r="O223" i="60" l="1"/>
  <c r="N316" i="60"/>
  <c r="N223" i="60"/>
  <c r="M223" i="60"/>
  <c r="L316" i="60"/>
  <c r="M316" i="60"/>
  <c r="AB1" i="60" l="1"/>
  <c r="E16" i="45"/>
  <c r="AF1" i="60" l="1"/>
  <c r="AB397" i="60"/>
  <c r="AB393" i="60"/>
  <c r="AB398" i="60"/>
  <c r="AB400" i="60"/>
  <c r="AB399" i="60"/>
  <c r="AB395" i="60"/>
  <c r="AB389" i="60"/>
  <c r="AB385" i="60"/>
  <c r="AB377" i="60"/>
  <c r="AB375" i="60"/>
  <c r="AB378" i="60"/>
  <c r="AB391" i="60"/>
  <c r="AB387" i="60"/>
  <c r="AB379" i="60"/>
  <c r="AB373" i="60"/>
  <c r="AB374" i="60"/>
  <c r="AB376" i="60"/>
  <c r="AB369" i="60"/>
  <c r="AB342" i="60"/>
  <c r="AB350" i="60"/>
  <c r="AB326" i="60"/>
  <c r="AB331" i="60"/>
  <c r="AB53" i="60"/>
  <c r="AB51" i="60"/>
  <c r="AB49" i="60"/>
  <c r="AB47" i="60"/>
  <c r="AB54" i="60"/>
  <c r="AB52" i="60"/>
  <c r="AB48" i="60"/>
  <c r="AB43" i="60"/>
  <c r="AB33" i="60"/>
  <c r="AB31" i="60"/>
  <c r="AB29" i="60"/>
  <c r="AB27" i="60"/>
  <c r="AB25" i="60"/>
  <c r="AB23" i="60"/>
  <c r="AB21" i="60"/>
  <c r="AB19" i="60"/>
  <c r="AB17" i="60"/>
  <c r="AB15" i="60"/>
  <c r="AB13" i="60"/>
  <c r="AB11" i="60"/>
  <c r="AB9" i="60"/>
  <c r="AB44" i="60"/>
  <c r="AB39" i="60"/>
  <c r="AB40" i="60"/>
  <c r="AB37" i="60"/>
  <c r="AB50" i="60"/>
  <c r="AB45" i="60"/>
  <c r="AB34" i="60"/>
  <c r="AB32" i="60"/>
  <c r="AB30" i="60"/>
  <c r="AB28" i="60"/>
  <c r="AB26" i="60"/>
  <c r="AB24" i="60"/>
  <c r="AB22" i="60"/>
  <c r="AB20" i="60"/>
  <c r="AB18" i="60"/>
  <c r="AB16" i="60"/>
  <c r="AB14" i="60"/>
  <c r="AB12" i="60"/>
  <c r="AB10" i="60"/>
  <c r="AB8" i="60"/>
  <c r="AB55" i="60"/>
  <c r="AB46" i="60"/>
  <c r="AB41" i="60"/>
  <c r="AB42" i="60"/>
  <c r="AB38" i="60"/>
  <c r="AB36" i="60"/>
  <c r="AB344" i="60" l="1"/>
  <c r="AB357" i="60"/>
  <c r="AB324" i="60"/>
  <c r="AB354" i="60"/>
  <c r="AB333" i="60"/>
  <c r="AB323" i="60"/>
  <c r="AB321" i="60"/>
  <c r="AB368" i="60"/>
  <c r="AB340" i="60"/>
  <c r="AB364" i="60"/>
  <c r="AB335" i="60"/>
  <c r="AB330" i="60"/>
  <c r="AB337" i="60"/>
  <c r="AB358" i="60"/>
  <c r="AB334" i="60"/>
  <c r="AB367" i="60"/>
  <c r="AB338" i="60"/>
  <c r="AB353" i="60"/>
  <c r="AB355" i="60"/>
  <c r="AB363" i="60"/>
  <c r="AB328" i="60"/>
  <c r="AB347" i="60"/>
  <c r="AB359" i="60"/>
  <c r="AB366" i="60"/>
  <c r="AB360" i="60"/>
  <c r="AB362" i="60"/>
  <c r="AB339" i="60"/>
  <c r="AB365" i="60"/>
  <c r="AB327" i="60"/>
  <c r="AB341" i="60"/>
  <c r="AB336" i="60"/>
  <c r="AB351" i="60"/>
  <c r="AB346" i="60"/>
  <c r="AB343" i="60"/>
  <c r="AB352" i="60"/>
  <c r="AB65" i="60"/>
  <c r="AB175" i="60"/>
  <c r="AB170" i="60"/>
  <c r="AB60" i="60"/>
  <c r="AB332" i="60"/>
  <c r="AB356" i="60"/>
  <c r="AB361" i="60"/>
  <c r="AB349" i="60"/>
  <c r="AB176" i="60"/>
  <c r="AB66" i="60"/>
  <c r="AB329" i="60"/>
  <c r="AB70" i="60"/>
  <c r="AB180" i="60"/>
  <c r="AB322" i="60"/>
  <c r="AB325" i="60"/>
  <c r="AB345" i="60"/>
  <c r="AB68" i="60"/>
  <c r="AB178" i="60"/>
  <c r="AB56" i="60"/>
  <c r="AB166" i="60"/>
  <c r="AB181" i="60"/>
  <c r="AB71" i="60"/>
  <c r="AB179" i="60"/>
  <c r="AB69" i="60"/>
  <c r="AF399" i="60"/>
  <c r="AF400" i="60"/>
  <c r="AF391" i="60"/>
  <c r="AF397" i="60"/>
  <c r="AF395" i="60"/>
  <c r="AF393" i="60"/>
  <c r="AF387" i="60"/>
  <c r="AF376" i="60"/>
  <c r="AF374" i="60"/>
  <c r="AF398" i="60"/>
  <c r="AF379" i="60"/>
  <c r="AF389" i="60"/>
  <c r="AF385" i="60"/>
  <c r="AF378" i="60"/>
  <c r="AF377" i="60"/>
  <c r="AF375" i="60"/>
  <c r="AF373" i="60"/>
  <c r="AF369" i="60"/>
  <c r="AF365" i="60"/>
  <c r="AF361" i="60"/>
  <c r="AF333" i="60"/>
  <c r="AF331" i="60"/>
  <c r="AF344" i="60"/>
  <c r="AF55" i="60"/>
  <c r="AF52" i="60"/>
  <c r="AF50" i="60"/>
  <c r="AF48" i="60"/>
  <c r="AF46" i="60"/>
  <c r="AF34" i="60"/>
  <c r="AF32" i="60"/>
  <c r="AF30" i="60"/>
  <c r="AF28" i="60"/>
  <c r="AF26" i="60"/>
  <c r="AF24" i="60"/>
  <c r="AF22" i="60"/>
  <c r="AF20" i="60"/>
  <c r="AF18" i="60"/>
  <c r="AF16" i="60"/>
  <c r="AF14" i="60"/>
  <c r="AF12" i="60"/>
  <c r="AF10" i="60"/>
  <c r="AF8" i="60"/>
  <c r="AF51" i="60"/>
  <c r="AF45" i="60"/>
  <c r="AF42" i="60"/>
  <c r="AF41" i="60"/>
  <c r="AF38" i="60"/>
  <c r="AF36" i="60"/>
  <c r="AF54" i="60"/>
  <c r="AF33" i="60"/>
  <c r="AF31" i="60"/>
  <c r="AF29" i="60"/>
  <c r="AF27" i="60"/>
  <c r="AF25" i="60"/>
  <c r="AF23" i="60"/>
  <c r="AF21" i="60"/>
  <c r="AF19" i="60"/>
  <c r="AF17" i="60"/>
  <c r="AF15" i="60"/>
  <c r="AF13" i="60"/>
  <c r="AF11" i="60"/>
  <c r="AF9" i="60"/>
  <c r="AF53" i="60"/>
  <c r="AF49" i="60"/>
  <c r="AF47" i="60"/>
  <c r="AF44" i="60"/>
  <c r="AF43" i="60"/>
  <c r="AF40" i="60"/>
  <c r="AF39" i="60"/>
  <c r="AF37" i="60"/>
  <c r="AJ1" i="60"/>
  <c r="P159" i="50"/>
  <c r="O159" i="50"/>
  <c r="N159" i="50"/>
  <c r="M159" i="50"/>
  <c r="L159" i="50"/>
  <c r="K159" i="50"/>
  <c r="J159" i="50"/>
  <c r="I159" i="50"/>
  <c r="H159" i="50"/>
  <c r="G159" i="50"/>
  <c r="AF322" i="60" l="1"/>
  <c r="AF330" i="60"/>
  <c r="AF337" i="60"/>
  <c r="AF353" i="60"/>
  <c r="AF324" i="60"/>
  <c r="AF362" i="60"/>
  <c r="AF346" i="60"/>
  <c r="AF338" i="60"/>
  <c r="AF357" i="60"/>
  <c r="AF355" i="60"/>
  <c r="AF336" i="60"/>
  <c r="AF366" i="60"/>
  <c r="AF328" i="60"/>
  <c r="AF340" i="60"/>
  <c r="AF326" i="60"/>
  <c r="AF327" i="60"/>
  <c r="AF332" i="60"/>
  <c r="AF343" i="60"/>
  <c r="AF358" i="60"/>
  <c r="AF321" i="60"/>
  <c r="AF363" i="60"/>
  <c r="AF342" i="60"/>
  <c r="AF335" i="60"/>
  <c r="AF352" i="60"/>
  <c r="AF351" i="60"/>
  <c r="AF354" i="60"/>
  <c r="AF68" i="60"/>
  <c r="AF178" i="60"/>
  <c r="AF323" i="60"/>
  <c r="AF325" i="60"/>
  <c r="AF339" i="60"/>
  <c r="AF367" i="60"/>
  <c r="AF176" i="60"/>
  <c r="AF66" i="60"/>
  <c r="AF349" i="60"/>
  <c r="AF341" i="60"/>
  <c r="AF356" i="60"/>
  <c r="AF364" i="60"/>
  <c r="AF179" i="60"/>
  <c r="AF69" i="60"/>
  <c r="AF334" i="60"/>
  <c r="AF359" i="60"/>
  <c r="AF70" i="60"/>
  <c r="AF180" i="60"/>
  <c r="AF329" i="60"/>
  <c r="AF345" i="60"/>
  <c r="AF360" i="60"/>
  <c r="AF368" i="60"/>
  <c r="AF65" i="60"/>
  <c r="AF175" i="60"/>
  <c r="AF181" i="60"/>
  <c r="AF71" i="60"/>
  <c r="AF56" i="60"/>
  <c r="AF166" i="60"/>
  <c r="AF350" i="60"/>
  <c r="AF347" i="60"/>
  <c r="AF170" i="60"/>
  <c r="AF60" i="60"/>
  <c r="AJ400" i="60"/>
  <c r="AJ397" i="60"/>
  <c r="AJ393" i="60"/>
  <c r="AJ398" i="60"/>
  <c r="AJ399" i="60"/>
  <c r="AJ389" i="60"/>
  <c r="AJ385" i="60"/>
  <c r="AJ377" i="60"/>
  <c r="AJ375" i="60"/>
  <c r="AJ378" i="60"/>
  <c r="AJ395" i="60"/>
  <c r="AJ387" i="60"/>
  <c r="AJ391" i="60"/>
  <c r="AJ379" i="60"/>
  <c r="AJ376" i="60"/>
  <c r="AJ373" i="60"/>
  <c r="AJ374" i="60"/>
  <c r="AJ369" i="60"/>
  <c r="AJ334" i="60"/>
  <c r="AJ332" i="60"/>
  <c r="AJ330" i="60"/>
  <c r="AJ339" i="60"/>
  <c r="AJ337" i="60"/>
  <c r="AJ335" i="60"/>
  <c r="AJ331" i="60"/>
  <c r="AJ325" i="60"/>
  <c r="AJ53" i="60"/>
  <c r="AJ51" i="60"/>
  <c r="AJ49" i="60"/>
  <c r="AJ47" i="60"/>
  <c r="AJ54" i="60"/>
  <c r="AJ50" i="60"/>
  <c r="AJ46" i="60"/>
  <c r="AJ42" i="60"/>
  <c r="AJ38" i="60"/>
  <c r="AJ33" i="60"/>
  <c r="AJ31" i="60"/>
  <c r="AJ29" i="60"/>
  <c r="AJ27" i="60"/>
  <c r="AJ25" i="60"/>
  <c r="AJ23" i="60"/>
  <c r="AJ21" i="60"/>
  <c r="AJ19" i="60"/>
  <c r="AJ17" i="60"/>
  <c r="AJ15" i="60"/>
  <c r="AJ13" i="60"/>
  <c r="AJ11" i="60"/>
  <c r="AJ9" i="60"/>
  <c r="AJ43" i="60"/>
  <c r="AJ55" i="60"/>
  <c r="AJ44" i="60"/>
  <c r="AJ39" i="60"/>
  <c r="AJ37" i="60"/>
  <c r="AJ52" i="60"/>
  <c r="AJ48" i="60"/>
  <c r="AJ40" i="60"/>
  <c r="AJ34" i="60"/>
  <c r="AJ32" i="60"/>
  <c r="AJ30" i="60"/>
  <c r="AJ28" i="60"/>
  <c r="AJ26" i="60"/>
  <c r="AJ24" i="60"/>
  <c r="AJ22" i="60"/>
  <c r="AJ20" i="60"/>
  <c r="AJ18" i="60"/>
  <c r="AJ16" i="60"/>
  <c r="AJ14" i="60"/>
  <c r="AJ12" i="60"/>
  <c r="AJ10" i="60"/>
  <c r="AJ8" i="60"/>
  <c r="AJ45" i="60"/>
  <c r="AJ41" i="60"/>
  <c r="AJ36" i="60"/>
  <c r="AR1" i="60"/>
  <c r="AN1" i="60"/>
  <c r="E18" i="45"/>
  <c r="E17" i="45"/>
  <c r="E22" i="45"/>
  <c r="E20" i="45"/>
  <c r="U21" i="45" l="1"/>
  <c r="T20" i="45"/>
  <c r="AJ323" i="60"/>
  <c r="AJ357" i="60"/>
  <c r="AJ367" i="60"/>
  <c r="AJ356" i="60"/>
  <c r="AJ364" i="60"/>
  <c r="AJ341" i="60"/>
  <c r="AJ322" i="60"/>
  <c r="AJ350" i="60"/>
  <c r="AJ340" i="60"/>
  <c r="AJ363" i="60"/>
  <c r="AJ346" i="60"/>
  <c r="AJ345" i="60"/>
  <c r="AJ365" i="60"/>
  <c r="AJ354" i="60"/>
  <c r="AJ327" i="60"/>
  <c r="AJ352" i="60"/>
  <c r="AJ324" i="60"/>
  <c r="AJ361" i="60"/>
  <c r="AJ360" i="60"/>
  <c r="AJ343" i="60"/>
  <c r="AJ351" i="60"/>
  <c r="AJ326" i="60"/>
  <c r="AJ336" i="60"/>
  <c r="AJ353" i="60"/>
  <c r="AJ366" i="60"/>
  <c r="AJ65" i="60"/>
  <c r="AJ175" i="60"/>
  <c r="AJ179" i="60"/>
  <c r="AJ69" i="60"/>
  <c r="AJ347" i="60"/>
  <c r="AJ342" i="60"/>
  <c r="AJ359" i="60"/>
  <c r="AJ362" i="60"/>
  <c r="AJ70" i="60"/>
  <c r="AJ180" i="60"/>
  <c r="AJ170" i="60"/>
  <c r="AJ60" i="60"/>
  <c r="AJ181" i="60"/>
  <c r="AJ71" i="60"/>
  <c r="AJ321" i="60"/>
  <c r="AJ328" i="60"/>
  <c r="AJ344" i="60"/>
  <c r="AJ368" i="60"/>
  <c r="AJ329" i="60"/>
  <c r="AJ349" i="60"/>
  <c r="AJ68" i="60"/>
  <c r="AJ178" i="60"/>
  <c r="AJ333" i="60"/>
  <c r="AJ176" i="60"/>
  <c r="AJ66" i="60"/>
  <c r="AJ358" i="60"/>
  <c r="AJ338" i="60"/>
  <c r="AJ355" i="60"/>
  <c r="AJ56" i="60"/>
  <c r="AJ166" i="60"/>
  <c r="AR400" i="60"/>
  <c r="AR397" i="60"/>
  <c r="AR393" i="60"/>
  <c r="AR398" i="60"/>
  <c r="AR399" i="60"/>
  <c r="AR395" i="60"/>
  <c r="AR391" i="60"/>
  <c r="AR389" i="60"/>
  <c r="AR385" i="60"/>
  <c r="AR377" i="60"/>
  <c r="AR375" i="60"/>
  <c r="AR378" i="60"/>
  <c r="AR387" i="60"/>
  <c r="AR379" i="60"/>
  <c r="AR374" i="60"/>
  <c r="AR373" i="60"/>
  <c r="AR376" i="60"/>
  <c r="AR369" i="60"/>
  <c r="AR366" i="60"/>
  <c r="AR364" i="60"/>
  <c r="AR354" i="60"/>
  <c r="AR342" i="60"/>
  <c r="AR347" i="60"/>
  <c r="AR356" i="60"/>
  <c r="AR343" i="60"/>
  <c r="AR341" i="60"/>
  <c r="AR345" i="60"/>
  <c r="AR333" i="60"/>
  <c r="AR329" i="60"/>
  <c r="AR53" i="60"/>
  <c r="AR51" i="60"/>
  <c r="AR49" i="60"/>
  <c r="AR47" i="60"/>
  <c r="AR54" i="60"/>
  <c r="AR55" i="60"/>
  <c r="AR41" i="60"/>
  <c r="AR42" i="60"/>
  <c r="AR38" i="60"/>
  <c r="AR33" i="60"/>
  <c r="AR31" i="60"/>
  <c r="AR29" i="60"/>
  <c r="AR27" i="60"/>
  <c r="AR25" i="60"/>
  <c r="AR23" i="60"/>
  <c r="AR21" i="60"/>
  <c r="AR19" i="60"/>
  <c r="AR17" i="60"/>
  <c r="AR15" i="60"/>
  <c r="AR13" i="60"/>
  <c r="AR11" i="60"/>
  <c r="AR9" i="60"/>
  <c r="AR46" i="60"/>
  <c r="AR50" i="60"/>
  <c r="AR43" i="60"/>
  <c r="AR37" i="60"/>
  <c r="AR44" i="60"/>
  <c r="AR39" i="60"/>
  <c r="AR40" i="60"/>
  <c r="AR34" i="60"/>
  <c r="AR32" i="60"/>
  <c r="AR30" i="60"/>
  <c r="AR28" i="60"/>
  <c r="AR26" i="60"/>
  <c r="AR24" i="60"/>
  <c r="AR22" i="60"/>
  <c r="AR20" i="60"/>
  <c r="AR18" i="60"/>
  <c r="AR16" i="60"/>
  <c r="AR14" i="60"/>
  <c r="AR12" i="60"/>
  <c r="AR10" i="60"/>
  <c r="AR8" i="60"/>
  <c r="AR52" i="60"/>
  <c r="AR48" i="60"/>
  <c r="AR45" i="60"/>
  <c r="AR36" i="60"/>
  <c r="AN399" i="60"/>
  <c r="AN391" i="60"/>
  <c r="AN400" i="60"/>
  <c r="AN397" i="60"/>
  <c r="AN398" i="60"/>
  <c r="AN387" i="60"/>
  <c r="AN376" i="60"/>
  <c r="AN374" i="60"/>
  <c r="AN379" i="60"/>
  <c r="AN395" i="60"/>
  <c r="AN393" i="60"/>
  <c r="AN389" i="60"/>
  <c r="AN385" i="60"/>
  <c r="AN378" i="60"/>
  <c r="AN375" i="60"/>
  <c r="AN373" i="60"/>
  <c r="AN369" i="60"/>
  <c r="AN377" i="60"/>
  <c r="AN359" i="60"/>
  <c r="AN331" i="60"/>
  <c r="AN357" i="60"/>
  <c r="AN342" i="60"/>
  <c r="AN55" i="60"/>
  <c r="AN52" i="60"/>
  <c r="AN50" i="60"/>
  <c r="AN48" i="60"/>
  <c r="AN46" i="60"/>
  <c r="AN47" i="60"/>
  <c r="AN40" i="60"/>
  <c r="AN39" i="60"/>
  <c r="AN49" i="60"/>
  <c r="AN34" i="60"/>
  <c r="AN32" i="60"/>
  <c r="AN30" i="60"/>
  <c r="AN28" i="60"/>
  <c r="AN26" i="60"/>
  <c r="AN24" i="60"/>
  <c r="AN22" i="60"/>
  <c r="AN20" i="60"/>
  <c r="AN18" i="60"/>
  <c r="AN16" i="60"/>
  <c r="AN14" i="60"/>
  <c r="AN12" i="60"/>
  <c r="AN10" i="60"/>
  <c r="AN8" i="60"/>
  <c r="AN54" i="60"/>
  <c r="AN53" i="60"/>
  <c r="AN45" i="60"/>
  <c r="AN36" i="60"/>
  <c r="AN42" i="60"/>
  <c r="AN41" i="60"/>
  <c r="AN38" i="60"/>
  <c r="AN51" i="60"/>
  <c r="AN33" i="60"/>
  <c r="AN31" i="60"/>
  <c r="AN29" i="60"/>
  <c r="AN27" i="60"/>
  <c r="AN25" i="60"/>
  <c r="AN23" i="60"/>
  <c r="AN21" i="60"/>
  <c r="AN19" i="60"/>
  <c r="AN17" i="60"/>
  <c r="AN15" i="60"/>
  <c r="AN13" i="60"/>
  <c r="AN11" i="60"/>
  <c r="AN9" i="60"/>
  <c r="AN44" i="60"/>
  <c r="AN43" i="60"/>
  <c r="AN37" i="60"/>
  <c r="AV1" i="60"/>
  <c r="U23" i="45"/>
  <c r="T22" i="45"/>
  <c r="N1" i="35"/>
  <c r="U2" i="35"/>
  <c r="X1" i="41"/>
  <c r="Z1" i="41"/>
  <c r="N1" i="46"/>
  <c r="O2" i="46"/>
  <c r="Q1" i="36"/>
  <c r="R3" i="36"/>
  <c r="Q1" i="22"/>
  <c r="R3" i="22"/>
  <c r="U1" i="44"/>
  <c r="W1" i="44"/>
  <c r="AJ3" i="44" s="1"/>
  <c r="W1" i="28"/>
  <c r="AE3" i="28" s="1"/>
  <c r="AH3" i="28" s="1"/>
  <c r="AN336" i="60" l="1"/>
  <c r="AN333" i="60"/>
  <c r="AN346" i="60"/>
  <c r="AN354" i="60"/>
  <c r="AR325" i="60"/>
  <c r="AR336" i="60"/>
  <c r="AN330" i="60"/>
  <c r="AR332" i="60"/>
  <c r="AR349" i="60"/>
  <c r="AR358" i="60"/>
  <c r="AR352" i="60"/>
  <c r="AN324" i="60"/>
  <c r="AN345" i="60"/>
  <c r="AN365" i="60"/>
  <c r="AR335" i="60"/>
  <c r="AR367" i="60"/>
  <c r="AN325" i="60"/>
  <c r="AN356" i="60"/>
  <c r="AN340" i="60"/>
  <c r="AR339" i="60"/>
  <c r="AN337" i="60"/>
  <c r="AR350" i="60"/>
  <c r="AN321" i="60"/>
  <c r="AN343" i="60"/>
  <c r="AN363" i="60"/>
  <c r="AR322" i="60"/>
  <c r="AR357" i="60"/>
  <c r="AN364" i="60"/>
  <c r="AN367" i="60"/>
  <c r="AR330" i="60"/>
  <c r="AR368" i="60"/>
  <c r="AN332" i="60"/>
  <c r="AN344" i="60"/>
  <c r="AN335" i="60"/>
  <c r="AR323" i="60"/>
  <c r="AR334" i="60"/>
  <c r="AR351" i="60"/>
  <c r="AN358" i="60"/>
  <c r="AN353" i="60"/>
  <c r="AN326" i="60"/>
  <c r="AN338" i="60"/>
  <c r="AN350" i="60"/>
  <c r="AN347" i="60"/>
  <c r="AN368" i="60"/>
  <c r="AR331" i="60"/>
  <c r="AR337" i="60"/>
  <c r="AR344" i="60"/>
  <c r="AN351" i="60"/>
  <c r="AR353" i="60"/>
  <c r="AN349" i="60"/>
  <c r="AR338" i="60"/>
  <c r="AR355" i="60"/>
  <c r="AN341" i="60"/>
  <c r="AN360" i="60"/>
  <c r="AN355" i="60"/>
  <c r="AR327" i="60"/>
  <c r="AR365" i="60"/>
  <c r="AR363" i="60"/>
  <c r="AR362" i="60"/>
  <c r="AN329" i="60"/>
  <c r="AR328" i="60"/>
  <c r="AN179" i="60"/>
  <c r="AN69" i="60"/>
  <c r="AN327" i="60"/>
  <c r="AN339" i="60"/>
  <c r="AR181" i="60"/>
  <c r="AR71" i="60"/>
  <c r="AN68" i="60"/>
  <c r="AN178" i="60"/>
  <c r="AN334" i="60"/>
  <c r="AR65" i="60"/>
  <c r="AR175" i="60"/>
  <c r="AR170" i="60"/>
  <c r="AR60" i="60"/>
  <c r="AR179" i="60"/>
  <c r="AR69" i="60"/>
  <c r="AR340" i="60"/>
  <c r="AN176" i="60"/>
  <c r="AN66" i="60"/>
  <c r="AN70" i="60"/>
  <c r="AN180" i="60"/>
  <c r="AR359" i="60"/>
  <c r="AN181" i="60"/>
  <c r="AN71" i="60"/>
  <c r="AN323" i="60"/>
  <c r="AN328" i="60"/>
  <c r="AN352" i="60"/>
  <c r="AR176" i="60"/>
  <c r="AR66" i="60"/>
  <c r="AR324" i="60"/>
  <c r="AR321" i="60"/>
  <c r="AR361" i="60"/>
  <c r="AR360" i="60"/>
  <c r="AN56" i="60"/>
  <c r="AN166" i="60"/>
  <c r="AN361" i="60"/>
  <c r="AR70" i="60"/>
  <c r="AR180" i="60"/>
  <c r="AR346" i="60"/>
  <c r="AN170" i="60"/>
  <c r="AN60" i="60"/>
  <c r="AN322" i="60"/>
  <c r="AN362" i="60"/>
  <c r="AN366" i="60"/>
  <c r="AR326" i="60"/>
  <c r="AN65" i="60"/>
  <c r="AN175" i="60"/>
  <c r="AR178" i="60"/>
  <c r="AR68" i="60"/>
  <c r="AR56" i="60"/>
  <c r="AR166" i="60"/>
  <c r="AV399" i="60"/>
  <c r="AV391" i="60"/>
  <c r="AV397" i="60"/>
  <c r="AV395" i="60"/>
  <c r="AV393" i="60"/>
  <c r="AV387" i="60"/>
  <c r="AV376" i="60"/>
  <c r="AV374" i="60"/>
  <c r="AV379" i="60"/>
  <c r="AV400" i="60"/>
  <c r="AV389" i="60"/>
  <c r="AV385" i="60"/>
  <c r="AV398" i="60"/>
  <c r="AV377" i="60"/>
  <c r="AV375" i="60"/>
  <c r="AV378" i="60"/>
  <c r="AV373" i="60"/>
  <c r="AV369" i="60"/>
  <c r="AV347" i="60"/>
  <c r="AV354" i="60"/>
  <c r="AV338" i="60"/>
  <c r="AV346" i="60"/>
  <c r="AV55" i="60"/>
  <c r="AV52" i="60"/>
  <c r="AV50" i="60"/>
  <c r="AV48" i="60"/>
  <c r="AV46" i="60"/>
  <c r="AV51" i="60"/>
  <c r="AV44" i="60"/>
  <c r="AV43" i="60"/>
  <c r="AV40" i="60"/>
  <c r="AV39" i="60"/>
  <c r="AV34" i="60"/>
  <c r="AV32" i="60"/>
  <c r="AV30" i="60"/>
  <c r="AV28" i="60"/>
  <c r="AV26" i="60"/>
  <c r="AV24" i="60"/>
  <c r="AV22" i="60"/>
  <c r="AV20" i="60"/>
  <c r="AV18" i="60"/>
  <c r="AV16" i="60"/>
  <c r="AV14" i="60"/>
  <c r="AV12" i="60"/>
  <c r="AV10" i="60"/>
  <c r="AV8" i="60"/>
  <c r="AV47" i="60"/>
  <c r="AV36" i="60"/>
  <c r="AV49" i="60"/>
  <c r="AV45" i="60"/>
  <c r="AV42" i="60"/>
  <c r="AV41" i="60"/>
  <c r="AV38" i="60"/>
  <c r="AV33" i="60"/>
  <c r="AV31" i="60"/>
  <c r="AV29" i="60"/>
  <c r="AV27" i="60"/>
  <c r="AV25" i="60"/>
  <c r="AV23" i="60"/>
  <c r="AV21" i="60"/>
  <c r="AV19" i="60"/>
  <c r="AV17" i="60"/>
  <c r="AV15" i="60"/>
  <c r="AV13" i="60"/>
  <c r="AV11" i="60"/>
  <c r="AV9" i="60"/>
  <c r="AV53" i="60"/>
  <c r="AV54" i="60"/>
  <c r="AV37" i="60"/>
  <c r="J16" i="44"/>
  <c r="AV365" i="60" l="1"/>
  <c r="AV363" i="60"/>
  <c r="AV337" i="60"/>
  <c r="AV333" i="60"/>
  <c r="AV361" i="60"/>
  <c r="AV326" i="60"/>
  <c r="AV324" i="60"/>
  <c r="AV362" i="60"/>
  <c r="AV353" i="60"/>
  <c r="AV336" i="60"/>
  <c r="AV331" i="60"/>
  <c r="AV366" i="60"/>
  <c r="AV321" i="60"/>
  <c r="AV325" i="60"/>
  <c r="AV350" i="60"/>
  <c r="AV345" i="60"/>
  <c r="AV330" i="60"/>
  <c r="AV364" i="60"/>
  <c r="AV327" i="60"/>
  <c r="AV335" i="60"/>
  <c r="AV367" i="60"/>
  <c r="AV349" i="60"/>
  <c r="AV356" i="60"/>
  <c r="AV343" i="60"/>
  <c r="AV358" i="60"/>
  <c r="AV329" i="60"/>
  <c r="AV355" i="60"/>
  <c r="AV68" i="60"/>
  <c r="AV178" i="60"/>
  <c r="AV181" i="60"/>
  <c r="AV71" i="60"/>
  <c r="AV328" i="60"/>
  <c r="AV344" i="60"/>
  <c r="AV339" i="60"/>
  <c r="AV65" i="60"/>
  <c r="AV175" i="60"/>
  <c r="AV176" i="60"/>
  <c r="AV66" i="60"/>
  <c r="AV341" i="60"/>
  <c r="AV351" i="60"/>
  <c r="AV179" i="60"/>
  <c r="AV69" i="60"/>
  <c r="AV323" i="60"/>
  <c r="AV334" i="60"/>
  <c r="AV357" i="60"/>
  <c r="AV360" i="60"/>
  <c r="AV368" i="60"/>
  <c r="AV332" i="60"/>
  <c r="AV359" i="60"/>
  <c r="AV170" i="60"/>
  <c r="AV60" i="60"/>
  <c r="AV322" i="60"/>
  <c r="AV340" i="60"/>
  <c r="AV352" i="60"/>
  <c r="AV56" i="60"/>
  <c r="AV166" i="60"/>
  <c r="AV70" i="60"/>
  <c r="AV180" i="60"/>
  <c r="AV342" i="60"/>
  <c r="BD1" i="60"/>
  <c r="AZ1" i="60"/>
  <c r="AA7" i="41"/>
  <c r="P4" i="46"/>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P18" i="46"/>
  <c r="P19" i="46"/>
  <c r="P20" i="46"/>
  <c r="P21" i="46"/>
  <c r="P22" i="46"/>
  <c r="P23" i="46"/>
  <c r="P24" i="46"/>
  <c r="P25" i="46"/>
  <c r="P26" i="46"/>
  <c r="P17" i="46"/>
  <c r="P5" i="46"/>
  <c r="P6" i="46"/>
  <c r="P7" i="46"/>
  <c r="P8" i="46"/>
  <c r="P9" i="46"/>
  <c r="P10" i="46"/>
  <c r="P11" i="46"/>
  <c r="P12" i="46"/>
  <c r="P13" i="46"/>
  <c r="AZ399" i="60" l="1"/>
  <c r="AZ397" i="60"/>
  <c r="AZ400" i="60"/>
  <c r="AZ393" i="60"/>
  <c r="AZ398" i="60"/>
  <c r="AZ389" i="60"/>
  <c r="AZ385" i="60"/>
  <c r="AZ377" i="60"/>
  <c r="AZ375" i="60"/>
  <c r="AZ391" i="60"/>
  <c r="AZ378" i="60"/>
  <c r="AZ395" i="60"/>
  <c r="AZ387" i="60"/>
  <c r="AZ379" i="60"/>
  <c r="AZ373" i="60"/>
  <c r="AZ374" i="60"/>
  <c r="AZ376" i="60"/>
  <c r="AZ369" i="60"/>
  <c r="AZ360" i="60"/>
  <c r="AZ346" i="60"/>
  <c r="AZ339" i="60"/>
  <c r="AZ337" i="60"/>
  <c r="AZ335" i="60"/>
  <c r="AZ331" i="60"/>
  <c r="AZ329" i="60"/>
  <c r="AZ53" i="60"/>
  <c r="AZ51" i="60"/>
  <c r="AZ49" i="60"/>
  <c r="AZ47" i="60"/>
  <c r="AZ54" i="60"/>
  <c r="AZ45" i="60"/>
  <c r="AZ41" i="60"/>
  <c r="AZ33" i="60"/>
  <c r="AZ31" i="60"/>
  <c r="AZ29" i="60"/>
  <c r="AZ27" i="60"/>
  <c r="AZ25" i="60"/>
  <c r="AZ23" i="60"/>
  <c r="AZ21" i="60"/>
  <c r="AZ19" i="60"/>
  <c r="AZ17" i="60"/>
  <c r="AZ15" i="60"/>
  <c r="AZ13" i="60"/>
  <c r="AZ11" i="60"/>
  <c r="AZ9" i="60"/>
  <c r="AZ52" i="60"/>
  <c r="AZ48" i="60"/>
  <c r="AZ42" i="60"/>
  <c r="AZ38" i="60"/>
  <c r="AZ37" i="60"/>
  <c r="AZ46" i="60"/>
  <c r="AZ43" i="60"/>
  <c r="AZ55" i="60"/>
  <c r="AZ44" i="60"/>
  <c r="AZ39" i="60"/>
  <c r="AZ34" i="60"/>
  <c r="AZ32" i="60"/>
  <c r="AZ30" i="60"/>
  <c r="AZ28" i="60"/>
  <c r="AZ26" i="60"/>
  <c r="AZ24" i="60"/>
  <c r="AZ22" i="60"/>
  <c r="AZ20" i="60"/>
  <c r="AZ18" i="60"/>
  <c r="AZ16" i="60"/>
  <c r="AZ14" i="60"/>
  <c r="AZ12" i="60"/>
  <c r="AZ10" i="60"/>
  <c r="AZ8" i="60"/>
  <c r="AZ50" i="60"/>
  <c r="AZ40" i="60"/>
  <c r="AZ36" i="60"/>
  <c r="BD399" i="60"/>
  <c r="BD391" i="60"/>
  <c r="BD397" i="60"/>
  <c r="BD400" i="60"/>
  <c r="BD387" i="60"/>
  <c r="BD376" i="60"/>
  <c r="BD374" i="60"/>
  <c r="BD379" i="60"/>
  <c r="BD395" i="60"/>
  <c r="BD393" i="60"/>
  <c r="BD398" i="60"/>
  <c r="BD389" i="60"/>
  <c r="BD385" i="60"/>
  <c r="BD378" i="60"/>
  <c r="BD377" i="60"/>
  <c r="BD373" i="60"/>
  <c r="BD375" i="60"/>
  <c r="BD369" i="60"/>
  <c r="BD361" i="60"/>
  <c r="BD359" i="60"/>
  <c r="BD363" i="60"/>
  <c r="BD346" i="60"/>
  <c r="BD327" i="60"/>
  <c r="BD323" i="60"/>
  <c r="BD55" i="60"/>
  <c r="BD52" i="60"/>
  <c r="BD50" i="60"/>
  <c r="BD48" i="60"/>
  <c r="BD46" i="60"/>
  <c r="BD44" i="60"/>
  <c r="BD43" i="60"/>
  <c r="BD34" i="60"/>
  <c r="BD32" i="60"/>
  <c r="BD30" i="60"/>
  <c r="BD28" i="60"/>
  <c r="BD26" i="60"/>
  <c r="BD24" i="60"/>
  <c r="BD22" i="60"/>
  <c r="BD20" i="60"/>
  <c r="BD18" i="60"/>
  <c r="BD16" i="60"/>
  <c r="BD14" i="60"/>
  <c r="BD12" i="60"/>
  <c r="BD10" i="60"/>
  <c r="BD8" i="60"/>
  <c r="BD53" i="60"/>
  <c r="BD40" i="60"/>
  <c r="BD39" i="60"/>
  <c r="BD51" i="60"/>
  <c r="BD36" i="60"/>
  <c r="BD54" i="60"/>
  <c r="BD47" i="60"/>
  <c r="BD45" i="60"/>
  <c r="BD33" i="60"/>
  <c r="BD31" i="60"/>
  <c r="BD29" i="60"/>
  <c r="BD27" i="60"/>
  <c r="BD25" i="60"/>
  <c r="BD23" i="60"/>
  <c r="BD21" i="60"/>
  <c r="BD19" i="60"/>
  <c r="BD17" i="60"/>
  <c r="BD15" i="60"/>
  <c r="BD13" i="60"/>
  <c r="BD11" i="60"/>
  <c r="BD9" i="60"/>
  <c r="BD42" i="60"/>
  <c r="BD41" i="60"/>
  <c r="BD38" i="60"/>
  <c r="BD49" i="60"/>
  <c r="BD37" i="60"/>
  <c r="BH1" i="60"/>
  <c r="I3" i="44"/>
  <c r="AJ6" i="28"/>
  <c r="I6" i="28"/>
  <c r="AU6" i="45"/>
  <c r="N10" i="28" l="1"/>
  <c r="N17" i="28" s="1"/>
  <c r="R10" i="28"/>
  <c r="R17" i="28" s="1"/>
  <c r="AZ340" i="60"/>
  <c r="BD357" i="60"/>
  <c r="BD331" i="60"/>
  <c r="AZ326" i="60"/>
  <c r="BD322" i="60"/>
  <c r="BD334" i="60"/>
  <c r="BD352" i="60"/>
  <c r="BD333" i="60"/>
  <c r="AZ322" i="60"/>
  <c r="AZ338" i="60"/>
  <c r="AZ344" i="60"/>
  <c r="AZ354" i="60"/>
  <c r="AZ366" i="60"/>
  <c r="BD328" i="60"/>
  <c r="BD364" i="60"/>
  <c r="AZ367" i="60"/>
  <c r="AZ333" i="60"/>
  <c r="AZ349" i="60"/>
  <c r="BD347" i="60"/>
  <c r="AZ343" i="60"/>
  <c r="BD354" i="60"/>
  <c r="AZ347" i="60"/>
  <c r="BD325" i="60"/>
  <c r="BD337" i="60"/>
  <c r="BD324" i="60"/>
  <c r="BD321" i="60"/>
  <c r="BD338" i="60"/>
  <c r="BD336" i="60"/>
  <c r="AZ321" i="60"/>
  <c r="BD341" i="60"/>
  <c r="BD355" i="60"/>
  <c r="AZ323" i="60"/>
  <c r="AZ350" i="60"/>
  <c r="AZ359" i="60"/>
  <c r="AZ365" i="60"/>
  <c r="AZ332" i="60"/>
  <c r="AZ358" i="60"/>
  <c r="AZ341" i="60"/>
  <c r="BD340" i="60"/>
  <c r="BD339" i="60"/>
  <c r="BD358" i="60"/>
  <c r="AZ327" i="60"/>
  <c r="AZ328" i="60"/>
  <c r="AZ357" i="60"/>
  <c r="BD344" i="60"/>
  <c r="BD343" i="60"/>
  <c r="BD367" i="60"/>
  <c r="BD365" i="60"/>
  <c r="AZ324" i="60"/>
  <c r="AZ361" i="60"/>
  <c r="BD330" i="60"/>
  <c r="BD329" i="60"/>
  <c r="BD349" i="60"/>
  <c r="BD345" i="60"/>
  <c r="BD368" i="60"/>
  <c r="AZ368" i="60"/>
  <c r="BD356" i="60"/>
  <c r="BD351" i="60"/>
  <c r="AZ325" i="60"/>
  <c r="AZ356" i="60"/>
  <c r="AZ342" i="60"/>
  <c r="AZ352" i="60"/>
  <c r="BD170" i="60"/>
  <c r="BD60" i="60"/>
  <c r="BD68" i="60"/>
  <c r="BD178" i="60"/>
  <c r="BD353" i="60"/>
  <c r="AZ170" i="60"/>
  <c r="AZ60" i="60"/>
  <c r="AZ181" i="60"/>
  <c r="AZ71" i="60"/>
  <c r="AZ363" i="60"/>
  <c r="BD176" i="60"/>
  <c r="BD66" i="60"/>
  <c r="BD342" i="60"/>
  <c r="BD360" i="60"/>
  <c r="AZ179" i="60"/>
  <c r="AZ69" i="60"/>
  <c r="AZ330" i="60"/>
  <c r="BL1" i="60"/>
  <c r="BD179" i="60"/>
  <c r="BD69" i="60"/>
  <c r="BD70" i="60"/>
  <c r="BD180" i="60"/>
  <c r="AZ68" i="60"/>
  <c r="AZ178" i="60"/>
  <c r="AZ334" i="60"/>
  <c r="AZ364" i="60"/>
  <c r="BD350" i="60"/>
  <c r="AZ56" i="60"/>
  <c r="AZ166" i="60"/>
  <c r="AZ345" i="60"/>
  <c r="AZ336" i="60"/>
  <c r="AZ351" i="60"/>
  <c r="BD56" i="60"/>
  <c r="BD166" i="60"/>
  <c r="BD181" i="60"/>
  <c r="BD71" i="60"/>
  <c r="BD326" i="60"/>
  <c r="BD362" i="60"/>
  <c r="AZ353" i="60"/>
  <c r="AZ362" i="60"/>
  <c r="BD65" i="60"/>
  <c r="BD175" i="60"/>
  <c r="BD332" i="60"/>
  <c r="BD335" i="60"/>
  <c r="BD366" i="60"/>
  <c r="AZ176" i="60"/>
  <c r="AZ66" i="60"/>
  <c r="AZ70" i="60"/>
  <c r="AZ180" i="60"/>
  <c r="AZ355" i="60"/>
  <c r="AZ65" i="60"/>
  <c r="AZ175" i="60"/>
  <c r="BL36" i="60"/>
  <c r="BL12" i="60"/>
  <c r="BL50" i="60"/>
  <c r="BL11" i="60"/>
  <c r="BL29" i="60"/>
  <c r="BL54" i="60"/>
  <c r="BL47" i="60"/>
  <c r="BL49" i="60"/>
  <c r="BL13" i="60"/>
  <c r="BL16" i="60"/>
  <c r="BL19" i="60"/>
  <c r="BL22" i="60"/>
  <c r="BL23" i="60"/>
  <c r="BL28" i="60"/>
  <c r="BL374" i="60"/>
  <c r="BL41" i="60"/>
  <c r="BL44" i="60"/>
  <c r="BL369" i="60"/>
  <c r="BL400" i="60"/>
  <c r="BL38" i="60"/>
  <c r="BL27" i="60"/>
  <c r="BL20" i="60"/>
  <c r="BL48" i="60"/>
  <c r="BL385" i="60"/>
  <c r="BL376" i="60"/>
  <c r="BL53" i="60"/>
  <c r="BL40" i="60"/>
  <c r="BL32" i="60"/>
  <c r="BL395" i="60"/>
  <c r="BL42" i="60"/>
  <c r="BL15" i="60"/>
  <c r="BL31" i="60"/>
  <c r="BL8" i="60"/>
  <c r="BL24" i="60"/>
  <c r="BL52" i="60"/>
  <c r="BL375" i="60"/>
  <c r="BL387" i="60"/>
  <c r="BL45" i="60"/>
  <c r="BL17" i="60"/>
  <c r="BL33" i="60"/>
  <c r="BL10" i="60"/>
  <c r="BL26" i="60"/>
  <c r="BL55" i="60"/>
  <c r="BL377" i="60"/>
  <c r="BL393" i="60"/>
  <c r="BL51" i="60"/>
  <c r="BL21" i="60"/>
  <c r="BL39" i="60"/>
  <c r="BL14" i="60"/>
  <c r="BL30" i="60"/>
  <c r="BL389" i="60"/>
  <c r="BL397" i="60"/>
  <c r="BL373" i="60"/>
  <c r="BL379" i="60"/>
  <c r="BL399" i="60"/>
  <c r="BL37" i="60"/>
  <c r="BL9" i="60"/>
  <c r="BL25" i="60"/>
  <c r="BL43" i="60"/>
  <c r="BL18" i="60"/>
  <c r="BL34" i="60"/>
  <c r="BL46" i="60"/>
  <c r="BL378" i="60"/>
  <c r="BL398" i="60"/>
  <c r="BL391" i="60"/>
  <c r="BH399" i="60"/>
  <c r="BH397" i="60"/>
  <c r="BH400" i="60"/>
  <c r="BH393" i="60"/>
  <c r="BH398" i="60"/>
  <c r="BH395" i="60"/>
  <c r="BH389" i="60"/>
  <c r="BH385" i="60"/>
  <c r="BH377" i="60"/>
  <c r="BH375" i="60"/>
  <c r="BH378" i="60"/>
  <c r="BH391" i="60"/>
  <c r="BH379" i="60"/>
  <c r="BH373" i="60"/>
  <c r="BH376" i="60"/>
  <c r="BH369" i="60"/>
  <c r="BH367" i="60"/>
  <c r="BH352" i="60"/>
  <c r="BH340" i="60"/>
  <c r="BH330" i="60"/>
  <c r="BH326" i="60"/>
  <c r="BH322" i="60"/>
  <c r="BH53" i="60"/>
  <c r="BH51" i="60"/>
  <c r="BH47" i="60"/>
  <c r="BH50" i="60"/>
  <c r="BH31" i="60"/>
  <c r="BH29" i="60"/>
  <c r="BH25" i="60"/>
  <c r="BH23" i="60"/>
  <c r="BH21" i="60"/>
  <c r="BH19" i="60"/>
  <c r="BH17" i="60"/>
  <c r="BH15" i="60"/>
  <c r="BH13" i="60"/>
  <c r="BH55" i="60"/>
  <c r="BH41" i="60"/>
  <c r="BH42" i="60"/>
  <c r="BH38" i="60"/>
  <c r="BH37" i="60"/>
  <c r="BH52" i="60"/>
  <c r="BH48" i="60"/>
  <c r="BH43" i="60"/>
  <c r="BH34" i="60"/>
  <c r="BH32" i="60"/>
  <c r="BH30" i="60"/>
  <c r="BH28" i="60"/>
  <c r="BH26" i="60"/>
  <c r="BH24" i="60"/>
  <c r="BH20" i="60"/>
  <c r="BH18" i="60"/>
  <c r="BH16" i="60"/>
  <c r="BH14" i="60"/>
  <c r="BH10" i="60"/>
  <c r="BH8" i="60"/>
  <c r="BH46" i="60"/>
  <c r="BH44" i="60"/>
  <c r="BH39" i="60"/>
  <c r="BH40" i="60"/>
  <c r="J8" i="44"/>
  <c r="J13" i="44" s="1"/>
  <c r="R6" i="44"/>
  <c r="R11" i="44" s="1"/>
  <c r="F8" i="44"/>
  <c r="F13" i="44" s="1"/>
  <c r="J6" i="44"/>
  <c r="J11" i="44" s="1"/>
  <c r="N6" i="44"/>
  <c r="N11" i="44" s="1"/>
  <c r="J12" i="28"/>
  <c r="J19" i="28" s="1"/>
  <c r="J13" i="28"/>
  <c r="J20" i="28" s="1"/>
  <c r="F12" i="28"/>
  <c r="F19" i="28" s="1"/>
  <c r="F13" i="28"/>
  <c r="F20" i="28" s="1"/>
  <c r="R9" i="28"/>
  <c r="R16" i="28" s="1"/>
  <c r="N9" i="28"/>
  <c r="N16" i="28" s="1"/>
  <c r="J9" i="28"/>
  <c r="J16" i="28" s="1"/>
  <c r="J10" i="28"/>
  <c r="J17" i="28" s="1"/>
  <c r="T1" i="35"/>
  <c r="BH321" i="60" l="1"/>
  <c r="BL349" i="60"/>
  <c r="BL327" i="60"/>
  <c r="BL341" i="60"/>
  <c r="BH327" i="60"/>
  <c r="BL368" i="60"/>
  <c r="BH355" i="60"/>
  <c r="BH334" i="60"/>
  <c r="BH346" i="60"/>
  <c r="BL339" i="60"/>
  <c r="BH343" i="60"/>
  <c r="BH338" i="60"/>
  <c r="BL354" i="60"/>
  <c r="BH350" i="60"/>
  <c r="BH358" i="60"/>
  <c r="BH325" i="60"/>
  <c r="BH362" i="60"/>
  <c r="BH368" i="60"/>
  <c r="BL333" i="60"/>
  <c r="BH324" i="60"/>
  <c r="BH349" i="60"/>
  <c r="BL358" i="60"/>
  <c r="BL343" i="60"/>
  <c r="BL359" i="60"/>
  <c r="BL340" i="60"/>
  <c r="BH332" i="60"/>
  <c r="BH363" i="60"/>
  <c r="BL321" i="60"/>
  <c r="BL356" i="60"/>
  <c r="BH360" i="60"/>
  <c r="BL322" i="60"/>
  <c r="BH337" i="60"/>
  <c r="BH365" i="60"/>
  <c r="BL360" i="60"/>
  <c r="BH329" i="60"/>
  <c r="BH333" i="60"/>
  <c r="BH347" i="60"/>
  <c r="BH357" i="60"/>
  <c r="BH366" i="60"/>
  <c r="BL326" i="60"/>
  <c r="BL363" i="60"/>
  <c r="BH364" i="60"/>
  <c r="BL329" i="60"/>
  <c r="BH331" i="60"/>
  <c r="BH351" i="60"/>
  <c r="BL325" i="60"/>
  <c r="BH22" i="60"/>
  <c r="BH9" i="60"/>
  <c r="BH341" i="60"/>
  <c r="BH336" i="60"/>
  <c r="BH353" i="60"/>
  <c r="BL344" i="60"/>
  <c r="BL347" i="60"/>
  <c r="BL355" i="60"/>
  <c r="BL342" i="60"/>
  <c r="BL70" i="60"/>
  <c r="BL180" i="60"/>
  <c r="BH11" i="60"/>
  <c r="BH27" i="60"/>
  <c r="BH49" i="60"/>
  <c r="BL181" i="60"/>
  <c r="BL71" i="60"/>
  <c r="BL365" i="60"/>
  <c r="BL65" i="60"/>
  <c r="BL175" i="60"/>
  <c r="BL351" i="60"/>
  <c r="BL337" i="60"/>
  <c r="BH68" i="60"/>
  <c r="BH178" i="60"/>
  <c r="BH354" i="60"/>
  <c r="BH387" i="60"/>
  <c r="BL335" i="60"/>
  <c r="BL170" i="60"/>
  <c r="BL60" i="60"/>
  <c r="BL361" i="60"/>
  <c r="BL324" i="60"/>
  <c r="BL179" i="60"/>
  <c r="BL69" i="60"/>
  <c r="BH12" i="60"/>
  <c r="BH54" i="60"/>
  <c r="BH345" i="60"/>
  <c r="BH342" i="60"/>
  <c r="BH359" i="60"/>
  <c r="BH374" i="60"/>
  <c r="BL345" i="60"/>
  <c r="BL176" i="60"/>
  <c r="BL66" i="60"/>
  <c r="BL357" i="60"/>
  <c r="BL336" i="60"/>
  <c r="BH36" i="60"/>
  <c r="BH33" i="60"/>
  <c r="BH65" i="60"/>
  <c r="BH175" i="60"/>
  <c r="BH56" i="60"/>
  <c r="BH166" i="60"/>
  <c r="BH181" i="60"/>
  <c r="BH71" i="60"/>
  <c r="BH179" i="60"/>
  <c r="BH69" i="60"/>
  <c r="BH328" i="60"/>
  <c r="BH344" i="60"/>
  <c r="BH361" i="60"/>
  <c r="BL330" i="60"/>
  <c r="BL352" i="60"/>
  <c r="BL334" i="60"/>
  <c r="BL328" i="60"/>
  <c r="BL362" i="60"/>
  <c r="BH45" i="60"/>
  <c r="BH66" i="60"/>
  <c r="BH176" i="60"/>
  <c r="BH323" i="60"/>
  <c r="BH335" i="60"/>
  <c r="BH356" i="60"/>
  <c r="BL366" i="60"/>
  <c r="BL353" i="60"/>
  <c r="BL56" i="60"/>
  <c r="BL166" i="60"/>
  <c r="BL68" i="60"/>
  <c r="BL178" i="60"/>
  <c r="BL364" i="60"/>
  <c r="BL331" i="60"/>
  <c r="BL323" i="60"/>
  <c r="BH70" i="60"/>
  <c r="BH180" i="60"/>
  <c r="BL367" i="60"/>
  <c r="BL338" i="60"/>
  <c r="BL346" i="60"/>
  <c r="BH170" i="60"/>
  <c r="BH60" i="60"/>
  <c r="BH339" i="60"/>
  <c r="BL332" i="60"/>
  <c r="BL350" i="60"/>
  <c r="T8" i="60"/>
  <c r="K17" i="46"/>
  <c r="T321" i="60" l="1"/>
  <c r="L18" i="60"/>
  <c r="T18" i="60"/>
  <c r="L327" i="60"/>
  <c r="T327" i="60"/>
  <c r="L376" i="60"/>
  <c r="T376" i="60"/>
  <c r="L338" i="60"/>
  <c r="T338" i="60"/>
  <c r="L353" i="60"/>
  <c r="T353" i="60"/>
  <c r="L398" i="60"/>
  <c r="T398" i="60"/>
  <c r="L341" i="60"/>
  <c r="T341" i="60"/>
  <c r="L47" i="60"/>
  <c r="T47" i="60"/>
  <c r="L358" i="60"/>
  <c r="T358" i="60"/>
  <c r="L343" i="60"/>
  <c r="T343" i="60"/>
  <c r="T176" i="60"/>
  <c r="T66" i="60"/>
  <c r="L362" i="60"/>
  <c r="T362" i="60"/>
  <c r="L13" i="60"/>
  <c r="T13" i="60"/>
  <c r="L323" i="60"/>
  <c r="T323" i="60"/>
  <c r="L33" i="60"/>
  <c r="T33" i="60"/>
  <c r="L27" i="60"/>
  <c r="T27" i="60"/>
  <c r="L42" i="60"/>
  <c r="T42" i="60"/>
  <c r="L397" i="60"/>
  <c r="T397" i="60"/>
  <c r="L326" i="60"/>
  <c r="T326" i="60"/>
  <c r="L25" i="60"/>
  <c r="T25" i="60"/>
  <c r="L351" i="60"/>
  <c r="T351" i="60"/>
  <c r="L399" i="60"/>
  <c r="T399" i="60"/>
  <c r="L363" i="60"/>
  <c r="T363" i="60"/>
  <c r="T179" i="60"/>
  <c r="T69" i="60"/>
  <c r="L46" i="60"/>
  <c r="T46" i="60"/>
  <c r="L26" i="60"/>
  <c r="T26" i="60"/>
  <c r="L16" i="60"/>
  <c r="T16" i="60"/>
  <c r="L379" i="60"/>
  <c r="T379" i="60"/>
  <c r="L20" i="60"/>
  <c r="T20" i="60"/>
  <c r="L374" i="60"/>
  <c r="T374" i="60"/>
  <c r="L12" i="60"/>
  <c r="T12" i="60"/>
  <c r="T68" i="60"/>
  <c r="T178" i="60"/>
  <c r="L14" i="60"/>
  <c r="T14" i="60"/>
  <c r="L400" i="60"/>
  <c r="T400" i="60"/>
  <c r="L55" i="60"/>
  <c r="T55" i="60"/>
  <c r="L43" i="60"/>
  <c r="T43" i="60"/>
  <c r="L337" i="60"/>
  <c r="T337" i="60"/>
  <c r="L324" i="60"/>
  <c r="T324" i="60"/>
  <c r="L23" i="60"/>
  <c r="T23" i="60"/>
  <c r="L336" i="60"/>
  <c r="T336" i="60"/>
  <c r="L369" i="60"/>
  <c r="T369" i="60"/>
  <c r="L344" i="60"/>
  <c r="T344" i="60"/>
  <c r="L36" i="60"/>
  <c r="T36" i="60"/>
  <c r="L387" i="60"/>
  <c r="T387" i="60"/>
  <c r="L11" i="60"/>
  <c r="T11" i="60"/>
  <c r="L34" i="60"/>
  <c r="T34" i="60"/>
  <c r="L347" i="60"/>
  <c r="T347" i="60"/>
  <c r="L51" i="60"/>
  <c r="T51" i="60"/>
  <c r="L378" i="60"/>
  <c r="T378" i="60"/>
  <c r="T170" i="60"/>
  <c r="T60" i="60"/>
  <c r="L385" i="60"/>
  <c r="T385" i="60"/>
  <c r="L38" i="60"/>
  <c r="T38" i="60"/>
  <c r="L366" i="60"/>
  <c r="T366" i="60"/>
  <c r="L322" i="60"/>
  <c r="T322" i="60"/>
  <c r="L367" i="60"/>
  <c r="T367" i="60"/>
  <c r="T181" i="60"/>
  <c r="T71" i="60"/>
  <c r="L375" i="60"/>
  <c r="T375" i="60"/>
  <c r="L44" i="60"/>
  <c r="T44" i="60"/>
  <c r="L52" i="60"/>
  <c r="T52" i="60"/>
  <c r="L377" i="60"/>
  <c r="T377" i="60"/>
  <c r="L30" i="60"/>
  <c r="T30" i="60"/>
  <c r="L365" i="60"/>
  <c r="T365" i="60"/>
  <c r="L354" i="60"/>
  <c r="T354" i="60"/>
  <c r="L53" i="60"/>
  <c r="T53" i="60"/>
  <c r="L360" i="60"/>
  <c r="T360" i="60"/>
  <c r="L359" i="60"/>
  <c r="T359" i="60"/>
  <c r="L48" i="60"/>
  <c r="T48" i="60"/>
  <c r="L393" i="60"/>
  <c r="T393" i="60"/>
  <c r="T65" i="60"/>
  <c r="T175" i="60"/>
  <c r="L50" i="60"/>
  <c r="T50" i="60"/>
  <c r="L28" i="60"/>
  <c r="T28" i="60"/>
  <c r="L10" i="60"/>
  <c r="T10" i="60"/>
  <c r="L368" i="60"/>
  <c r="T368" i="60"/>
  <c r="T70" i="60"/>
  <c r="T180" i="60"/>
  <c r="L331" i="60"/>
  <c r="T331" i="60"/>
  <c r="L339" i="60"/>
  <c r="T339" i="60"/>
  <c r="L45" i="60"/>
  <c r="T45" i="60"/>
  <c r="T56" i="60"/>
  <c r="T166" i="60"/>
  <c r="L56" i="60"/>
  <c r="L166" i="60"/>
  <c r="L349" i="60"/>
  <c r="T349" i="60"/>
  <c r="L357" i="60"/>
  <c r="T357" i="60"/>
  <c r="L37" i="60"/>
  <c r="T37" i="60"/>
  <c r="L24" i="60"/>
  <c r="T24" i="60"/>
  <c r="L346" i="60"/>
  <c r="T346" i="60"/>
  <c r="L329" i="60"/>
  <c r="T329" i="60"/>
  <c r="L350" i="60"/>
  <c r="T350" i="60"/>
  <c r="L39" i="60"/>
  <c r="T39" i="60"/>
  <c r="L334" i="60"/>
  <c r="T334" i="60"/>
  <c r="L31" i="60"/>
  <c r="T31" i="60"/>
  <c r="L328" i="60"/>
  <c r="T328" i="60"/>
  <c r="L345" i="60"/>
  <c r="T345" i="60"/>
  <c r="L9" i="60"/>
  <c r="T9" i="60"/>
  <c r="L332" i="60"/>
  <c r="T332" i="60"/>
  <c r="L340" i="60"/>
  <c r="T340" i="60"/>
  <c r="L356" i="60"/>
  <c r="T356" i="60"/>
  <c r="L325" i="60"/>
  <c r="T325" i="60"/>
  <c r="L17" i="60"/>
  <c r="T17" i="60"/>
  <c r="L395" i="60"/>
  <c r="T395" i="60"/>
  <c r="L389" i="60"/>
  <c r="T389" i="60"/>
  <c r="L391" i="60"/>
  <c r="T391" i="60"/>
  <c r="L335" i="60"/>
  <c r="T335" i="60"/>
  <c r="L352" i="60"/>
  <c r="T352" i="60"/>
  <c r="L41" i="60"/>
  <c r="T41" i="60"/>
  <c r="L19" i="60"/>
  <c r="T19" i="60"/>
  <c r="L342" i="60"/>
  <c r="T342" i="60"/>
  <c r="L364" i="60"/>
  <c r="T364" i="60"/>
  <c r="L49" i="60"/>
  <c r="T49" i="60"/>
  <c r="L330" i="60"/>
  <c r="T330" i="60"/>
  <c r="L32" i="60"/>
  <c r="T32" i="60"/>
  <c r="L15" i="60"/>
  <c r="T15" i="60"/>
  <c r="L29" i="60"/>
  <c r="T29" i="60"/>
  <c r="L373" i="60"/>
  <c r="T373" i="60"/>
  <c r="L361" i="60"/>
  <c r="T361" i="60"/>
  <c r="L21" i="60"/>
  <c r="T21" i="60"/>
  <c r="L355" i="60"/>
  <c r="T355" i="60"/>
  <c r="L40" i="60"/>
  <c r="T40" i="60"/>
  <c r="L333" i="60"/>
  <c r="T333" i="60"/>
  <c r="L54" i="60"/>
  <c r="T54" i="60"/>
  <c r="L22" i="60"/>
  <c r="T22" i="60"/>
  <c r="Y23" i="41"/>
  <c r="Y18" i="41"/>
  <c r="M8" i="46"/>
  <c r="M4" i="46"/>
  <c r="L179" i="60" l="1"/>
  <c r="L69" i="60"/>
  <c r="L321" i="60"/>
  <c r="L8" i="60"/>
  <c r="L65" i="60"/>
  <c r="L175" i="60"/>
  <c r="L170" i="60"/>
  <c r="L60" i="60"/>
  <c r="L176" i="60"/>
  <c r="L66" i="60"/>
  <c r="L181" i="60"/>
  <c r="L71" i="60"/>
  <c r="L70" i="60"/>
  <c r="L180" i="60"/>
  <c r="L68" i="60"/>
  <c r="L178" i="60"/>
  <c r="M9" i="46"/>
  <c r="K26" i="46"/>
  <c r="K25" i="46"/>
  <c r="K24" i="46"/>
  <c r="K23" i="46"/>
  <c r="K22" i="46"/>
  <c r="K21" i="46"/>
  <c r="K20" i="46"/>
  <c r="K19" i="46"/>
  <c r="K18" i="46"/>
  <c r="M5" i="46"/>
  <c r="M6" i="46"/>
  <c r="M7" i="46"/>
  <c r="M10" i="46"/>
  <c r="M11" i="46"/>
  <c r="M12" i="46"/>
  <c r="M13" i="46"/>
  <c r="V30" i="44" l="1"/>
  <c r="V25" i="44"/>
  <c r="V35" i="28"/>
  <c r="V34" i="28"/>
  <c r="V28" i="28"/>
  <c r="V27" i="28"/>
  <c r="V20" i="28"/>
  <c r="V19" i="28"/>
  <c r="V13" i="28"/>
  <c r="V12" i="28"/>
  <c r="V8" i="44"/>
  <c r="V13" i="44"/>
  <c r="R12" i="28"/>
  <c r="R13" i="28" l="1"/>
  <c r="R20" i="28"/>
  <c r="R19" i="28"/>
  <c r="U1" i="28" l="1"/>
  <c r="AE5" i="35" l="1"/>
  <c r="AE33" i="35"/>
  <c r="AE31" i="35"/>
  <c r="AE29" i="35"/>
  <c r="AE27" i="35"/>
  <c r="AE25" i="35"/>
  <c r="AE23" i="35"/>
  <c r="AE21" i="35"/>
  <c r="AE19" i="35"/>
  <c r="AE17" i="35"/>
  <c r="AE15" i="35"/>
  <c r="AE13" i="35"/>
  <c r="AE11" i="35"/>
  <c r="AE9" i="35"/>
  <c r="AE7" i="35"/>
  <c r="F33" i="35"/>
  <c r="F31" i="35"/>
  <c r="F29" i="35"/>
  <c r="F27" i="35"/>
  <c r="F25" i="35"/>
  <c r="F23" i="35"/>
  <c r="F21" i="35"/>
  <c r="F19" i="35"/>
  <c r="F17" i="35"/>
  <c r="F15" i="35"/>
  <c r="F13" i="35"/>
  <c r="F11" i="35"/>
  <c r="F9" i="35"/>
  <c r="F7" i="35"/>
  <c r="F5" i="35"/>
  <c r="AO20" i="44" l="1"/>
  <c r="AO18" i="44" l="1"/>
  <c r="AO19" i="44"/>
  <c r="AO17" i="44"/>
  <c r="AY23" i="41"/>
  <c r="AU19" i="41"/>
  <c r="AM21" i="41" s="1"/>
  <c r="AY18" i="41"/>
  <c r="AS30" i="44"/>
  <c r="AS26" i="44"/>
  <c r="AI28" i="44" s="1"/>
  <c r="AS25" i="44"/>
  <c r="AS13" i="44"/>
  <c r="AO9" i="44"/>
  <c r="AM13" i="44"/>
  <c r="AS8" i="44"/>
  <c r="AS35" i="28"/>
  <c r="AS34" i="28"/>
  <c r="AS29" i="28"/>
  <c r="AM31" i="28" s="1"/>
  <c r="AS28" i="28"/>
  <c r="AS27" i="28"/>
  <c r="AS20" i="28"/>
  <c r="AS19" i="28"/>
  <c r="AO14" i="28"/>
  <c r="AI19" i="28" s="1"/>
  <c r="AS13" i="28"/>
  <c r="AS12" i="28"/>
  <c r="N20" i="44"/>
  <c r="N19" i="44"/>
  <c r="N18" i="44"/>
  <c r="R35" i="28"/>
  <c r="R28" i="28"/>
  <c r="Q19" i="41"/>
  <c r="I21" i="41" s="1"/>
  <c r="R29" i="28"/>
  <c r="H34" i="28" s="1"/>
  <c r="N14" i="28"/>
  <c r="H19" i="28" s="1"/>
  <c r="U23" i="41"/>
  <c r="U18" i="41"/>
  <c r="R34" i="28"/>
  <c r="R27" i="28"/>
  <c r="R8" i="44"/>
  <c r="N9" i="44"/>
  <c r="L11" i="44" s="1"/>
  <c r="R13" i="44"/>
  <c r="N17" i="44"/>
  <c r="R25" i="44"/>
  <c r="R26" i="44"/>
  <c r="T28" i="44" s="1"/>
  <c r="R30" i="44"/>
  <c r="AQ31" i="28"/>
  <c r="AQ34" i="28"/>
  <c r="AM34" i="28"/>
  <c r="AI31" i="28"/>
  <c r="AU31" i="28"/>
  <c r="AM28" i="44"/>
  <c r="AQ28" i="44"/>
  <c r="AQ11" i="44"/>
  <c r="AM11" i="44"/>
  <c r="AI11" i="44"/>
  <c r="AQ13" i="44"/>
  <c r="AI13" i="44"/>
  <c r="AU11" i="44"/>
  <c r="AU16" i="28" l="1"/>
  <c r="AM16" i="28"/>
  <c r="AM19" i="28"/>
  <c r="AQ16" i="28"/>
  <c r="AQ19" i="28"/>
  <c r="AI16" i="28"/>
  <c r="AQ30" i="44"/>
  <c r="AM30" i="44"/>
  <c r="AI34" i="28"/>
  <c r="AU28" i="44"/>
  <c r="AI30" i="44"/>
  <c r="AS23" i="41"/>
  <c r="AW23" i="41"/>
  <c r="BA21" i="41"/>
  <c r="AS21" i="41"/>
  <c r="AM23" i="41"/>
  <c r="AW21" i="41"/>
  <c r="O21" i="41"/>
  <c r="S21" i="41"/>
  <c r="W21" i="41"/>
  <c r="O23" i="41"/>
  <c r="I23" i="41"/>
  <c r="S23" i="41"/>
  <c r="H30" i="44"/>
  <c r="P28" i="44"/>
  <c r="L30" i="44"/>
  <c r="H28" i="44"/>
  <c r="L28" i="44"/>
  <c r="P30" i="44"/>
  <c r="L13" i="44"/>
  <c r="H13" i="44"/>
  <c r="P11" i="44"/>
  <c r="P13" i="44"/>
  <c r="H11" i="44"/>
  <c r="T11" i="44"/>
  <c r="T31" i="28"/>
  <c r="L34" i="28"/>
  <c r="H31" i="28"/>
  <c r="P34" i="28"/>
  <c r="P31" i="28"/>
  <c r="L31" i="28"/>
  <c r="L19" i="28"/>
  <c r="H16" i="28"/>
  <c r="P19" i="28"/>
  <c r="T16" i="28"/>
  <c r="P16" i="28"/>
  <c r="L16" i="28"/>
  <c r="T18" i="45" l="1"/>
  <c r="U19" i="45" l="1"/>
  <c r="AC1" i="60" l="1"/>
  <c r="AG1" i="60"/>
  <c r="AG395" i="60" l="1"/>
  <c r="AG399" i="60"/>
  <c r="AG400" i="60"/>
  <c r="AG391" i="60"/>
  <c r="AG397" i="60"/>
  <c r="AG398" i="60"/>
  <c r="AG387" i="60"/>
  <c r="AG379" i="60"/>
  <c r="AG389" i="60"/>
  <c r="AG385" i="60"/>
  <c r="AG377" i="60"/>
  <c r="AG375" i="60"/>
  <c r="AG393" i="60"/>
  <c r="AG378" i="60"/>
  <c r="AG374" i="60"/>
  <c r="AG376" i="60"/>
  <c r="AG373" i="60"/>
  <c r="AG369" i="60"/>
  <c r="AG368" i="60"/>
  <c r="AG358" i="60"/>
  <c r="AG356" i="60"/>
  <c r="AG349" i="60"/>
  <c r="AG326" i="60"/>
  <c r="AG54" i="60"/>
  <c r="AG55" i="60"/>
  <c r="AG52" i="60"/>
  <c r="AG50" i="60"/>
  <c r="AG48" i="60"/>
  <c r="AG46" i="60"/>
  <c r="AG44" i="60"/>
  <c r="AG53" i="60"/>
  <c r="AG34" i="60"/>
  <c r="AG32" i="60"/>
  <c r="AG30" i="60"/>
  <c r="AG28" i="60"/>
  <c r="AG26" i="60"/>
  <c r="AG24" i="60"/>
  <c r="AG22" i="60"/>
  <c r="AG20" i="60"/>
  <c r="AG18" i="60"/>
  <c r="AG16" i="60"/>
  <c r="AG14" i="60"/>
  <c r="AG12" i="60"/>
  <c r="AG10" i="60"/>
  <c r="AG8" i="60"/>
  <c r="AG51" i="60"/>
  <c r="AG45" i="60"/>
  <c r="AG42" i="60"/>
  <c r="AG41" i="60"/>
  <c r="AG38" i="60"/>
  <c r="AG36" i="60"/>
  <c r="AG33" i="60"/>
  <c r="AG31" i="60"/>
  <c r="AG29" i="60"/>
  <c r="AG27" i="60"/>
  <c r="AG25" i="60"/>
  <c r="AG23" i="60"/>
  <c r="AG21" i="60"/>
  <c r="AG19" i="60"/>
  <c r="AG17" i="60"/>
  <c r="AG15" i="60"/>
  <c r="AG13" i="60"/>
  <c r="AG11" i="60"/>
  <c r="AG9" i="60"/>
  <c r="AG49" i="60"/>
  <c r="AG47" i="60"/>
  <c r="AG43" i="60"/>
  <c r="AG40" i="60"/>
  <c r="AG39" i="60"/>
  <c r="AG37" i="60"/>
  <c r="AC400" i="60"/>
  <c r="AC398" i="60"/>
  <c r="AC395" i="60"/>
  <c r="AC389" i="60"/>
  <c r="AC385" i="60"/>
  <c r="AC393" i="60"/>
  <c r="AC391" i="60"/>
  <c r="AC387" i="60"/>
  <c r="AC376" i="60"/>
  <c r="AC397" i="60"/>
  <c r="AC399" i="60"/>
  <c r="AC379" i="60"/>
  <c r="AC373" i="60"/>
  <c r="AC369" i="60"/>
  <c r="AC374" i="60"/>
  <c r="AC378" i="60"/>
  <c r="AC377" i="60"/>
  <c r="AC375" i="60"/>
  <c r="AC365" i="60"/>
  <c r="AC357" i="60"/>
  <c r="AC331" i="60"/>
  <c r="AC341" i="60"/>
  <c r="AC323" i="60"/>
  <c r="AC53" i="60"/>
  <c r="AC51" i="60"/>
  <c r="AC49" i="60"/>
  <c r="AC47" i="60"/>
  <c r="AC45" i="60"/>
  <c r="AC43" i="60"/>
  <c r="AC55" i="60"/>
  <c r="AC52" i="60"/>
  <c r="AC48" i="60"/>
  <c r="AC33" i="60"/>
  <c r="AC31" i="60"/>
  <c r="AC29" i="60"/>
  <c r="AC27" i="60"/>
  <c r="AC25" i="60"/>
  <c r="AC23" i="60"/>
  <c r="AC21" i="60"/>
  <c r="AC19" i="60"/>
  <c r="AC17" i="60"/>
  <c r="AC15" i="60"/>
  <c r="AC13" i="60"/>
  <c r="AC11" i="60"/>
  <c r="AC9" i="60"/>
  <c r="AC44" i="60"/>
  <c r="AC39" i="60"/>
  <c r="AC40" i="60"/>
  <c r="AC37" i="60"/>
  <c r="AC50" i="60"/>
  <c r="AC34" i="60"/>
  <c r="AC32" i="60"/>
  <c r="AC30" i="60"/>
  <c r="AC28" i="60"/>
  <c r="AC26" i="60"/>
  <c r="AC24" i="60"/>
  <c r="AC22" i="60"/>
  <c r="AC20" i="60"/>
  <c r="AC18" i="60"/>
  <c r="AC16" i="60"/>
  <c r="AC14" i="60"/>
  <c r="AC12" i="60"/>
  <c r="AC10" i="60"/>
  <c r="AC8" i="60"/>
  <c r="AC46" i="60"/>
  <c r="AC41" i="60"/>
  <c r="AC54" i="60"/>
  <c r="AC42" i="60"/>
  <c r="AC38" i="60"/>
  <c r="AC36" i="60"/>
  <c r="AG362" i="60" l="1"/>
  <c r="AG323" i="60"/>
  <c r="AC364" i="60"/>
  <c r="AG334" i="60"/>
  <c r="AG351" i="60"/>
  <c r="AG325" i="60"/>
  <c r="AG328" i="60"/>
  <c r="AC352" i="60"/>
  <c r="AG330" i="60"/>
  <c r="AC366" i="60"/>
  <c r="AC343" i="60"/>
  <c r="AG352" i="60"/>
  <c r="AC330" i="60"/>
  <c r="AC321" i="60"/>
  <c r="AC334" i="60"/>
  <c r="AG346" i="60"/>
  <c r="AC358" i="60"/>
  <c r="AC329" i="60"/>
  <c r="AG367" i="60"/>
  <c r="AC342" i="60"/>
  <c r="AC354" i="60"/>
  <c r="AG322" i="60"/>
  <c r="AC361" i="60"/>
  <c r="AG355" i="60"/>
  <c r="AC325" i="60"/>
  <c r="AC368" i="60"/>
  <c r="AG335" i="60"/>
  <c r="AG353" i="60"/>
  <c r="AC335" i="60"/>
  <c r="AC332" i="60"/>
  <c r="AG363" i="60"/>
  <c r="AC356" i="60"/>
  <c r="AG327" i="60"/>
  <c r="AG343" i="60"/>
  <c r="AC322" i="60"/>
  <c r="AC338" i="60"/>
  <c r="AG324" i="60"/>
  <c r="AG336" i="60"/>
  <c r="AG340" i="60"/>
  <c r="AG345" i="60"/>
  <c r="AC337" i="60"/>
  <c r="AG329" i="60"/>
  <c r="AG339" i="60"/>
  <c r="AC346" i="60"/>
  <c r="AG341" i="60"/>
  <c r="AC327" i="60"/>
  <c r="AG342" i="60"/>
  <c r="AC360" i="60"/>
  <c r="AG365" i="60"/>
  <c r="AC339" i="60"/>
  <c r="AG350" i="60"/>
  <c r="AG357" i="60"/>
  <c r="AC355" i="60"/>
  <c r="AC328" i="60"/>
  <c r="AC336" i="60"/>
  <c r="AC349" i="60"/>
  <c r="AG360" i="60"/>
  <c r="AC326" i="60"/>
  <c r="AG338" i="60"/>
  <c r="AG333" i="60"/>
  <c r="AC344" i="60"/>
  <c r="AC351" i="60"/>
  <c r="AC367" i="60"/>
  <c r="AG332" i="60"/>
  <c r="AG359" i="60"/>
  <c r="AC181" i="60"/>
  <c r="AC71" i="60"/>
  <c r="AC179" i="60"/>
  <c r="AC69" i="60"/>
  <c r="AC333" i="60"/>
  <c r="AC324" i="60"/>
  <c r="AC340" i="60"/>
  <c r="AC350" i="60"/>
  <c r="AC359" i="60"/>
  <c r="AC362" i="60"/>
  <c r="AG344" i="60"/>
  <c r="AG331" i="60"/>
  <c r="AG366" i="60"/>
  <c r="AG364" i="60"/>
  <c r="AG175" i="60"/>
  <c r="AG65" i="60"/>
  <c r="AC176" i="60"/>
  <c r="AC66" i="60"/>
  <c r="AG68" i="60"/>
  <c r="AG178" i="60"/>
  <c r="AC68" i="60"/>
  <c r="AC178" i="60"/>
  <c r="AC345" i="60"/>
  <c r="AC347" i="60"/>
  <c r="AC353" i="60"/>
  <c r="AC363" i="60"/>
  <c r="AG56" i="60"/>
  <c r="AG166" i="60"/>
  <c r="AG176" i="60"/>
  <c r="AG66" i="60"/>
  <c r="AG321" i="60"/>
  <c r="AG337" i="60"/>
  <c r="AG347" i="60"/>
  <c r="AG354" i="60"/>
  <c r="AG361" i="60"/>
  <c r="AC65" i="60"/>
  <c r="AC175" i="60"/>
  <c r="AC56" i="60"/>
  <c r="AC166" i="60"/>
  <c r="AG179" i="60"/>
  <c r="AG69" i="60"/>
  <c r="AG70" i="60"/>
  <c r="AG180" i="60"/>
  <c r="AG181" i="60"/>
  <c r="AG71" i="60"/>
  <c r="AC170" i="60"/>
  <c r="AC60" i="60"/>
  <c r="AC70" i="60"/>
  <c r="AC180" i="60"/>
  <c r="AG170" i="60"/>
  <c r="AG60" i="60"/>
  <c r="AO1" i="60"/>
  <c r="AK1" i="60"/>
  <c r="AO395" i="60" l="1"/>
  <c r="AO399" i="60"/>
  <c r="AO391" i="60"/>
  <c r="AO400" i="60"/>
  <c r="AO397" i="60"/>
  <c r="AO398" i="60"/>
  <c r="AO387" i="60"/>
  <c r="AO379" i="60"/>
  <c r="AO393" i="60"/>
  <c r="AO389" i="60"/>
  <c r="AO385" i="60"/>
  <c r="AO377" i="60"/>
  <c r="AO375" i="60"/>
  <c r="AO378" i="60"/>
  <c r="AO374" i="60"/>
  <c r="AO373" i="60"/>
  <c r="AO369" i="60"/>
  <c r="AO376" i="60"/>
  <c r="AO367" i="60"/>
  <c r="AO355" i="60"/>
  <c r="AO343" i="60"/>
  <c r="AO335" i="60"/>
  <c r="AO327" i="60"/>
  <c r="AO346" i="60"/>
  <c r="AO322" i="60"/>
  <c r="AO324" i="60"/>
  <c r="AO54" i="60"/>
  <c r="AO55" i="60"/>
  <c r="AO52" i="60"/>
  <c r="AO50" i="60"/>
  <c r="AO48" i="60"/>
  <c r="AO46" i="60"/>
  <c r="AO44" i="60"/>
  <c r="AO53" i="60"/>
  <c r="AO49" i="60"/>
  <c r="AO34" i="60"/>
  <c r="AO32" i="60"/>
  <c r="AO30" i="60"/>
  <c r="AO28" i="60"/>
  <c r="AO26" i="60"/>
  <c r="AO24" i="60"/>
  <c r="AO22" i="60"/>
  <c r="AO20" i="60"/>
  <c r="AO18" i="60"/>
  <c r="AO16" i="60"/>
  <c r="AO14" i="60"/>
  <c r="AO12" i="60"/>
  <c r="AO10" i="60"/>
  <c r="AO8" i="60"/>
  <c r="AO45" i="60"/>
  <c r="AO36" i="60"/>
  <c r="AO42" i="60"/>
  <c r="AO41" i="60"/>
  <c r="AO38" i="60"/>
  <c r="AO51" i="60"/>
  <c r="AO33" i="60"/>
  <c r="AO31" i="60"/>
  <c r="AO29" i="60"/>
  <c r="AO27" i="60"/>
  <c r="AO25" i="60"/>
  <c r="AO23" i="60"/>
  <c r="AO21" i="60"/>
  <c r="AO19" i="60"/>
  <c r="AO17" i="60"/>
  <c r="AO15" i="60"/>
  <c r="AO13" i="60"/>
  <c r="AO11" i="60"/>
  <c r="AO9" i="60"/>
  <c r="AO43" i="60"/>
  <c r="AO37" i="60"/>
  <c r="AO47" i="60"/>
  <c r="AO40" i="60"/>
  <c r="AO39" i="60"/>
  <c r="AK400" i="60"/>
  <c r="AK398" i="60"/>
  <c r="AK395" i="60"/>
  <c r="AK389" i="60"/>
  <c r="AK385" i="60"/>
  <c r="AK397" i="60"/>
  <c r="AK387" i="60"/>
  <c r="AK376" i="60"/>
  <c r="AK399" i="60"/>
  <c r="AK393" i="60"/>
  <c r="AK391" i="60"/>
  <c r="AK379" i="60"/>
  <c r="AK373" i="60"/>
  <c r="AK377" i="60"/>
  <c r="AK369" i="60"/>
  <c r="AK378" i="60"/>
  <c r="AK375" i="60"/>
  <c r="AK374" i="60"/>
  <c r="AK358" i="60"/>
  <c r="AK357" i="60"/>
  <c r="AK366" i="60"/>
  <c r="AK353" i="60"/>
  <c r="AK344" i="60"/>
  <c r="AK324" i="60"/>
  <c r="AK322" i="60"/>
  <c r="AK333" i="60"/>
  <c r="AK337" i="60"/>
  <c r="AK53" i="60"/>
  <c r="AK51" i="60"/>
  <c r="AK49" i="60"/>
  <c r="AK47" i="60"/>
  <c r="AK45" i="60"/>
  <c r="AK43" i="60"/>
  <c r="AK55" i="60"/>
  <c r="AK33" i="60"/>
  <c r="AK31" i="60"/>
  <c r="AK29" i="60"/>
  <c r="AK27" i="60"/>
  <c r="AK25" i="60"/>
  <c r="AK23" i="60"/>
  <c r="AK21" i="60"/>
  <c r="AK19" i="60"/>
  <c r="AK17" i="60"/>
  <c r="AK15" i="60"/>
  <c r="AK13" i="60"/>
  <c r="AK11" i="60"/>
  <c r="AK9" i="60"/>
  <c r="AK44" i="60"/>
  <c r="AK39" i="60"/>
  <c r="AK37" i="60"/>
  <c r="AK54" i="60"/>
  <c r="AK52" i="60"/>
  <c r="AK48" i="60"/>
  <c r="AK40" i="60"/>
  <c r="AK34" i="60"/>
  <c r="AK32" i="60"/>
  <c r="AK30" i="60"/>
  <c r="AK28" i="60"/>
  <c r="AK26" i="60"/>
  <c r="AK24" i="60"/>
  <c r="AK22" i="60"/>
  <c r="AK20" i="60"/>
  <c r="AK18" i="60"/>
  <c r="AK16" i="60"/>
  <c r="AK14" i="60"/>
  <c r="AK12" i="60"/>
  <c r="AK10" i="60"/>
  <c r="AK8" i="60"/>
  <c r="AK41" i="60"/>
  <c r="AK36" i="60"/>
  <c r="AK50" i="60"/>
  <c r="AK46" i="60"/>
  <c r="AK42" i="60"/>
  <c r="AK38" i="60"/>
  <c r="AK349" i="60" l="1"/>
  <c r="AK335" i="60"/>
  <c r="AK360" i="60"/>
  <c r="AO366" i="60"/>
  <c r="AK328" i="60"/>
  <c r="AK367" i="60"/>
  <c r="AK343" i="60"/>
  <c r="AK351" i="60"/>
  <c r="AO333" i="60"/>
  <c r="AK346" i="60"/>
  <c r="AO349" i="60"/>
  <c r="AK339" i="60"/>
  <c r="AO363" i="60"/>
  <c r="AO326" i="60"/>
  <c r="AO360" i="60"/>
  <c r="AK330" i="60"/>
  <c r="AO364" i="60"/>
  <c r="AK345" i="60"/>
  <c r="AO336" i="60"/>
  <c r="AO332" i="60"/>
  <c r="AO362" i="60"/>
  <c r="AO368" i="60"/>
  <c r="AK362" i="60"/>
  <c r="AO339" i="60"/>
  <c r="AK329" i="60"/>
  <c r="AK326" i="60"/>
  <c r="AK352" i="60"/>
  <c r="AK347" i="60"/>
  <c r="AK361" i="60"/>
  <c r="AO338" i="60"/>
  <c r="AK365" i="60"/>
  <c r="AO352" i="60"/>
  <c r="AK355" i="60"/>
  <c r="AK363" i="60"/>
  <c r="AO350" i="60"/>
  <c r="AO331" i="60"/>
  <c r="AK327" i="60"/>
  <c r="AK341" i="60"/>
  <c r="AK334" i="60"/>
  <c r="AO328" i="60"/>
  <c r="AO321" i="60"/>
  <c r="AO337" i="60"/>
  <c r="AO357" i="60"/>
  <c r="AK336" i="60"/>
  <c r="AO340" i="60"/>
  <c r="AO323" i="60"/>
  <c r="AO351" i="60"/>
  <c r="AO359" i="60"/>
  <c r="AK342" i="60"/>
  <c r="AO347" i="60"/>
  <c r="AK323" i="60"/>
  <c r="AO356" i="60"/>
  <c r="AK331" i="60"/>
  <c r="AK340" i="60"/>
  <c r="AK359" i="60"/>
  <c r="AK356" i="60"/>
  <c r="AO342" i="60"/>
  <c r="AK364" i="60"/>
  <c r="AO344" i="60"/>
  <c r="AK70" i="60"/>
  <c r="AK180" i="60"/>
  <c r="AK332" i="60"/>
  <c r="AK350" i="60"/>
  <c r="AO56" i="60"/>
  <c r="AO166" i="60"/>
  <c r="AO330" i="60"/>
  <c r="AO329" i="60"/>
  <c r="AO353" i="60"/>
  <c r="AO354" i="60"/>
  <c r="AO365" i="60"/>
  <c r="AK170" i="60"/>
  <c r="AK60" i="60"/>
  <c r="AK69" i="60"/>
  <c r="AK179" i="60"/>
  <c r="AO170" i="60"/>
  <c r="AO60" i="60"/>
  <c r="AO70" i="60"/>
  <c r="AO180" i="60"/>
  <c r="AK181" i="60"/>
  <c r="AK71" i="60"/>
  <c r="AK321" i="60"/>
  <c r="AK325" i="60"/>
  <c r="AK338" i="60"/>
  <c r="AK354" i="60"/>
  <c r="AK368" i="60"/>
  <c r="AO334" i="60"/>
  <c r="AO325" i="60"/>
  <c r="AO341" i="60"/>
  <c r="AO345" i="60"/>
  <c r="AO358" i="60"/>
  <c r="AO361" i="60"/>
  <c r="AO65" i="60"/>
  <c r="AO175" i="60"/>
  <c r="AK68" i="60"/>
  <c r="AK178" i="60"/>
  <c r="AO68" i="60"/>
  <c r="AO178" i="60"/>
  <c r="AK176" i="60"/>
  <c r="AK66" i="60"/>
  <c r="AO176" i="60"/>
  <c r="AO66" i="60"/>
  <c r="AO179" i="60"/>
  <c r="AO69" i="60"/>
  <c r="AK65" i="60"/>
  <c r="AK175" i="60"/>
  <c r="AK56" i="60"/>
  <c r="AK166" i="60"/>
  <c r="AO71" i="60"/>
  <c r="AO181" i="60"/>
  <c r="AW1" i="60"/>
  <c r="AS1" i="60"/>
  <c r="AS400" i="60" l="1"/>
  <c r="AS398" i="60"/>
  <c r="AS395" i="60"/>
  <c r="AS391" i="60"/>
  <c r="AS389" i="60"/>
  <c r="AS385" i="60"/>
  <c r="AS393" i="60"/>
  <c r="AS399" i="60"/>
  <c r="AS387" i="60"/>
  <c r="AS376" i="60"/>
  <c r="AS379" i="60"/>
  <c r="AS397" i="60"/>
  <c r="AS374" i="60"/>
  <c r="AS373" i="60"/>
  <c r="AS369" i="60"/>
  <c r="AS377" i="60"/>
  <c r="AS375" i="60"/>
  <c r="AS378" i="60"/>
  <c r="AS356" i="60"/>
  <c r="AS366" i="60"/>
  <c r="AS361" i="60"/>
  <c r="AS363" i="60"/>
  <c r="AS346" i="60"/>
  <c r="AS364" i="60"/>
  <c r="AS350" i="60"/>
  <c r="AS341" i="60"/>
  <c r="AS331" i="60"/>
  <c r="AS323" i="60"/>
  <c r="AS53" i="60"/>
  <c r="AS51" i="60"/>
  <c r="AS49" i="60"/>
  <c r="AS47" i="60"/>
  <c r="AS45" i="60"/>
  <c r="AS43" i="60"/>
  <c r="AS55" i="60"/>
  <c r="AS54" i="60"/>
  <c r="AS42" i="60"/>
  <c r="AS38" i="60"/>
  <c r="AS33" i="60"/>
  <c r="AS31" i="60"/>
  <c r="AS29" i="60"/>
  <c r="AS27" i="60"/>
  <c r="AS25" i="60"/>
  <c r="AS23" i="60"/>
  <c r="AS21" i="60"/>
  <c r="AS19" i="60"/>
  <c r="AS17" i="60"/>
  <c r="AS15" i="60"/>
  <c r="AS13" i="60"/>
  <c r="AS11" i="60"/>
  <c r="AS9" i="60"/>
  <c r="AS46" i="60"/>
  <c r="AS50" i="60"/>
  <c r="AS37" i="60"/>
  <c r="AS44" i="60"/>
  <c r="AS39" i="60"/>
  <c r="AS40" i="60"/>
  <c r="AS34" i="60"/>
  <c r="AS32" i="60"/>
  <c r="AS30" i="60"/>
  <c r="AS28" i="60"/>
  <c r="AS26" i="60"/>
  <c r="AS24" i="60"/>
  <c r="AS22" i="60"/>
  <c r="AS20" i="60"/>
  <c r="AS18" i="60"/>
  <c r="AS16" i="60"/>
  <c r="AS14" i="60"/>
  <c r="AS12" i="60"/>
  <c r="AS10" i="60"/>
  <c r="AS8" i="60"/>
  <c r="AS52" i="60"/>
  <c r="AS48" i="60"/>
  <c r="AS36" i="60"/>
  <c r="AS41" i="60"/>
  <c r="AW395" i="60"/>
  <c r="AW399" i="60"/>
  <c r="AW391" i="60"/>
  <c r="AW397" i="60"/>
  <c r="AW400" i="60"/>
  <c r="AW398" i="60"/>
  <c r="AW387" i="60"/>
  <c r="AW379" i="60"/>
  <c r="AW389" i="60"/>
  <c r="AW385" i="60"/>
  <c r="AW377" i="60"/>
  <c r="AW375" i="60"/>
  <c r="AW393" i="60"/>
  <c r="AW378" i="60"/>
  <c r="AW376" i="60"/>
  <c r="AW373" i="60"/>
  <c r="AW374" i="60"/>
  <c r="AW369" i="60"/>
  <c r="AW368" i="60"/>
  <c r="AW362" i="60"/>
  <c r="AW355" i="60"/>
  <c r="AW333" i="60"/>
  <c r="AW342" i="60"/>
  <c r="AW329" i="60"/>
  <c r="AW54" i="60"/>
  <c r="AW55" i="60"/>
  <c r="AW52" i="60"/>
  <c r="AW50" i="60"/>
  <c r="AW48" i="60"/>
  <c r="AW46" i="60"/>
  <c r="AW44" i="60"/>
  <c r="AW53" i="60"/>
  <c r="AW40" i="60"/>
  <c r="AW39" i="60"/>
  <c r="AW34" i="60"/>
  <c r="AW32" i="60"/>
  <c r="AW30" i="60"/>
  <c r="AW28" i="60"/>
  <c r="AW26" i="60"/>
  <c r="AW24" i="60"/>
  <c r="AW22" i="60"/>
  <c r="AW20" i="60"/>
  <c r="AW18" i="60"/>
  <c r="AW16" i="60"/>
  <c r="AW14" i="60"/>
  <c r="AW12" i="60"/>
  <c r="AW10" i="60"/>
  <c r="AW8" i="60"/>
  <c r="AW47" i="60"/>
  <c r="AW36" i="60"/>
  <c r="AW49" i="60"/>
  <c r="AW45" i="60"/>
  <c r="AW42" i="60"/>
  <c r="AW41" i="60"/>
  <c r="AW38" i="60"/>
  <c r="AW33" i="60"/>
  <c r="AW31" i="60"/>
  <c r="AW29" i="60"/>
  <c r="AW27" i="60"/>
  <c r="AW25" i="60"/>
  <c r="AW23" i="60"/>
  <c r="AW21" i="60"/>
  <c r="AW19" i="60"/>
  <c r="AW17" i="60"/>
  <c r="AW15" i="60"/>
  <c r="AW13" i="60"/>
  <c r="AW11" i="60"/>
  <c r="AW9" i="60"/>
  <c r="AW37" i="60"/>
  <c r="AW51" i="60"/>
  <c r="AW43" i="60"/>
  <c r="BA1" i="60"/>
  <c r="AS365" i="60" l="1"/>
  <c r="AW352" i="60"/>
  <c r="AW344" i="60"/>
  <c r="AW365" i="60"/>
  <c r="AW364" i="60"/>
  <c r="AS342" i="60"/>
  <c r="AW354" i="60"/>
  <c r="AW359" i="60"/>
  <c r="AW330" i="60"/>
  <c r="AW341" i="60"/>
  <c r="AS332" i="60"/>
  <c r="AW322" i="60"/>
  <c r="AW356" i="60"/>
  <c r="AW332" i="60"/>
  <c r="AW347" i="60"/>
  <c r="AS351" i="60"/>
  <c r="AW323" i="60"/>
  <c r="AS335" i="60"/>
  <c r="AS352" i="60"/>
  <c r="AW340" i="60"/>
  <c r="AW327" i="60"/>
  <c r="AW361" i="60"/>
  <c r="AS325" i="60"/>
  <c r="AS336" i="60"/>
  <c r="AS362" i="60"/>
  <c r="AS333" i="60"/>
  <c r="AS339" i="60"/>
  <c r="AW321" i="60"/>
  <c r="AS347" i="60"/>
  <c r="AW335" i="60"/>
  <c r="AW349" i="60"/>
  <c r="AW357" i="60"/>
  <c r="AS324" i="60"/>
  <c r="AW337" i="60"/>
  <c r="AS349" i="60"/>
  <c r="AW328" i="60"/>
  <c r="AS355" i="60"/>
  <c r="AS358" i="60"/>
  <c r="AW339" i="60"/>
  <c r="AS321" i="60"/>
  <c r="AS337" i="60"/>
  <c r="AS357" i="60"/>
  <c r="AS367" i="60"/>
  <c r="AW353" i="60"/>
  <c r="AS327" i="60"/>
  <c r="AS368" i="60"/>
  <c r="AW338" i="60"/>
  <c r="AW325" i="60"/>
  <c r="AW346" i="60"/>
  <c r="AS343" i="60"/>
  <c r="AS326" i="60"/>
  <c r="AS344" i="60"/>
  <c r="AS360" i="60"/>
  <c r="AW334" i="60"/>
  <c r="AW336" i="60"/>
  <c r="AW343" i="60"/>
  <c r="AW345" i="60"/>
  <c r="AW360" i="60"/>
  <c r="AS68" i="60"/>
  <c r="AS178" i="60"/>
  <c r="AS166" i="60"/>
  <c r="AS56" i="60"/>
  <c r="AS70" i="60"/>
  <c r="AS180" i="60"/>
  <c r="AS330" i="60"/>
  <c r="AS334" i="60"/>
  <c r="AS65" i="60"/>
  <c r="AS175" i="60"/>
  <c r="AS181" i="60"/>
  <c r="AS71" i="60"/>
  <c r="AW176" i="60"/>
  <c r="AW66" i="60"/>
  <c r="AW326" i="60"/>
  <c r="AW331" i="60"/>
  <c r="AW366" i="60"/>
  <c r="AW367" i="60"/>
  <c r="AS170" i="60"/>
  <c r="AS60" i="60"/>
  <c r="AS338" i="60"/>
  <c r="AS354" i="60"/>
  <c r="AW179" i="60"/>
  <c r="AW69" i="60"/>
  <c r="AW65" i="60"/>
  <c r="AW175" i="60"/>
  <c r="AW324" i="60"/>
  <c r="AW351" i="60"/>
  <c r="AW350" i="60"/>
  <c r="AW363" i="60"/>
  <c r="AS329" i="60"/>
  <c r="AS322" i="60"/>
  <c r="AS340" i="60"/>
  <c r="AS353" i="60"/>
  <c r="AW68" i="60"/>
  <c r="AW178" i="60"/>
  <c r="AS179" i="60"/>
  <c r="AS69" i="60"/>
  <c r="AW56" i="60"/>
  <c r="AW166" i="60"/>
  <c r="AW70" i="60"/>
  <c r="AW180" i="60"/>
  <c r="AS176" i="60"/>
  <c r="AS66" i="60"/>
  <c r="AW170" i="60"/>
  <c r="AW60" i="60"/>
  <c r="AW181" i="60"/>
  <c r="AW71" i="60"/>
  <c r="AW358" i="60"/>
  <c r="AS328" i="60"/>
  <c r="AS345" i="60"/>
  <c r="AS359" i="60"/>
  <c r="BA400" i="60"/>
  <c r="BA398" i="60"/>
  <c r="BA395" i="60"/>
  <c r="BA399" i="60"/>
  <c r="BA389" i="60"/>
  <c r="BA385" i="60"/>
  <c r="BA391" i="60"/>
  <c r="BA397" i="60"/>
  <c r="BA387" i="60"/>
  <c r="BA376" i="60"/>
  <c r="BA393" i="60"/>
  <c r="BA379" i="60"/>
  <c r="BA375" i="60"/>
  <c r="BA373" i="60"/>
  <c r="BA369" i="60"/>
  <c r="BA378" i="60"/>
  <c r="BA374" i="60"/>
  <c r="BA377" i="60"/>
  <c r="BA357" i="60"/>
  <c r="BA366" i="60"/>
  <c r="BA352" i="60"/>
  <c r="BA53" i="60"/>
  <c r="BA51" i="60"/>
  <c r="BA49" i="60"/>
  <c r="BA47" i="60"/>
  <c r="BA45" i="60"/>
  <c r="BA43" i="60"/>
  <c r="BA55" i="60"/>
  <c r="BA41" i="60"/>
  <c r="BA33" i="60"/>
  <c r="BA31" i="60"/>
  <c r="BA29" i="60"/>
  <c r="BA27" i="60"/>
  <c r="BA25" i="60"/>
  <c r="BA23" i="60"/>
  <c r="BA21" i="60"/>
  <c r="BA19" i="60"/>
  <c r="BA17" i="60"/>
  <c r="BA15" i="60"/>
  <c r="BA13" i="60"/>
  <c r="BA11" i="60"/>
  <c r="BA9" i="60"/>
  <c r="BA52" i="60"/>
  <c r="BA48" i="60"/>
  <c r="BA42" i="60"/>
  <c r="BA38" i="60"/>
  <c r="BA37" i="60"/>
  <c r="BA46" i="60"/>
  <c r="BA44" i="60"/>
  <c r="BA39" i="60"/>
  <c r="BA34" i="60"/>
  <c r="BA32" i="60"/>
  <c r="BA30" i="60"/>
  <c r="BA28" i="60"/>
  <c r="BA26" i="60"/>
  <c r="BA24" i="60"/>
  <c r="BA22" i="60"/>
  <c r="BA20" i="60"/>
  <c r="BA18" i="60"/>
  <c r="BA16" i="60"/>
  <c r="BA14" i="60"/>
  <c r="BA12" i="60"/>
  <c r="BA10" i="60"/>
  <c r="BA8" i="60"/>
  <c r="BA54" i="60"/>
  <c r="BA50" i="60"/>
  <c r="BA40" i="60"/>
  <c r="BA36" i="60"/>
  <c r="BA325" i="60" l="1"/>
  <c r="BA334" i="60"/>
  <c r="BA368" i="60"/>
  <c r="BA345" i="60"/>
  <c r="BA330" i="60"/>
  <c r="BA346" i="60"/>
  <c r="BA359" i="60"/>
  <c r="BA332" i="60"/>
  <c r="BA353" i="60"/>
  <c r="BA367" i="60"/>
  <c r="BA322" i="60"/>
  <c r="BA349" i="60"/>
  <c r="BA326" i="60"/>
  <c r="BA356" i="60"/>
  <c r="BA341" i="60"/>
  <c r="BA329" i="60"/>
  <c r="BA344" i="60"/>
  <c r="BA361" i="60"/>
  <c r="BA323" i="60"/>
  <c r="BA321" i="60"/>
  <c r="BA364" i="60"/>
  <c r="BA333" i="60"/>
  <c r="BA327" i="60"/>
  <c r="BA338" i="60"/>
  <c r="BA347" i="60"/>
  <c r="BA340" i="60"/>
  <c r="BA360" i="60"/>
  <c r="BA343" i="60"/>
  <c r="BA354" i="60"/>
  <c r="BA351" i="60"/>
  <c r="BA362" i="60"/>
  <c r="BA331" i="60"/>
  <c r="BA324" i="60"/>
  <c r="BA365" i="60"/>
  <c r="BA170" i="60"/>
  <c r="BA60" i="60"/>
  <c r="BA181" i="60"/>
  <c r="BA71" i="60"/>
  <c r="BA342" i="60"/>
  <c r="BA179" i="60"/>
  <c r="BA69" i="60"/>
  <c r="BA358" i="60"/>
  <c r="BA335" i="60"/>
  <c r="BA339" i="60"/>
  <c r="BA350" i="60"/>
  <c r="BA363" i="60"/>
  <c r="BA68" i="60"/>
  <c r="BA178" i="60"/>
  <c r="BA56" i="60"/>
  <c r="BA166" i="60"/>
  <c r="BA328" i="60"/>
  <c r="BA337" i="60"/>
  <c r="BA336" i="60"/>
  <c r="BA355" i="60"/>
  <c r="BA65" i="60"/>
  <c r="BA175" i="60"/>
  <c r="BA70" i="60"/>
  <c r="BA180" i="60"/>
  <c r="BA176" i="60"/>
  <c r="BA66" i="60"/>
  <c r="BE1" i="60"/>
  <c r="BE395" i="60" l="1"/>
  <c r="BE399" i="60"/>
  <c r="BE391" i="60"/>
  <c r="BE397" i="60"/>
  <c r="BE398" i="60"/>
  <c r="BE387" i="60"/>
  <c r="BE379" i="60"/>
  <c r="BE393" i="60"/>
  <c r="BE400" i="60"/>
  <c r="BE389" i="60"/>
  <c r="BE385" i="60"/>
  <c r="BE377" i="60"/>
  <c r="BE375" i="60"/>
  <c r="BE378" i="60"/>
  <c r="BE376" i="60"/>
  <c r="BE373" i="60"/>
  <c r="BE369" i="60"/>
  <c r="BE374" i="60"/>
  <c r="BE363" i="60"/>
  <c r="BE352" i="60"/>
  <c r="BE350" i="60"/>
  <c r="BE322" i="60"/>
  <c r="BE54" i="60"/>
  <c r="BE55" i="60"/>
  <c r="BE52" i="60"/>
  <c r="BE50" i="60"/>
  <c r="BE48" i="60"/>
  <c r="BE46" i="60"/>
  <c r="BE44" i="60"/>
  <c r="BE53" i="60"/>
  <c r="BE43" i="60"/>
  <c r="BE34" i="60"/>
  <c r="BE32" i="60"/>
  <c r="BE30" i="60"/>
  <c r="BE28" i="60"/>
  <c r="BE26" i="60"/>
  <c r="BE24" i="60"/>
  <c r="BE22" i="60"/>
  <c r="BE20" i="60"/>
  <c r="BE18" i="60"/>
  <c r="BE16" i="60"/>
  <c r="BE14" i="60"/>
  <c r="BE12" i="60"/>
  <c r="BE10" i="60"/>
  <c r="BE8" i="60"/>
  <c r="BE40" i="60"/>
  <c r="BE39" i="60"/>
  <c r="BE51" i="60"/>
  <c r="BE36" i="60"/>
  <c r="BE47" i="60"/>
  <c r="BE45" i="60"/>
  <c r="BE33" i="60"/>
  <c r="BE31" i="60"/>
  <c r="BE29" i="60"/>
  <c r="BE27" i="60"/>
  <c r="BE25" i="60"/>
  <c r="BE23" i="60"/>
  <c r="BE21" i="60"/>
  <c r="BE19" i="60"/>
  <c r="BE17" i="60"/>
  <c r="BE15" i="60"/>
  <c r="BE13" i="60"/>
  <c r="BE11" i="60"/>
  <c r="BE9" i="60"/>
  <c r="BE42" i="60"/>
  <c r="BE41" i="60"/>
  <c r="BE38" i="60"/>
  <c r="BE49" i="60"/>
  <c r="BE37" i="60"/>
  <c r="BI1" i="60"/>
  <c r="BE335" i="60" l="1"/>
  <c r="BE332" i="60"/>
  <c r="BE366" i="60"/>
  <c r="BE321" i="60"/>
  <c r="BE336" i="60"/>
  <c r="BE364" i="60"/>
  <c r="BE331" i="60"/>
  <c r="BE349" i="60"/>
  <c r="BE330" i="60"/>
  <c r="BE342" i="60"/>
  <c r="BE347" i="60"/>
  <c r="BE354" i="60"/>
  <c r="BE324" i="60"/>
  <c r="BE338" i="60"/>
  <c r="BE334" i="60"/>
  <c r="BE362" i="60"/>
  <c r="BE360" i="60"/>
  <c r="BE361" i="60"/>
  <c r="BE323" i="60"/>
  <c r="BE327" i="60"/>
  <c r="BE356" i="60"/>
  <c r="BE357" i="60"/>
  <c r="BE328" i="60"/>
  <c r="BE341" i="60"/>
  <c r="BE351" i="60"/>
  <c r="BE343" i="60"/>
  <c r="BE368" i="60"/>
  <c r="BE345" i="60"/>
  <c r="BE340" i="60"/>
  <c r="BE367" i="60"/>
  <c r="BE326" i="60"/>
  <c r="BE329" i="60"/>
  <c r="BE56" i="60"/>
  <c r="BE166" i="60"/>
  <c r="BE325" i="60"/>
  <c r="BE337" i="60"/>
  <c r="BE353" i="60"/>
  <c r="BE179" i="60"/>
  <c r="BE69" i="60"/>
  <c r="BE70" i="60"/>
  <c r="BE180" i="60"/>
  <c r="BE339" i="60"/>
  <c r="BE365" i="60"/>
  <c r="BE176" i="60"/>
  <c r="BE66" i="60"/>
  <c r="BE344" i="60"/>
  <c r="BE358" i="60"/>
  <c r="BE359" i="60"/>
  <c r="BE170" i="60"/>
  <c r="BE60" i="60"/>
  <c r="BE65" i="60"/>
  <c r="BE175" i="60"/>
  <c r="BE355" i="60"/>
  <c r="BE68" i="60"/>
  <c r="BE178" i="60"/>
  <c r="BE333" i="60"/>
  <c r="BE346" i="60"/>
  <c r="BE181" i="60"/>
  <c r="BE71" i="60"/>
  <c r="BI400" i="60"/>
  <c r="BI399" i="60"/>
  <c r="BI398" i="60"/>
  <c r="BI395" i="60"/>
  <c r="BI389" i="60"/>
  <c r="BI385" i="60"/>
  <c r="BI397" i="60"/>
  <c r="BI393" i="60"/>
  <c r="BI387" i="60"/>
  <c r="BI376" i="60"/>
  <c r="BI391" i="60"/>
  <c r="BI379" i="60"/>
  <c r="BI373" i="60"/>
  <c r="BI369" i="60"/>
  <c r="BI377" i="60"/>
  <c r="BI375" i="60"/>
  <c r="BI374" i="60"/>
  <c r="BI378" i="60"/>
  <c r="BI367" i="60"/>
  <c r="BI361" i="60"/>
  <c r="BI355" i="60"/>
  <c r="BI363" i="60"/>
  <c r="BI321" i="60"/>
  <c r="BI53" i="60"/>
  <c r="BI51" i="60"/>
  <c r="BI49" i="60"/>
  <c r="BI47" i="60"/>
  <c r="BI45" i="60"/>
  <c r="BI43" i="60"/>
  <c r="BI55" i="60"/>
  <c r="BI50" i="60"/>
  <c r="BI33" i="60"/>
  <c r="BI31" i="60"/>
  <c r="BI29" i="60"/>
  <c r="BI27" i="60"/>
  <c r="BI25" i="60"/>
  <c r="BI23" i="60"/>
  <c r="BI21" i="60"/>
  <c r="BI19" i="60"/>
  <c r="BI17" i="60"/>
  <c r="BI15" i="60"/>
  <c r="BI13" i="60"/>
  <c r="BI11" i="60"/>
  <c r="BI9" i="60"/>
  <c r="BI41" i="60"/>
  <c r="BI54" i="60"/>
  <c r="BI42" i="60"/>
  <c r="BI38" i="60"/>
  <c r="BI37" i="60"/>
  <c r="BI52" i="60"/>
  <c r="BI48" i="60"/>
  <c r="BI34" i="60"/>
  <c r="BI32" i="60"/>
  <c r="BI30" i="60"/>
  <c r="BI28" i="60"/>
  <c r="BI26" i="60"/>
  <c r="BI24" i="60"/>
  <c r="BI22" i="60"/>
  <c r="BI20" i="60"/>
  <c r="BI18" i="60"/>
  <c r="BI16" i="60"/>
  <c r="BI14" i="60"/>
  <c r="BI12" i="60"/>
  <c r="BI10" i="60"/>
  <c r="BI8" i="60"/>
  <c r="BI46" i="60"/>
  <c r="BI44" i="60"/>
  <c r="BI39" i="60"/>
  <c r="BI40" i="60"/>
  <c r="BI36" i="60"/>
  <c r="BM1" i="60"/>
  <c r="BI354" i="60" l="1"/>
  <c r="BI330" i="60"/>
  <c r="BI342" i="60"/>
  <c r="BI352" i="60"/>
  <c r="BI329" i="60"/>
  <c r="BI358" i="60"/>
  <c r="BI346" i="60"/>
  <c r="BI365" i="60"/>
  <c r="BI331" i="60"/>
  <c r="BI337" i="60"/>
  <c r="BI327" i="60"/>
  <c r="BI333" i="60"/>
  <c r="BI343" i="60"/>
  <c r="BI340" i="60"/>
  <c r="BI350" i="60"/>
  <c r="BI324" i="60"/>
  <c r="BI368" i="60"/>
  <c r="BI351" i="60"/>
  <c r="BI364" i="60"/>
  <c r="BI325" i="60"/>
  <c r="BI345" i="60"/>
  <c r="BI360" i="60"/>
  <c r="BI339" i="60"/>
  <c r="BI362" i="60"/>
  <c r="BI341" i="60"/>
  <c r="BI326" i="60"/>
  <c r="BI344" i="60"/>
  <c r="BI328" i="60"/>
  <c r="BI349" i="60"/>
  <c r="BI353" i="60"/>
  <c r="BI366" i="60"/>
  <c r="BI323" i="60"/>
  <c r="BI357" i="60"/>
  <c r="BI322" i="60"/>
  <c r="BI65" i="60"/>
  <c r="BI175" i="60"/>
  <c r="BI335" i="60"/>
  <c r="BI332" i="60"/>
  <c r="BI334" i="60"/>
  <c r="BI56" i="60"/>
  <c r="BI166" i="60"/>
  <c r="BI70" i="60"/>
  <c r="BI180" i="60"/>
  <c r="BI336" i="60"/>
  <c r="BI347" i="60"/>
  <c r="BI356" i="60"/>
  <c r="BI176" i="60"/>
  <c r="BI66" i="60"/>
  <c r="BI181" i="60"/>
  <c r="BI71" i="60"/>
  <c r="BI179" i="60"/>
  <c r="BI69" i="60"/>
  <c r="BI338" i="60"/>
  <c r="BI359" i="60"/>
  <c r="BI170" i="60"/>
  <c r="BI60" i="60"/>
  <c r="BI68" i="60"/>
  <c r="BI178" i="60"/>
  <c r="BM385" i="60"/>
  <c r="BM8" i="60"/>
  <c r="BM321" i="60" l="1"/>
  <c r="BM11" i="60"/>
  <c r="BM22" i="60"/>
  <c r="BM38" i="60"/>
  <c r="BM13" i="60"/>
  <c r="BM29" i="60"/>
  <c r="BM24" i="60"/>
  <c r="BM56" i="60"/>
  <c r="BM166" i="60"/>
  <c r="BM46" i="60"/>
  <c r="BM330" i="60"/>
  <c r="BM335" i="60"/>
  <c r="BM349" i="60"/>
  <c r="BM364" i="60"/>
  <c r="BM357" i="60"/>
  <c r="BM376" i="60"/>
  <c r="BM389" i="60"/>
  <c r="BM395" i="60"/>
  <c r="BM41" i="60"/>
  <c r="BM15" i="60"/>
  <c r="BM31" i="60"/>
  <c r="BM10" i="60"/>
  <c r="BM26" i="60"/>
  <c r="BM48" i="60"/>
  <c r="BM70" i="60"/>
  <c r="BM180" i="60"/>
  <c r="BM334" i="60"/>
  <c r="BM323" i="60"/>
  <c r="BM337" i="60"/>
  <c r="BM353" i="60"/>
  <c r="BM359" i="60"/>
  <c r="U369" i="60"/>
  <c r="BM369" i="60"/>
  <c r="BM379" i="60"/>
  <c r="BM42" i="60"/>
  <c r="BM17" i="60"/>
  <c r="BM33" i="60"/>
  <c r="BM12" i="60"/>
  <c r="BM28" i="60"/>
  <c r="BM181" i="60"/>
  <c r="BM71" i="60"/>
  <c r="BM50" i="60"/>
  <c r="BM54" i="60"/>
  <c r="BM342" i="60"/>
  <c r="BM325" i="60"/>
  <c r="BM339" i="60"/>
  <c r="BM347" i="60"/>
  <c r="BM356" i="60"/>
  <c r="BM361" i="60"/>
  <c r="BM368" i="60"/>
  <c r="BM374" i="60"/>
  <c r="BM387" i="60"/>
  <c r="BM19" i="60"/>
  <c r="BM36" i="60"/>
  <c r="BM14" i="60"/>
  <c r="BM30" i="60"/>
  <c r="BM170" i="60"/>
  <c r="BM60" i="60"/>
  <c r="BM52" i="60"/>
  <c r="BM65" i="60"/>
  <c r="BM175" i="60"/>
  <c r="BM336" i="60"/>
  <c r="BM327" i="60"/>
  <c r="BM341" i="60"/>
  <c r="BM351" i="60"/>
  <c r="BM358" i="60"/>
  <c r="BM362" i="60"/>
  <c r="BM373" i="60"/>
  <c r="BM378" i="60"/>
  <c r="BM398" i="60"/>
  <c r="BM47" i="60"/>
  <c r="BM21" i="60"/>
  <c r="BM39" i="60"/>
  <c r="BM16" i="60"/>
  <c r="BM32" i="60"/>
  <c r="BM55" i="60"/>
  <c r="BM176" i="60"/>
  <c r="BM66" i="60"/>
  <c r="BM326" i="60"/>
  <c r="BM344" i="60"/>
  <c r="BM340" i="60"/>
  <c r="BM343" i="60"/>
  <c r="BM366" i="60"/>
  <c r="BM360" i="60"/>
  <c r="BM393" i="60"/>
  <c r="BM400" i="60"/>
  <c r="BM45" i="60"/>
  <c r="BM51" i="60"/>
  <c r="BM23" i="60"/>
  <c r="BM40" i="60"/>
  <c r="BM18" i="60"/>
  <c r="BM34" i="60"/>
  <c r="BM322" i="60"/>
  <c r="BM338" i="60"/>
  <c r="BM345" i="60"/>
  <c r="BM350" i="60"/>
  <c r="BM363" i="60"/>
  <c r="BM367" i="60"/>
  <c r="BM375" i="60"/>
  <c r="BM397" i="60"/>
  <c r="BM9" i="60"/>
  <c r="BM25" i="60"/>
  <c r="BM43" i="60"/>
  <c r="BM20" i="60"/>
  <c r="BM179" i="60"/>
  <c r="BM69" i="60"/>
  <c r="BM324" i="60"/>
  <c r="BM328" i="60"/>
  <c r="BM331" i="60"/>
  <c r="BM346" i="60"/>
  <c r="BM352" i="60"/>
  <c r="BM365" i="60"/>
  <c r="BM377" i="60"/>
  <c r="BM399" i="60"/>
  <c r="BM37" i="60"/>
  <c r="BM27" i="60"/>
  <c r="BM49" i="60"/>
  <c r="BM53" i="60"/>
  <c r="BM44" i="60"/>
  <c r="BM68" i="60"/>
  <c r="BM178" i="60"/>
  <c r="BM329" i="60"/>
  <c r="BM332" i="60"/>
  <c r="BM333" i="60"/>
  <c r="BM355" i="60"/>
  <c r="BM354" i="60"/>
  <c r="BM391" i="60"/>
  <c r="U385" i="60"/>
  <c r="U8" i="60"/>
  <c r="M369" i="60" l="1"/>
  <c r="M391" i="60"/>
  <c r="U391" i="60"/>
  <c r="M332" i="60"/>
  <c r="U332" i="60"/>
  <c r="M25" i="60"/>
  <c r="U25" i="60"/>
  <c r="M367" i="60"/>
  <c r="U367" i="60"/>
  <c r="M338" i="60"/>
  <c r="U338" i="60"/>
  <c r="M40" i="60"/>
  <c r="U40" i="60"/>
  <c r="M400" i="60"/>
  <c r="U400" i="60"/>
  <c r="M343" i="60"/>
  <c r="U343" i="60"/>
  <c r="U181" i="60"/>
  <c r="U71" i="60"/>
  <c r="M17" i="60"/>
  <c r="U17" i="60"/>
  <c r="M359" i="60"/>
  <c r="U359" i="60"/>
  <c r="M334" i="60"/>
  <c r="U334" i="60"/>
  <c r="U321" i="60"/>
  <c r="M53" i="60"/>
  <c r="U53" i="60"/>
  <c r="M399" i="60"/>
  <c r="U399" i="60"/>
  <c r="M346" i="60"/>
  <c r="U346" i="60"/>
  <c r="U176" i="60"/>
  <c r="U66" i="60"/>
  <c r="M39" i="60"/>
  <c r="U39" i="60"/>
  <c r="M378" i="60"/>
  <c r="U378" i="60"/>
  <c r="M351" i="60"/>
  <c r="U351" i="60"/>
  <c r="M30" i="60"/>
  <c r="U30" i="60"/>
  <c r="M387" i="60"/>
  <c r="U387" i="60"/>
  <c r="M356" i="60"/>
  <c r="U356" i="60"/>
  <c r="M342" i="60"/>
  <c r="U342" i="60"/>
  <c r="M10" i="60"/>
  <c r="U10" i="60"/>
  <c r="M395" i="60"/>
  <c r="U395" i="60"/>
  <c r="M364" i="60"/>
  <c r="U364" i="60"/>
  <c r="M46" i="60"/>
  <c r="U46" i="60"/>
  <c r="M13" i="60"/>
  <c r="U13" i="60"/>
  <c r="M354" i="60"/>
  <c r="U354" i="60"/>
  <c r="M329" i="60"/>
  <c r="U329" i="60"/>
  <c r="U179" i="60"/>
  <c r="U69" i="60"/>
  <c r="M9" i="60"/>
  <c r="U9" i="60"/>
  <c r="M363" i="60"/>
  <c r="U363" i="60"/>
  <c r="M322" i="60"/>
  <c r="U322" i="60"/>
  <c r="M23" i="60"/>
  <c r="U23" i="60"/>
  <c r="M393" i="60"/>
  <c r="U393" i="60"/>
  <c r="M340" i="60"/>
  <c r="U340" i="60"/>
  <c r="U65" i="60"/>
  <c r="U175" i="60"/>
  <c r="M28" i="60"/>
  <c r="U28" i="60"/>
  <c r="M42" i="60"/>
  <c r="U42" i="60"/>
  <c r="M353" i="60"/>
  <c r="U353" i="60"/>
  <c r="M49" i="60"/>
  <c r="U49" i="60"/>
  <c r="M377" i="60"/>
  <c r="U377" i="60"/>
  <c r="M331" i="60"/>
  <c r="U331" i="60"/>
  <c r="M55" i="60"/>
  <c r="U55" i="60"/>
  <c r="M21" i="60"/>
  <c r="U21" i="60"/>
  <c r="M373" i="60"/>
  <c r="U373" i="60"/>
  <c r="M341" i="60"/>
  <c r="U341" i="60"/>
  <c r="M14" i="60"/>
  <c r="U14" i="60"/>
  <c r="M374" i="60"/>
  <c r="U374" i="60"/>
  <c r="M347" i="60"/>
  <c r="U347" i="60"/>
  <c r="M54" i="60"/>
  <c r="U54" i="60"/>
  <c r="U70" i="60"/>
  <c r="U180" i="60"/>
  <c r="M31" i="60"/>
  <c r="U31" i="60"/>
  <c r="M389" i="60"/>
  <c r="U389" i="60"/>
  <c r="M349" i="60"/>
  <c r="U349" i="60"/>
  <c r="M38" i="60"/>
  <c r="U38" i="60"/>
  <c r="M355" i="60"/>
  <c r="U355" i="60"/>
  <c r="M20" i="60"/>
  <c r="U20" i="60"/>
  <c r="M397" i="60"/>
  <c r="U397" i="60"/>
  <c r="M350" i="60"/>
  <c r="U350" i="60"/>
  <c r="M34" i="60"/>
  <c r="U34" i="60"/>
  <c r="M51" i="60"/>
  <c r="U51" i="60"/>
  <c r="M360" i="60"/>
  <c r="U360" i="60"/>
  <c r="M344" i="60"/>
  <c r="U344" i="60"/>
  <c r="M52" i="60"/>
  <c r="U52" i="60"/>
  <c r="M12" i="60"/>
  <c r="U12" i="60"/>
  <c r="M379" i="60"/>
  <c r="U379" i="60"/>
  <c r="M337" i="60"/>
  <c r="U337" i="60"/>
  <c r="U56" i="60"/>
  <c r="U166" i="60"/>
  <c r="U68" i="60"/>
  <c r="U178" i="60"/>
  <c r="M27" i="60"/>
  <c r="U27" i="60"/>
  <c r="M365" i="60"/>
  <c r="U365" i="60"/>
  <c r="M328" i="60"/>
  <c r="U328" i="60"/>
  <c r="M32" i="60"/>
  <c r="U32" i="60"/>
  <c r="M47" i="60"/>
  <c r="U47" i="60"/>
  <c r="M362" i="60"/>
  <c r="U362" i="60"/>
  <c r="M327" i="60"/>
  <c r="U327" i="60"/>
  <c r="M36" i="60"/>
  <c r="U36" i="60"/>
  <c r="M368" i="60"/>
  <c r="U368" i="60"/>
  <c r="M339" i="60"/>
  <c r="U339" i="60"/>
  <c r="M50" i="60"/>
  <c r="U50" i="60"/>
  <c r="M48" i="60"/>
  <c r="U48" i="60"/>
  <c r="M15" i="60"/>
  <c r="U15" i="60"/>
  <c r="M376" i="60"/>
  <c r="U376" i="60"/>
  <c r="M335" i="60"/>
  <c r="U335" i="60"/>
  <c r="M24" i="60"/>
  <c r="U24" i="60"/>
  <c r="M22" i="60"/>
  <c r="U22" i="60"/>
  <c r="M333" i="60"/>
  <c r="U333" i="60"/>
  <c r="M43" i="60"/>
  <c r="U43" i="60"/>
  <c r="M375" i="60"/>
  <c r="U375" i="60"/>
  <c r="M345" i="60"/>
  <c r="U345" i="60"/>
  <c r="M18" i="60"/>
  <c r="U18" i="60"/>
  <c r="M45" i="60"/>
  <c r="U45" i="60"/>
  <c r="M366" i="60"/>
  <c r="U366" i="60"/>
  <c r="M326" i="60"/>
  <c r="U326" i="60"/>
  <c r="M33" i="60"/>
  <c r="U33" i="60"/>
  <c r="M323" i="60"/>
  <c r="U323" i="60"/>
  <c r="M44" i="60"/>
  <c r="U44" i="60"/>
  <c r="M37" i="60"/>
  <c r="U37" i="60"/>
  <c r="M352" i="60"/>
  <c r="U352" i="60"/>
  <c r="M324" i="60"/>
  <c r="U324" i="60"/>
  <c r="M16" i="60"/>
  <c r="U16" i="60"/>
  <c r="M398" i="60"/>
  <c r="U398" i="60"/>
  <c r="M358" i="60"/>
  <c r="U358" i="60"/>
  <c r="M336" i="60"/>
  <c r="U336" i="60"/>
  <c r="U170" i="60"/>
  <c r="U60" i="60"/>
  <c r="M19" i="60"/>
  <c r="U19" i="60"/>
  <c r="M361" i="60"/>
  <c r="U361" i="60"/>
  <c r="M325" i="60"/>
  <c r="U325" i="60"/>
  <c r="M26" i="60"/>
  <c r="U26" i="60"/>
  <c r="M41" i="60"/>
  <c r="U41" i="60"/>
  <c r="M357" i="60"/>
  <c r="U357" i="60"/>
  <c r="M330" i="60"/>
  <c r="U330" i="60"/>
  <c r="M29" i="60"/>
  <c r="U29" i="60"/>
  <c r="M11" i="60"/>
  <c r="U11" i="60"/>
  <c r="M385" i="60"/>
  <c r="M8" i="60" l="1"/>
  <c r="M56" i="60"/>
  <c r="M166" i="60"/>
  <c r="M170" i="60"/>
  <c r="M60" i="60"/>
  <c r="M176" i="60"/>
  <c r="M66" i="60"/>
  <c r="M179" i="60"/>
  <c r="M69" i="60"/>
  <c r="M321" i="60"/>
  <c r="M65" i="60"/>
  <c r="M175" i="60"/>
  <c r="M181" i="60"/>
  <c r="M71" i="60"/>
  <c r="M70" i="60"/>
  <c r="M180" i="60"/>
  <c r="M68" i="60"/>
  <c r="M178" i="60"/>
  <c r="AH1" i="60" l="1"/>
  <c r="AD1" i="60"/>
  <c r="AD393" i="60" l="1"/>
  <c r="AD398" i="60"/>
  <c r="AD395" i="60"/>
  <c r="AD399" i="60"/>
  <c r="AD391" i="60"/>
  <c r="AD387" i="60"/>
  <c r="AD397" i="60"/>
  <c r="AD400" i="60"/>
  <c r="AD389" i="60"/>
  <c r="AD385" i="60"/>
  <c r="AD377" i="60"/>
  <c r="AD375" i="60"/>
  <c r="AD374" i="60"/>
  <c r="AD379" i="60"/>
  <c r="AD378" i="60"/>
  <c r="AD376" i="60"/>
  <c r="AD373" i="60"/>
  <c r="AD369" i="60"/>
  <c r="AD366" i="60"/>
  <c r="AD363" i="60"/>
  <c r="AD349" i="60"/>
  <c r="AD335" i="60"/>
  <c r="AD333" i="60"/>
  <c r="AD331" i="60"/>
  <c r="AD358" i="60"/>
  <c r="AD347" i="60"/>
  <c r="AD356" i="60"/>
  <c r="AD334" i="60"/>
  <c r="AD41" i="60"/>
  <c r="AD39" i="60"/>
  <c r="AD54" i="60"/>
  <c r="AD55" i="60"/>
  <c r="AD52" i="60"/>
  <c r="AD50" i="60"/>
  <c r="AD48" i="60"/>
  <c r="AD53" i="60"/>
  <c r="AD49" i="60"/>
  <c r="AD47" i="60"/>
  <c r="AD44" i="60"/>
  <c r="AD43" i="60"/>
  <c r="AD40" i="60"/>
  <c r="AD37" i="60"/>
  <c r="AD14" i="60"/>
  <c r="AD12" i="60"/>
  <c r="AD10" i="60"/>
  <c r="AD8" i="60"/>
  <c r="AD34" i="60"/>
  <c r="AD32" i="60"/>
  <c r="AD30" i="60"/>
  <c r="AD28" i="60"/>
  <c r="AD26" i="60"/>
  <c r="AD24" i="60"/>
  <c r="AD22" i="60"/>
  <c r="AD20" i="60"/>
  <c r="AD18" i="60"/>
  <c r="AD16" i="60"/>
  <c r="AD51" i="60"/>
  <c r="AD46" i="60"/>
  <c r="AD45" i="60"/>
  <c r="AD42" i="60"/>
  <c r="AD38" i="60"/>
  <c r="AD36" i="60"/>
  <c r="AD33" i="60"/>
  <c r="AD31" i="60"/>
  <c r="AD29" i="60"/>
  <c r="AD27" i="60"/>
  <c r="AD25" i="60"/>
  <c r="AD23" i="60"/>
  <c r="AD21" i="60"/>
  <c r="AD19" i="60"/>
  <c r="AD17" i="60"/>
  <c r="AD15" i="60"/>
  <c r="AD13" i="60"/>
  <c r="AD11" i="60"/>
  <c r="AD9" i="60"/>
  <c r="AH399" i="60"/>
  <c r="AH400" i="60"/>
  <c r="AH397" i="60"/>
  <c r="AH393" i="60"/>
  <c r="AH391" i="60"/>
  <c r="AH379" i="60"/>
  <c r="AH398" i="60"/>
  <c r="AH389" i="60"/>
  <c r="AH385" i="60"/>
  <c r="AH378" i="60"/>
  <c r="AH395" i="60"/>
  <c r="AH387" i="60"/>
  <c r="AH376" i="60"/>
  <c r="AH374" i="60"/>
  <c r="AH377" i="60"/>
  <c r="AH373" i="60"/>
  <c r="AH375" i="60"/>
  <c r="AH369" i="60"/>
  <c r="AH359" i="60"/>
  <c r="AH353" i="60"/>
  <c r="AH42" i="60"/>
  <c r="AH40" i="60"/>
  <c r="AH38" i="60"/>
  <c r="AH53" i="60"/>
  <c r="AH51" i="60"/>
  <c r="AH49" i="60"/>
  <c r="AH45" i="60"/>
  <c r="AH41" i="60"/>
  <c r="AH36" i="60"/>
  <c r="AH50" i="60"/>
  <c r="AH46" i="60"/>
  <c r="AH13" i="60"/>
  <c r="AH11" i="60"/>
  <c r="AH9" i="60"/>
  <c r="AH33" i="60"/>
  <c r="AH31" i="60"/>
  <c r="AH29" i="60"/>
  <c r="AH27" i="60"/>
  <c r="AH25" i="60"/>
  <c r="AH23" i="60"/>
  <c r="AH21" i="60"/>
  <c r="AH19" i="60"/>
  <c r="AH17" i="60"/>
  <c r="AH15" i="60"/>
  <c r="AH55" i="60"/>
  <c r="AH54" i="60"/>
  <c r="AH47" i="60"/>
  <c r="AH43" i="60"/>
  <c r="AH44" i="60"/>
  <c r="AH39" i="60"/>
  <c r="AH37" i="60"/>
  <c r="AH52" i="60"/>
  <c r="AH48" i="60"/>
  <c r="AH34" i="60"/>
  <c r="AH32" i="60"/>
  <c r="AH30" i="60"/>
  <c r="AH28" i="60"/>
  <c r="AH26" i="60"/>
  <c r="AH24" i="60"/>
  <c r="AH22" i="60"/>
  <c r="AH20" i="60"/>
  <c r="AH18" i="60"/>
  <c r="AH16" i="60"/>
  <c r="AH14" i="60"/>
  <c r="AH12" i="60"/>
  <c r="AH10" i="60"/>
  <c r="AH8" i="60"/>
  <c r="AH357" i="60" l="1"/>
  <c r="AD355" i="60"/>
  <c r="AD368" i="60"/>
  <c r="AD346" i="60"/>
  <c r="AD336" i="60"/>
  <c r="AH352" i="60"/>
  <c r="AD364" i="60"/>
  <c r="AH333" i="60"/>
  <c r="AH334" i="60"/>
  <c r="AH354" i="60"/>
  <c r="AD324" i="60"/>
  <c r="AH321" i="60"/>
  <c r="AH351" i="60"/>
  <c r="AH365" i="60"/>
  <c r="AD351" i="60"/>
  <c r="AD323" i="60"/>
  <c r="AH332" i="60"/>
  <c r="AD322" i="60"/>
  <c r="AH343" i="60"/>
  <c r="AH361" i="60"/>
  <c r="AD337" i="60"/>
  <c r="AD328" i="60"/>
  <c r="AD343" i="60"/>
  <c r="AD340" i="60"/>
  <c r="AD353" i="60"/>
  <c r="AH330" i="60"/>
  <c r="AD330" i="60"/>
  <c r="AD367" i="60"/>
  <c r="AH329" i="60"/>
  <c r="AD327" i="60"/>
  <c r="AD362" i="60"/>
  <c r="AD365" i="60"/>
  <c r="AD350" i="60"/>
  <c r="AD359" i="60"/>
  <c r="AH362" i="60"/>
  <c r="AH339" i="60"/>
  <c r="AH324" i="60"/>
  <c r="AH325" i="60"/>
  <c r="AD344" i="60"/>
  <c r="AD341" i="60"/>
  <c r="AH337" i="60"/>
  <c r="AD354" i="60"/>
  <c r="AD360" i="60"/>
  <c r="AD332" i="60"/>
  <c r="AH338" i="60"/>
  <c r="AH358" i="60"/>
  <c r="AH347" i="60"/>
  <c r="AH360" i="60"/>
  <c r="AH327" i="60"/>
  <c r="AH328" i="60"/>
  <c r="AH346" i="60"/>
  <c r="AH355" i="60"/>
  <c r="AH322" i="60"/>
  <c r="AH340" i="60"/>
  <c r="AH367" i="60"/>
  <c r="AH368" i="60"/>
  <c r="AD345" i="60"/>
  <c r="AH363" i="60"/>
  <c r="AH364" i="60"/>
  <c r="AH335" i="60"/>
  <c r="AD325" i="60"/>
  <c r="AH336" i="60"/>
  <c r="AD326" i="60"/>
  <c r="AD352" i="60"/>
  <c r="AD357" i="60"/>
  <c r="AH345" i="60"/>
  <c r="AD338" i="60"/>
  <c r="AH323" i="60"/>
  <c r="AD342" i="60"/>
  <c r="AD339" i="60"/>
  <c r="AD361" i="60"/>
  <c r="AD329" i="60"/>
  <c r="AH326" i="60"/>
  <c r="AH342" i="60"/>
  <c r="AH341" i="60"/>
  <c r="AH344" i="60"/>
  <c r="AD321" i="60"/>
  <c r="AH331" i="60"/>
  <c r="AH350" i="60"/>
  <c r="AH349" i="60"/>
  <c r="AH356" i="60"/>
  <c r="AH366" i="60"/>
  <c r="AH65" i="60"/>
  <c r="AH175" i="60"/>
  <c r="AH68" i="60"/>
  <c r="AH178" i="60"/>
  <c r="AD176" i="60"/>
  <c r="AD66" i="60"/>
  <c r="AD68" i="60"/>
  <c r="AD178" i="60"/>
  <c r="AH56" i="60"/>
  <c r="AH166" i="60"/>
  <c r="AH70" i="60"/>
  <c r="AH180" i="60"/>
  <c r="AD56" i="60"/>
  <c r="AD166" i="60"/>
  <c r="AD170" i="60"/>
  <c r="AD60" i="60"/>
  <c r="AH181" i="60"/>
  <c r="AH71" i="60"/>
  <c r="AD70" i="60"/>
  <c r="AD180" i="60"/>
  <c r="AH170" i="60"/>
  <c r="AH60" i="60"/>
  <c r="AD65" i="60"/>
  <c r="AD175" i="60"/>
  <c r="AH179" i="60"/>
  <c r="AH69" i="60"/>
  <c r="AD181" i="60"/>
  <c r="AD71" i="60"/>
  <c r="AD179" i="60"/>
  <c r="AD69" i="60"/>
  <c r="AH176" i="60"/>
  <c r="AH66" i="60"/>
  <c r="AL1" i="60"/>
  <c r="AP1" i="60" l="1"/>
  <c r="AL393" i="60"/>
  <c r="AL398" i="60"/>
  <c r="AL395" i="60"/>
  <c r="AL399" i="60"/>
  <c r="AL400" i="60"/>
  <c r="AL397" i="60"/>
  <c r="AL387" i="60"/>
  <c r="AL391" i="60"/>
  <c r="AL389" i="60"/>
  <c r="AL385" i="60"/>
  <c r="AL377" i="60"/>
  <c r="AL375" i="60"/>
  <c r="AL376" i="60"/>
  <c r="AL378" i="60"/>
  <c r="AL379" i="60"/>
  <c r="AL374" i="60"/>
  <c r="AL373" i="60"/>
  <c r="AL369" i="60"/>
  <c r="AL368" i="60"/>
  <c r="AL365" i="60"/>
  <c r="AL343" i="60"/>
  <c r="AL331" i="60"/>
  <c r="AL352" i="60"/>
  <c r="AL356" i="60"/>
  <c r="AL327" i="60"/>
  <c r="AL321" i="60"/>
  <c r="AL330" i="60"/>
  <c r="AL41" i="60"/>
  <c r="AL39" i="60"/>
  <c r="AL54" i="60"/>
  <c r="AL55" i="60"/>
  <c r="AL52" i="60"/>
  <c r="AL50" i="60"/>
  <c r="AL48" i="60"/>
  <c r="AL44" i="60"/>
  <c r="AL43" i="60"/>
  <c r="AL37" i="60"/>
  <c r="AL47" i="60"/>
  <c r="AL40" i="60"/>
  <c r="AL14" i="60"/>
  <c r="AL12" i="60"/>
  <c r="AL10" i="60"/>
  <c r="AL8" i="60"/>
  <c r="AL49" i="60"/>
  <c r="AL34" i="60"/>
  <c r="AL32" i="60"/>
  <c r="AL30" i="60"/>
  <c r="AL28" i="60"/>
  <c r="AL26" i="60"/>
  <c r="AL24" i="60"/>
  <c r="AL22" i="60"/>
  <c r="AL20" i="60"/>
  <c r="AL18" i="60"/>
  <c r="AL16" i="60"/>
  <c r="AL53" i="60"/>
  <c r="AL45" i="60"/>
  <c r="AL36" i="60"/>
  <c r="AL46" i="60"/>
  <c r="AL42" i="60"/>
  <c r="AL38" i="60"/>
  <c r="AL51" i="60"/>
  <c r="AL33" i="60"/>
  <c r="AL31" i="60"/>
  <c r="AL29" i="60"/>
  <c r="AL27" i="60"/>
  <c r="AL25" i="60"/>
  <c r="AL23" i="60"/>
  <c r="AL21" i="60"/>
  <c r="AL19" i="60"/>
  <c r="AL17" i="60"/>
  <c r="AL15" i="60"/>
  <c r="AL13" i="60"/>
  <c r="AL11" i="60"/>
  <c r="AL9" i="60"/>
  <c r="AL328" i="60" l="1"/>
  <c r="AL334" i="60"/>
  <c r="AL323" i="60"/>
  <c r="AL329" i="60"/>
  <c r="AL338" i="60"/>
  <c r="AL362" i="60"/>
  <c r="AL350" i="60"/>
  <c r="AL367" i="60"/>
  <c r="AL337" i="60"/>
  <c r="AL363" i="60"/>
  <c r="AL340" i="60"/>
  <c r="AL341" i="60"/>
  <c r="AL353" i="60"/>
  <c r="AL366" i="60"/>
  <c r="AL342" i="60"/>
  <c r="AL355" i="60"/>
  <c r="AL358" i="60"/>
  <c r="AL345" i="60"/>
  <c r="AL346" i="60"/>
  <c r="AL333" i="60"/>
  <c r="AL332" i="60"/>
  <c r="AL336" i="60"/>
  <c r="AL347" i="60"/>
  <c r="AL326" i="60"/>
  <c r="AL335" i="60"/>
  <c r="AL364" i="60"/>
  <c r="AL360" i="60"/>
  <c r="AL324" i="60"/>
  <c r="AL361" i="60"/>
  <c r="AL339" i="60"/>
  <c r="AL351" i="60"/>
  <c r="AL354" i="60"/>
  <c r="AL357" i="60"/>
  <c r="AL325" i="60"/>
  <c r="AL359" i="60"/>
  <c r="AL322" i="60"/>
  <c r="AL344" i="60"/>
  <c r="AL170" i="60"/>
  <c r="AL60" i="60"/>
  <c r="AL181" i="60"/>
  <c r="AL71" i="60"/>
  <c r="AL56" i="60"/>
  <c r="AL166" i="60"/>
  <c r="AL179" i="60"/>
  <c r="AL69" i="60"/>
  <c r="AL176" i="60"/>
  <c r="AL66" i="60"/>
  <c r="AL65" i="60"/>
  <c r="AL175" i="60"/>
  <c r="AL68" i="60"/>
  <c r="AL178" i="60"/>
  <c r="AL349" i="60"/>
  <c r="AL70" i="60"/>
  <c r="AL180" i="60"/>
  <c r="AT1" i="60"/>
  <c r="AP399" i="60"/>
  <c r="AP400" i="60"/>
  <c r="AP397" i="60"/>
  <c r="AP393" i="60"/>
  <c r="AP398" i="60"/>
  <c r="AP379" i="60"/>
  <c r="AP395" i="60"/>
  <c r="AP391" i="60"/>
  <c r="AP389" i="60"/>
  <c r="AP385" i="60"/>
  <c r="AP378" i="60"/>
  <c r="AP387" i="60"/>
  <c r="AP376" i="60"/>
  <c r="AP374" i="60"/>
  <c r="AP373" i="60"/>
  <c r="AP369" i="60"/>
  <c r="AP377" i="60"/>
  <c r="AP375" i="60"/>
  <c r="AP352" i="60"/>
  <c r="AP341" i="60"/>
  <c r="AP322" i="60"/>
  <c r="AP325" i="60"/>
  <c r="AP323" i="60"/>
  <c r="AP42" i="60"/>
  <c r="AP40" i="60"/>
  <c r="AP38" i="60"/>
  <c r="AP53" i="60"/>
  <c r="AP51" i="60"/>
  <c r="AP49" i="60"/>
  <c r="AP55" i="60"/>
  <c r="AP54" i="60"/>
  <c r="AP52" i="60"/>
  <c r="AP48" i="60"/>
  <c r="AP45" i="60"/>
  <c r="AP36" i="60"/>
  <c r="AP41" i="60"/>
  <c r="AP13" i="60"/>
  <c r="AP11" i="60"/>
  <c r="AP9" i="60"/>
  <c r="AP33" i="60"/>
  <c r="AP31" i="60"/>
  <c r="AP29" i="60"/>
  <c r="AP27" i="60"/>
  <c r="AP25" i="60"/>
  <c r="AP23" i="60"/>
  <c r="AP21" i="60"/>
  <c r="AP19" i="60"/>
  <c r="AP17" i="60"/>
  <c r="AP15" i="60"/>
  <c r="AP46" i="60"/>
  <c r="AP50" i="60"/>
  <c r="AP43" i="60"/>
  <c r="AP37" i="60"/>
  <c r="AP47" i="60"/>
  <c r="AP44" i="60"/>
  <c r="AP39" i="60"/>
  <c r="AP34" i="60"/>
  <c r="AP32" i="60"/>
  <c r="AP30" i="60"/>
  <c r="AP28" i="60"/>
  <c r="AP26" i="60"/>
  <c r="AP24" i="60"/>
  <c r="AP22" i="60"/>
  <c r="AP20" i="60"/>
  <c r="AP18" i="60"/>
  <c r="AP16" i="60"/>
  <c r="AP14" i="60"/>
  <c r="AP12" i="60"/>
  <c r="AP10" i="60"/>
  <c r="AP8" i="60"/>
  <c r="AP353" i="60" l="1"/>
  <c r="AP327" i="60"/>
  <c r="AP336" i="60"/>
  <c r="AP328" i="60"/>
  <c r="AP366" i="60"/>
  <c r="AP343" i="60"/>
  <c r="AP355" i="60"/>
  <c r="AP335" i="60"/>
  <c r="AP365" i="60"/>
  <c r="AP361" i="60"/>
  <c r="AP345" i="60"/>
  <c r="AP340" i="60"/>
  <c r="AP324" i="60"/>
  <c r="AP350" i="60"/>
  <c r="AP333" i="60"/>
  <c r="AP357" i="60"/>
  <c r="AP363" i="60"/>
  <c r="AP356" i="60"/>
  <c r="AP321" i="60"/>
  <c r="AP334" i="60"/>
  <c r="AP351" i="60"/>
  <c r="AP368" i="60"/>
  <c r="AP331" i="60"/>
  <c r="AP354" i="60"/>
  <c r="AP337" i="60"/>
  <c r="AP347" i="60"/>
  <c r="AP342" i="60"/>
  <c r="AP358" i="60"/>
  <c r="AP344" i="60"/>
  <c r="AP360" i="60"/>
  <c r="AP326" i="60"/>
  <c r="AP330" i="60"/>
  <c r="AP339" i="60"/>
  <c r="AP332" i="60"/>
  <c r="AP349" i="60"/>
  <c r="AP179" i="60"/>
  <c r="AP69" i="60"/>
  <c r="AP329" i="60"/>
  <c r="AP338" i="60"/>
  <c r="AP359" i="60"/>
  <c r="AP362" i="60"/>
  <c r="AP70" i="60"/>
  <c r="AP180" i="60"/>
  <c r="AP56" i="60"/>
  <c r="AP166" i="60"/>
  <c r="AP181" i="60"/>
  <c r="AP71" i="60"/>
  <c r="AP176" i="60"/>
  <c r="AP66" i="60"/>
  <c r="AP68" i="60"/>
  <c r="AP178" i="60"/>
  <c r="AP65" i="60"/>
  <c r="AP175" i="60"/>
  <c r="AP346" i="60"/>
  <c r="AP364" i="60"/>
  <c r="AP367" i="60"/>
  <c r="AP170" i="60"/>
  <c r="AP60" i="60"/>
  <c r="BB1" i="60"/>
  <c r="AX1" i="60"/>
  <c r="AT400" i="60"/>
  <c r="AT393" i="60"/>
  <c r="AT398" i="60"/>
  <c r="AT395" i="60"/>
  <c r="AT399" i="60"/>
  <c r="AT387" i="60"/>
  <c r="AT397" i="60"/>
  <c r="AT391" i="60"/>
  <c r="AT389" i="60"/>
  <c r="AT385" i="60"/>
  <c r="AT377" i="60"/>
  <c r="AT375" i="60"/>
  <c r="AT379" i="60"/>
  <c r="AT376" i="60"/>
  <c r="AT378" i="60"/>
  <c r="AT374" i="60"/>
  <c r="AT373" i="60"/>
  <c r="AT369" i="60"/>
  <c r="AT368" i="60"/>
  <c r="AT332" i="60"/>
  <c r="AT338" i="60"/>
  <c r="AT324" i="60"/>
  <c r="AT322" i="60"/>
  <c r="AT41" i="60"/>
  <c r="AT39" i="60"/>
  <c r="AT54" i="60"/>
  <c r="AT55" i="60"/>
  <c r="AT52" i="60"/>
  <c r="AT50" i="60"/>
  <c r="AT48" i="60"/>
  <c r="AT53" i="60"/>
  <c r="AT46" i="60"/>
  <c r="AT37" i="60"/>
  <c r="AT51" i="60"/>
  <c r="AT44" i="60"/>
  <c r="AT43" i="60"/>
  <c r="AT14" i="60"/>
  <c r="AT12" i="60"/>
  <c r="AT10" i="60"/>
  <c r="AT8" i="60"/>
  <c r="AT40" i="60"/>
  <c r="AT34" i="60"/>
  <c r="AT32" i="60"/>
  <c r="AT30" i="60"/>
  <c r="AT28" i="60"/>
  <c r="AT26" i="60"/>
  <c r="AT24" i="60"/>
  <c r="AT22" i="60"/>
  <c r="AT20" i="60"/>
  <c r="AT18" i="60"/>
  <c r="AT16" i="60"/>
  <c r="AT47" i="60"/>
  <c r="AT36" i="60"/>
  <c r="AT49" i="60"/>
  <c r="AT45" i="60"/>
  <c r="AT42" i="60"/>
  <c r="AT38" i="60"/>
  <c r="AT33" i="60"/>
  <c r="AT31" i="60"/>
  <c r="AT29" i="60"/>
  <c r="AT27" i="60"/>
  <c r="AT25" i="60"/>
  <c r="AT23" i="60"/>
  <c r="AT21" i="60"/>
  <c r="AT19" i="60"/>
  <c r="AT17" i="60"/>
  <c r="AT15" i="60"/>
  <c r="AT13" i="60"/>
  <c r="AT11" i="60"/>
  <c r="AT9" i="60"/>
  <c r="AT360" i="60" l="1"/>
  <c r="AT340" i="60"/>
  <c r="AT341" i="60"/>
  <c r="AT330" i="60"/>
  <c r="AT339" i="60"/>
  <c r="AT328" i="60"/>
  <c r="AT346" i="60"/>
  <c r="AT349" i="60"/>
  <c r="AT362" i="60"/>
  <c r="AT358" i="60"/>
  <c r="AT335" i="60"/>
  <c r="AT353" i="60"/>
  <c r="AT326" i="60"/>
  <c r="AT359" i="60"/>
  <c r="AT329" i="60"/>
  <c r="AT321" i="60"/>
  <c r="AT344" i="60"/>
  <c r="AT352" i="60"/>
  <c r="AT363" i="60"/>
  <c r="AT327" i="60"/>
  <c r="AT356" i="60"/>
  <c r="AT365" i="60"/>
  <c r="AT331" i="60"/>
  <c r="AT333" i="60"/>
  <c r="AT345" i="60"/>
  <c r="AT347" i="60"/>
  <c r="AT355" i="60"/>
  <c r="AT366" i="60"/>
  <c r="AT354" i="60"/>
  <c r="AT342" i="60"/>
  <c r="AT336" i="60"/>
  <c r="AT323" i="60"/>
  <c r="AT364" i="60"/>
  <c r="AT337" i="60"/>
  <c r="AT325" i="60"/>
  <c r="AT176" i="60"/>
  <c r="AT66" i="60"/>
  <c r="AT179" i="60"/>
  <c r="AT69" i="60"/>
  <c r="AT357" i="60"/>
  <c r="AT367" i="60"/>
  <c r="AT65" i="60"/>
  <c r="AT175" i="60"/>
  <c r="AT343" i="60"/>
  <c r="AT350" i="60"/>
  <c r="AT361" i="60"/>
  <c r="AT68" i="60"/>
  <c r="AT178" i="60"/>
  <c r="AT56" i="60"/>
  <c r="AT166" i="60"/>
  <c r="AT334" i="60"/>
  <c r="AT351" i="60"/>
  <c r="AT170" i="60"/>
  <c r="AT60" i="60"/>
  <c r="AT70" i="60"/>
  <c r="AT180" i="60"/>
  <c r="AT181" i="60"/>
  <c r="AT71" i="60"/>
  <c r="BB400" i="60"/>
  <c r="BB393" i="60"/>
  <c r="BB398" i="60"/>
  <c r="BB395" i="60"/>
  <c r="BB391" i="60"/>
  <c r="BB399" i="60"/>
  <c r="BB397" i="60"/>
  <c r="BB387" i="60"/>
  <c r="BB389" i="60"/>
  <c r="BB385" i="60"/>
  <c r="BB377" i="60"/>
  <c r="BB375" i="60"/>
  <c r="BB378" i="60"/>
  <c r="BB374" i="60"/>
  <c r="BB379" i="60"/>
  <c r="BB376" i="60"/>
  <c r="BB373" i="60"/>
  <c r="BB369" i="60"/>
  <c r="BB364" i="60"/>
  <c r="BB350" i="60"/>
  <c r="BB41" i="60"/>
  <c r="BB39" i="60"/>
  <c r="BB54" i="60"/>
  <c r="BB55" i="60"/>
  <c r="BB52" i="60"/>
  <c r="BB50" i="60"/>
  <c r="BB48" i="60"/>
  <c r="BB42" i="60"/>
  <c r="BB38" i="60"/>
  <c r="BB49" i="60"/>
  <c r="BB37" i="60"/>
  <c r="BB46" i="60"/>
  <c r="BB14" i="60"/>
  <c r="BB12" i="60"/>
  <c r="BB10" i="60"/>
  <c r="BB8" i="60"/>
  <c r="BB44" i="60"/>
  <c r="BB43" i="60"/>
  <c r="BB34" i="60"/>
  <c r="BB32" i="60"/>
  <c r="BB30" i="60"/>
  <c r="BB28" i="60"/>
  <c r="BB26" i="60"/>
  <c r="BB24" i="60"/>
  <c r="BB22" i="60"/>
  <c r="BB20" i="60"/>
  <c r="BB18" i="60"/>
  <c r="BB16" i="60"/>
  <c r="BB53" i="60"/>
  <c r="BB40" i="60"/>
  <c r="BB51" i="60"/>
  <c r="BB36" i="60"/>
  <c r="BB47" i="60"/>
  <c r="BB45" i="60"/>
  <c r="BB33" i="60"/>
  <c r="BB31" i="60"/>
  <c r="BB29" i="60"/>
  <c r="BB27" i="60"/>
  <c r="BB25" i="60"/>
  <c r="BB23" i="60"/>
  <c r="BB21" i="60"/>
  <c r="BB19" i="60"/>
  <c r="BB17" i="60"/>
  <c r="BB15" i="60"/>
  <c r="BB13" i="60"/>
  <c r="BB11" i="60"/>
  <c r="BB9" i="60"/>
  <c r="AX399" i="60"/>
  <c r="AX397" i="60"/>
  <c r="AX400" i="60"/>
  <c r="AX393" i="60"/>
  <c r="AX379" i="60"/>
  <c r="AX389" i="60"/>
  <c r="AX385" i="60"/>
  <c r="AX391" i="60"/>
  <c r="AX398" i="60"/>
  <c r="AX378" i="60"/>
  <c r="AX395" i="60"/>
  <c r="AX387" i="60"/>
  <c r="AX376" i="60"/>
  <c r="AX374" i="60"/>
  <c r="AX377" i="60"/>
  <c r="AX375" i="60"/>
  <c r="AX373" i="60"/>
  <c r="AX369" i="60"/>
  <c r="AX363" i="60"/>
  <c r="AX364" i="60"/>
  <c r="AX367" i="60"/>
  <c r="AX341" i="60"/>
  <c r="AX329" i="60"/>
  <c r="AX42" i="60"/>
  <c r="AX40" i="60"/>
  <c r="AX38" i="60"/>
  <c r="AX53" i="60"/>
  <c r="AX51" i="60"/>
  <c r="AX49" i="60"/>
  <c r="AX50" i="60"/>
  <c r="AX47" i="60"/>
  <c r="AX36" i="60"/>
  <c r="AX45" i="60"/>
  <c r="AX13" i="60"/>
  <c r="AX11" i="60"/>
  <c r="AX9" i="60"/>
  <c r="AX41" i="60"/>
  <c r="AX33" i="60"/>
  <c r="AX31" i="60"/>
  <c r="AX29" i="60"/>
  <c r="AX27" i="60"/>
  <c r="AX25" i="60"/>
  <c r="AX23" i="60"/>
  <c r="AX21" i="60"/>
  <c r="AX19" i="60"/>
  <c r="AX17" i="60"/>
  <c r="AX15" i="60"/>
  <c r="AX52" i="60"/>
  <c r="AX48" i="60"/>
  <c r="AX37" i="60"/>
  <c r="AX55" i="60"/>
  <c r="AX54" i="60"/>
  <c r="AX46" i="60"/>
  <c r="AX43" i="60"/>
  <c r="AX44" i="60"/>
  <c r="AX39" i="60"/>
  <c r="AX34" i="60"/>
  <c r="AX32" i="60"/>
  <c r="AX30" i="60"/>
  <c r="AX28" i="60"/>
  <c r="AX26" i="60"/>
  <c r="AX24" i="60"/>
  <c r="AX22" i="60"/>
  <c r="AX20" i="60"/>
  <c r="AX18" i="60"/>
  <c r="AX16" i="60"/>
  <c r="AX14" i="60"/>
  <c r="AX12" i="60"/>
  <c r="AX10" i="60"/>
  <c r="AX8" i="60"/>
  <c r="BF1" i="60"/>
  <c r="BB345" i="60" l="1"/>
  <c r="AX331" i="60"/>
  <c r="AX330" i="60"/>
  <c r="AX353" i="60"/>
  <c r="BB352" i="60"/>
  <c r="AX346" i="60"/>
  <c r="BB330" i="60"/>
  <c r="AX350" i="60"/>
  <c r="BB337" i="60"/>
  <c r="BB368" i="60"/>
  <c r="AX332" i="60"/>
  <c r="BB344" i="60"/>
  <c r="BB322" i="60"/>
  <c r="BB358" i="60"/>
  <c r="BB326" i="60"/>
  <c r="AX345" i="60"/>
  <c r="BB338" i="60"/>
  <c r="BB328" i="60"/>
  <c r="BB349" i="60"/>
  <c r="AX361" i="60"/>
  <c r="BB346" i="60"/>
  <c r="BB355" i="60"/>
  <c r="AX321" i="60"/>
  <c r="AX343" i="60"/>
  <c r="AX333" i="60"/>
  <c r="BB335" i="60"/>
  <c r="AX344" i="60"/>
  <c r="AX325" i="60"/>
  <c r="AX337" i="60"/>
  <c r="BB365" i="60"/>
  <c r="AX366" i="60"/>
  <c r="AX351" i="60"/>
  <c r="BB356" i="60"/>
  <c r="BB321" i="60"/>
  <c r="BB347" i="60"/>
  <c r="BB334" i="60"/>
  <c r="BB323" i="60"/>
  <c r="AX336" i="60"/>
  <c r="BB342" i="60"/>
  <c r="AX323" i="60"/>
  <c r="AX340" i="60"/>
  <c r="AX360" i="60"/>
  <c r="BB331" i="60"/>
  <c r="BB366" i="60"/>
  <c r="AX335" i="60"/>
  <c r="BB339" i="60"/>
  <c r="BB360" i="60"/>
  <c r="BB357" i="60"/>
  <c r="AX354" i="60"/>
  <c r="BB325" i="60"/>
  <c r="BB341" i="60"/>
  <c r="BB359" i="60"/>
  <c r="AX322" i="60"/>
  <c r="AX356" i="60"/>
  <c r="BB327" i="60"/>
  <c r="BB361" i="60"/>
  <c r="AX324" i="60"/>
  <c r="AX347" i="60"/>
  <c r="AX338" i="60"/>
  <c r="AX362" i="60"/>
  <c r="AX358" i="60"/>
  <c r="BB329" i="60"/>
  <c r="BB363" i="60"/>
  <c r="AX357" i="60"/>
  <c r="BB324" i="60"/>
  <c r="BB354" i="60"/>
  <c r="BB340" i="60"/>
  <c r="BB343" i="60"/>
  <c r="AX70" i="60"/>
  <c r="AX180" i="60"/>
  <c r="BB181" i="60"/>
  <c r="BB71" i="60"/>
  <c r="AX181" i="60"/>
  <c r="AX71" i="60"/>
  <c r="AX179" i="60"/>
  <c r="AX69" i="60"/>
  <c r="AX328" i="60"/>
  <c r="AX339" i="60"/>
  <c r="AX359" i="60"/>
  <c r="AX352" i="60"/>
  <c r="BB65" i="60"/>
  <c r="BB175" i="60"/>
  <c r="BB179" i="60"/>
  <c r="BB69" i="60"/>
  <c r="AX56" i="60"/>
  <c r="AX166" i="60"/>
  <c r="AX176" i="60"/>
  <c r="AX66" i="60"/>
  <c r="AX334" i="60"/>
  <c r="AX355" i="60"/>
  <c r="BB367" i="60"/>
  <c r="AX68" i="60"/>
  <c r="AX178" i="60"/>
  <c r="BB166" i="60"/>
  <c r="BB56" i="60"/>
  <c r="AX65" i="60"/>
  <c r="AX175" i="60"/>
  <c r="AX326" i="60"/>
  <c r="BB68" i="60"/>
  <c r="BB178" i="60"/>
  <c r="BB332" i="60"/>
  <c r="BB351" i="60"/>
  <c r="BB362" i="60"/>
  <c r="AX170" i="60"/>
  <c r="AX60" i="60"/>
  <c r="AX349" i="60"/>
  <c r="AX342" i="60"/>
  <c r="AX368" i="60"/>
  <c r="AX365" i="60"/>
  <c r="BB176" i="60"/>
  <c r="BB66" i="60"/>
  <c r="BB336" i="60"/>
  <c r="BB333" i="60"/>
  <c r="BB353" i="60"/>
  <c r="AX327" i="60"/>
  <c r="BB170" i="60"/>
  <c r="BB60" i="60"/>
  <c r="BB70" i="60"/>
  <c r="BB180" i="60"/>
  <c r="BF399" i="60"/>
  <c r="BF397" i="60"/>
  <c r="BF400" i="60"/>
  <c r="BF393" i="60"/>
  <c r="BF391" i="60"/>
  <c r="BF379" i="60"/>
  <c r="BF395" i="60"/>
  <c r="BF389" i="60"/>
  <c r="BF385" i="60"/>
  <c r="BF398" i="60"/>
  <c r="BF378" i="60"/>
  <c r="BF387" i="60"/>
  <c r="BF376" i="60"/>
  <c r="BF374" i="60"/>
  <c r="BF373" i="60"/>
  <c r="BF377" i="60"/>
  <c r="BF369" i="60"/>
  <c r="BF375" i="60"/>
  <c r="BF368" i="60"/>
  <c r="BF358" i="60"/>
  <c r="BF354" i="60"/>
  <c r="BF352" i="60"/>
  <c r="BF328" i="60"/>
  <c r="BF329" i="60"/>
  <c r="BF321" i="60"/>
  <c r="BF42" i="60"/>
  <c r="BF40" i="60"/>
  <c r="BF38" i="60"/>
  <c r="BF53" i="60"/>
  <c r="BF51" i="60"/>
  <c r="BF49" i="60"/>
  <c r="BF46" i="60"/>
  <c r="BF44" i="60"/>
  <c r="BF39" i="60"/>
  <c r="BF36" i="60"/>
  <c r="BF47" i="60"/>
  <c r="BF13" i="60"/>
  <c r="BF11" i="60"/>
  <c r="BF9" i="60"/>
  <c r="BF55" i="60"/>
  <c r="BF54" i="60"/>
  <c r="BF50" i="60"/>
  <c r="BF45" i="60"/>
  <c r="BF33" i="60"/>
  <c r="BF31" i="60"/>
  <c r="BF29" i="60"/>
  <c r="BF27" i="60"/>
  <c r="BF25" i="60"/>
  <c r="BF23" i="60"/>
  <c r="BF21" i="60"/>
  <c r="BF19" i="60"/>
  <c r="BF17" i="60"/>
  <c r="BF15" i="60"/>
  <c r="BF41" i="60"/>
  <c r="BF37" i="60"/>
  <c r="BF52" i="60"/>
  <c r="BF48" i="60"/>
  <c r="BF43" i="60"/>
  <c r="BF34" i="60"/>
  <c r="BF32" i="60"/>
  <c r="BF30" i="60"/>
  <c r="BF28" i="60"/>
  <c r="BF26" i="60"/>
  <c r="BF24" i="60"/>
  <c r="BF22" i="60"/>
  <c r="BF20" i="60"/>
  <c r="BF18" i="60"/>
  <c r="BF16" i="60"/>
  <c r="BF14" i="60"/>
  <c r="BF12" i="60"/>
  <c r="BF10" i="60"/>
  <c r="BF8" i="60"/>
  <c r="BJ1" i="60"/>
  <c r="BF367" i="60" l="1"/>
  <c r="BF339" i="60"/>
  <c r="BF337" i="60"/>
  <c r="BF349" i="60"/>
  <c r="BF332" i="60"/>
  <c r="BF366" i="60"/>
  <c r="BF359" i="60"/>
  <c r="BF326" i="60"/>
  <c r="BF365" i="60"/>
  <c r="BF341" i="60"/>
  <c r="BF324" i="60"/>
  <c r="BF362" i="60"/>
  <c r="BF355" i="60"/>
  <c r="BF360" i="60"/>
  <c r="BF340" i="60"/>
  <c r="BF350" i="60"/>
  <c r="BF331" i="60"/>
  <c r="BF338" i="60"/>
  <c r="BF347" i="60"/>
  <c r="BF364" i="60"/>
  <c r="BF327" i="60"/>
  <c r="BF344" i="60"/>
  <c r="BF330" i="60"/>
  <c r="BF322" i="60"/>
  <c r="BF336" i="60"/>
  <c r="BF325" i="60"/>
  <c r="BF335" i="60"/>
  <c r="BF346" i="60"/>
  <c r="BF342" i="60"/>
  <c r="BF363" i="60"/>
  <c r="BF343" i="60"/>
  <c r="BF353" i="60"/>
  <c r="BF361" i="60"/>
  <c r="BF356" i="60"/>
  <c r="BF345" i="60"/>
  <c r="BF323" i="60"/>
  <c r="BF357" i="60"/>
  <c r="BF333" i="60"/>
  <c r="BF351" i="60"/>
  <c r="BF334" i="60"/>
  <c r="BF56" i="60"/>
  <c r="BF166" i="60"/>
  <c r="BF65" i="60"/>
  <c r="BF175" i="60"/>
  <c r="BF181" i="60"/>
  <c r="BF71" i="60"/>
  <c r="BF70" i="60"/>
  <c r="BF180" i="60"/>
  <c r="BF170" i="60"/>
  <c r="BF60" i="60"/>
  <c r="BF176" i="60"/>
  <c r="BF66" i="60"/>
  <c r="BF179" i="60"/>
  <c r="BF69" i="60"/>
  <c r="BF68" i="60"/>
  <c r="BF178" i="60"/>
  <c r="BN1" i="60"/>
  <c r="BJ393" i="60"/>
  <c r="BJ400" i="60"/>
  <c r="BJ398" i="60"/>
  <c r="BJ395" i="60"/>
  <c r="BJ399" i="60"/>
  <c r="BJ397" i="60"/>
  <c r="BJ387" i="60"/>
  <c r="BJ391" i="60"/>
  <c r="BJ389" i="60"/>
  <c r="BJ385" i="60"/>
  <c r="BJ377" i="60"/>
  <c r="BJ375" i="60"/>
  <c r="BJ379" i="60"/>
  <c r="BJ376" i="60"/>
  <c r="BJ374" i="60"/>
  <c r="BJ378" i="60"/>
  <c r="BJ373" i="60"/>
  <c r="BJ369" i="60"/>
  <c r="BJ354" i="60"/>
  <c r="BJ358" i="60"/>
  <c r="BJ338" i="60"/>
  <c r="BJ325" i="60"/>
  <c r="BJ334" i="60"/>
  <c r="BJ322" i="60"/>
  <c r="BJ41" i="60"/>
  <c r="BJ39" i="60"/>
  <c r="BJ54" i="60"/>
  <c r="BJ55" i="60"/>
  <c r="BJ52" i="60"/>
  <c r="BJ50" i="60"/>
  <c r="BJ48" i="60"/>
  <c r="BJ53" i="60"/>
  <c r="BJ51" i="60"/>
  <c r="BJ47" i="60"/>
  <c r="BJ45" i="60"/>
  <c r="BJ42" i="60"/>
  <c r="BJ38" i="60"/>
  <c r="BJ37" i="60"/>
  <c r="BJ14" i="60"/>
  <c r="BJ12" i="60"/>
  <c r="BJ10" i="60"/>
  <c r="BJ8" i="60"/>
  <c r="BJ34" i="60"/>
  <c r="BJ32" i="60"/>
  <c r="BJ30" i="60"/>
  <c r="BJ28" i="60"/>
  <c r="BJ26" i="60"/>
  <c r="BJ24" i="60"/>
  <c r="BJ22" i="60"/>
  <c r="BJ20" i="60"/>
  <c r="BJ18" i="60"/>
  <c r="BJ16" i="60"/>
  <c r="BJ49" i="60"/>
  <c r="BJ46" i="60"/>
  <c r="BJ44" i="60"/>
  <c r="BJ43" i="60"/>
  <c r="BJ40" i="60"/>
  <c r="BJ36" i="60"/>
  <c r="BJ33" i="60"/>
  <c r="BJ31" i="60"/>
  <c r="BJ29" i="60"/>
  <c r="BJ27" i="60"/>
  <c r="BJ25" i="60"/>
  <c r="BJ23" i="60"/>
  <c r="BJ21" i="60"/>
  <c r="BJ19" i="60"/>
  <c r="BJ17" i="60"/>
  <c r="BJ15" i="60"/>
  <c r="BJ13" i="60"/>
  <c r="BJ11" i="60"/>
  <c r="BJ9" i="60"/>
  <c r="BJ360" i="60" l="1"/>
  <c r="BJ363" i="60"/>
  <c r="BJ332" i="60"/>
  <c r="BJ343" i="60"/>
  <c r="BJ331" i="60"/>
  <c r="BJ350" i="60"/>
  <c r="BJ321" i="60"/>
  <c r="BJ366" i="60"/>
  <c r="BJ339" i="60"/>
  <c r="BJ359" i="60"/>
  <c r="BJ324" i="60"/>
  <c r="BJ342" i="60"/>
  <c r="BJ329" i="60"/>
  <c r="BJ355" i="60"/>
  <c r="BJ323" i="60"/>
  <c r="BJ337" i="60"/>
  <c r="BJ357" i="60"/>
  <c r="BJ344" i="60"/>
  <c r="BJ364" i="60"/>
  <c r="BJ327" i="60"/>
  <c r="BJ341" i="60"/>
  <c r="BJ361" i="60"/>
  <c r="BJ349" i="60"/>
  <c r="BJ353" i="60"/>
  <c r="BJ336" i="60"/>
  <c r="BJ367" i="60"/>
  <c r="BJ326" i="60"/>
  <c r="BJ345" i="60"/>
  <c r="BJ347" i="60"/>
  <c r="BJ365" i="60"/>
  <c r="BJ340" i="60"/>
  <c r="BJ333" i="60"/>
  <c r="BJ352" i="60"/>
  <c r="BJ356" i="60"/>
  <c r="BJ346" i="60"/>
  <c r="BJ328" i="60"/>
  <c r="BJ362" i="60"/>
  <c r="BJ368" i="60"/>
  <c r="BJ68" i="60"/>
  <c r="BJ178" i="60"/>
  <c r="BJ351" i="60"/>
  <c r="BJ176" i="60"/>
  <c r="BJ66" i="60"/>
  <c r="BJ70" i="60"/>
  <c r="BJ180" i="60"/>
  <c r="BJ181" i="60"/>
  <c r="BJ71" i="60"/>
  <c r="BJ330" i="60"/>
  <c r="BJ335" i="60"/>
  <c r="BJ56" i="60"/>
  <c r="BJ166" i="60"/>
  <c r="BJ65" i="60"/>
  <c r="BJ175" i="60"/>
  <c r="BJ179" i="60"/>
  <c r="BJ69" i="60"/>
  <c r="BJ170" i="60"/>
  <c r="BJ60" i="60"/>
  <c r="BN8" i="60"/>
  <c r="BN321" i="60" l="1"/>
  <c r="V321" i="60"/>
  <c r="BN22" i="60"/>
  <c r="BN50" i="60"/>
  <c r="BN23" i="60"/>
  <c r="BN13" i="60"/>
  <c r="BN54" i="60"/>
  <c r="BN38" i="60"/>
  <c r="BN65" i="60"/>
  <c r="BN175" i="60"/>
  <c r="BN176" i="60"/>
  <c r="BN66" i="60"/>
  <c r="BN323" i="60"/>
  <c r="BN326" i="60"/>
  <c r="BN359" i="60"/>
  <c r="BN340" i="60"/>
  <c r="BN368" i="60"/>
  <c r="BN356" i="60"/>
  <c r="V369" i="60"/>
  <c r="BN369" i="60"/>
  <c r="BN395" i="60"/>
  <c r="BN393" i="60"/>
  <c r="BN24" i="60"/>
  <c r="BN37" i="60"/>
  <c r="BN25" i="60"/>
  <c r="BN46" i="60"/>
  <c r="BN55" i="60"/>
  <c r="BN181" i="60"/>
  <c r="BN71" i="60"/>
  <c r="BN40" i="60"/>
  <c r="BN68" i="60"/>
  <c r="BN178" i="60"/>
  <c r="BN325" i="60"/>
  <c r="BN341" i="60"/>
  <c r="BN346" i="60"/>
  <c r="BN342" i="60"/>
  <c r="BN358" i="60"/>
  <c r="BN377" i="60"/>
  <c r="BN378" i="60"/>
  <c r="V56" i="60"/>
  <c r="V166" i="60"/>
  <c r="BN10" i="60"/>
  <c r="BN26" i="60"/>
  <c r="BN41" i="60"/>
  <c r="BN27" i="60"/>
  <c r="BN48" i="60"/>
  <c r="BN42" i="60"/>
  <c r="BN327" i="60"/>
  <c r="BN331" i="60"/>
  <c r="BN357" i="60"/>
  <c r="BN344" i="60"/>
  <c r="BN360" i="60"/>
  <c r="BN373" i="60"/>
  <c r="V385" i="60"/>
  <c r="BN385" i="60"/>
  <c r="BN397" i="60"/>
  <c r="BN12" i="60"/>
  <c r="BN28" i="60"/>
  <c r="BN45" i="60"/>
  <c r="BN29" i="60"/>
  <c r="BN52" i="60"/>
  <c r="BN47" i="60"/>
  <c r="BN337" i="60"/>
  <c r="BN335" i="60"/>
  <c r="BN330" i="60"/>
  <c r="BN345" i="60"/>
  <c r="BN367" i="60"/>
  <c r="BN363" i="60"/>
  <c r="BN389" i="60"/>
  <c r="BN399" i="60"/>
  <c r="BN14" i="60"/>
  <c r="BN30" i="60"/>
  <c r="BN15" i="60"/>
  <c r="BN31" i="60"/>
  <c r="BN36" i="60"/>
  <c r="BN49" i="60"/>
  <c r="BN170" i="60"/>
  <c r="BN60" i="60"/>
  <c r="BN329" i="60"/>
  <c r="BN343" i="60"/>
  <c r="BN332" i="60"/>
  <c r="BN362" i="60"/>
  <c r="BN350" i="60"/>
  <c r="BN375" i="60"/>
  <c r="BN391" i="60"/>
  <c r="BN16" i="60"/>
  <c r="BN32" i="60"/>
  <c r="BN17" i="60"/>
  <c r="BN33" i="60"/>
  <c r="BN39" i="60"/>
  <c r="BN51" i="60"/>
  <c r="BN179" i="60"/>
  <c r="BN69" i="60"/>
  <c r="BN339" i="60"/>
  <c r="BN328" i="60"/>
  <c r="BN334" i="60"/>
  <c r="BN361" i="60"/>
  <c r="BN352" i="60"/>
  <c r="BN365" i="60"/>
  <c r="BN374" i="60"/>
  <c r="BN400" i="60"/>
  <c r="BN18" i="60"/>
  <c r="BN34" i="60"/>
  <c r="BN19" i="60"/>
  <c r="BN9" i="60"/>
  <c r="BN44" i="60"/>
  <c r="BN53" i="60"/>
  <c r="BN322" i="60"/>
  <c r="BN347" i="60"/>
  <c r="BN336" i="60"/>
  <c r="BN349" i="60"/>
  <c r="BN354" i="60"/>
  <c r="BN376" i="60"/>
  <c r="BN398" i="60"/>
  <c r="BN20" i="60"/>
  <c r="BN21" i="60"/>
  <c r="BN11" i="60"/>
  <c r="BN43" i="60"/>
  <c r="BN56" i="60"/>
  <c r="BN166" i="60"/>
  <c r="BN70" i="60"/>
  <c r="BN180" i="60"/>
  <c r="BN333" i="60"/>
  <c r="BN324" i="60"/>
  <c r="BN351" i="60"/>
  <c r="BN338" i="60"/>
  <c r="BN353" i="60"/>
  <c r="BN364" i="60"/>
  <c r="BN355" i="60"/>
  <c r="BN366" i="60"/>
  <c r="BN387" i="60"/>
  <c r="BN379" i="60"/>
  <c r="V8" i="60"/>
  <c r="N385" i="60" l="1"/>
  <c r="N369" i="60"/>
  <c r="N366" i="60"/>
  <c r="V366" i="60"/>
  <c r="N338" i="60"/>
  <c r="V338" i="60"/>
  <c r="V179" i="60"/>
  <c r="V69" i="60"/>
  <c r="N17" i="60"/>
  <c r="V17" i="60"/>
  <c r="N375" i="60"/>
  <c r="V375" i="60"/>
  <c r="N343" i="60"/>
  <c r="V343" i="60"/>
  <c r="V176" i="60"/>
  <c r="V66" i="60"/>
  <c r="N68" i="60"/>
  <c r="N178" i="60"/>
  <c r="V70" i="60"/>
  <c r="V180" i="60"/>
  <c r="N21" i="60"/>
  <c r="V21" i="60"/>
  <c r="N354" i="60"/>
  <c r="V354" i="60"/>
  <c r="N322" i="60"/>
  <c r="V322" i="60"/>
  <c r="N19" i="60"/>
  <c r="V19" i="60"/>
  <c r="N374" i="60"/>
  <c r="V374" i="60"/>
  <c r="N334" i="60"/>
  <c r="V334" i="60"/>
  <c r="N36" i="60"/>
  <c r="V36" i="60"/>
  <c r="N14" i="60"/>
  <c r="V14" i="60"/>
  <c r="N367" i="60"/>
  <c r="V367" i="60"/>
  <c r="N337" i="60"/>
  <c r="V337" i="60"/>
  <c r="N45" i="60"/>
  <c r="V45" i="60"/>
  <c r="N357" i="60"/>
  <c r="V357" i="60"/>
  <c r="N48" i="60"/>
  <c r="V48" i="60"/>
  <c r="N10" i="60"/>
  <c r="V10" i="60"/>
  <c r="N358" i="60"/>
  <c r="V358" i="60"/>
  <c r="N325" i="60"/>
  <c r="V325" i="60"/>
  <c r="V181" i="60"/>
  <c r="V71" i="60"/>
  <c r="N37" i="60"/>
  <c r="V37" i="60"/>
  <c r="N359" i="60"/>
  <c r="V359" i="60"/>
  <c r="N13" i="60"/>
  <c r="V13" i="60"/>
  <c r="N355" i="60"/>
  <c r="V355" i="60"/>
  <c r="N351" i="60"/>
  <c r="V351" i="60"/>
  <c r="N51" i="60"/>
  <c r="V51" i="60"/>
  <c r="N32" i="60"/>
  <c r="V32" i="60"/>
  <c r="N350" i="60"/>
  <c r="V350" i="60"/>
  <c r="N329" i="60"/>
  <c r="V329" i="60"/>
  <c r="N20" i="60"/>
  <c r="V20" i="60"/>
  <c r="N349" i="60"/>
  <c r="V349" i="60"/>
  <c r="N53" i="60"/>
  <c r="V53" i="60"/>
  <c r="N34" i="60"/>
  <c r="V34" i="60"/>
  <c r="N365" i="60"/>
  <c r="V365" i="60"/>
  <c r="N328" i="60"/>
  <c r="V328" i="60"/>
  <c r="N31" i="60"/>
  <c r="V31" i="60"/>
  <c r="N399" i="60"/>
  <c r="V399" i="60"/>
  <c r="N345" i="60"/>
  <c r="V345" i="60"/>
  <c r="N47" i="60"/>
  <c r="V47" i="60"/>
  <c r="N28" i="60"/>
  <c r="V28" i="60"/>
  <c r="N373" i="60"/>
  <c r="V373" i="60"/>
  <c r="N331" i="60"/>
  <c r="V331" i="60"/>
  <c r="N27" i="60"/>
  <c r="V27" i="60"/>
  <c r="N342" i="60"/>
  <c r="V342" i="60"/>
  <c r="N55" i="60"/>
  <c r="V55" i="60"/>
  <c r="N24" i="60"/>
  <c r="V24" i="60"/>
  <c r="N356" i="60"/>
  <c r="V356" i="60"/>
  <c r="N326" i="60"/>
  <c r="V326" i="60"/>
  <c r="V65" i="60"/>
  <c r="V175" i="60"/>
  <c r="N23" i="60"/>
  <c r="V23" i="60"/>
  <c r="N379" i="60"/>
  <c r="V379" i="60"/>
  <c r="N364" i="60"/>
  <c r="V364" i="60"/>
  <c r="N324" i="60"/>
  <c r="V324" i="60"/>
  <c r="N39" i="60"/>
  <c r="V39" i="60"/>
  <c r="N16" i="60"/>
  <c r="V16" i="60"/>
  <c r="N362" i="60"/>
  <c r="V362" i="60"/>
  <c r="V68" i="60"/>
  <c r="V178" i="60"/>
  <c r="N43" i="60"/>
  <c r="V43" i="60"/>
  <c r="N398" i="60"/>
  <c r="V398" i="60"/>
  <c r="N336" i="60"/>
  <c r="V336" i="60"/>
  <c r="N44" i="60"/>
  <c r="V44" i="60"/>
  <c r="N18" i="60"/>
  <c r="V18" i="60"/>
  <c r="N352" i="60"/>
  <c r="V352" i="60"/>
  <c r="N339" i="60"/>
  <c r="V339" i="60"/>
  <c r="V170" i="60"/>
  <c r="V60" i="60"/>
  <c r="N15" i="60"/>
  <c r="V15" i="60"/>
  <c r="N389" i="60"/>
  <c r="V389" i="60"/>
  <c r="N330" i="60"/>
  <c r="V330" i="60"/>
  <c r="N52" i="60"/>
  <c r="V52" i="60"/>
  <c r="N12" i="60"/>
  <c r="V12" i="60"/>
  <c r="N360" i="60"/>
  <c r="V360" i="60"/>
  <c r="N327" i="60"/>
  <c r="V327" i="60"/>
  <c r="N41" i="60"/>
  <c r="V41" i="60"/>
  <c r="N378" i="60"/>
  <c r="V378" i="60"/>
  <c r="N346" i="60"/>
  <c r="V346" i="60"/>
  <c r="N46" i="60"/>
  <c r="V46" i="60"/>
  <c r="N393" i="60"/>
  <c r="V393" i="60"/>
  <c r="N368" i="60"/>
  <c r="V368" i="60"/>
  <c r="N323" i="60"/>
  <c r="V323" i="60"/>
  <c r="N38" i="60"/>
  <c r="V38" i="60"/>
  <c r="N50" i="60"/>
  <c r="V50" i="60"/>
  <c r="N56" i="60"/>
  <c r="N166" i="60"/>
  <c r="N387" i="60"/>
  <c r="V387" i="60"/>
  <c r="N353" i="60"/>
  <c r="V353" i="60"/>
  <c r="N333" i="60"/>
  <c r="V333" i="60"/>
  <c r="N33" i="60"/>
  <c r="V33" i="60"/>
  <c r="N391" i="60"/>
  <c r="V391" i="60"/>
  <c r="N332" i="60"/>
  <c r="V332" i="60"/>
  <c r="N40" i="60"/>
  <c r="V40" i="60"/>
  <c r="N321" i="60"/>
  <c r="N11" i="60"/>
  <c r="V11" i="60"/>
  <c r="N376" i="60"/>
  <c r="V376" i="60"/>
  <c r="N347" i="60"/>
  <c r="V347" i="60"/>
  <c r="N9" i="60"/>
  <c r="V9" i="60"/>
  <c r="N400" i="60"/>
  <c r="V400" i="60"/>
  <c r="N361" i="60"/>
  <c r="V361" i="60"/>
  <c r="N49" i="60"/>
  <c r="V49" i="60"/>
  <c r="N30" i="60"/>
  <c r="V30" i="60"/>
  <c r="N363" i="60"/>
  <c r="V363" i="60"/>
  <c r="N335" i="60"/>
  <c r="V335" i="60"/>
  <c r="N29" i="60"/>
  <c r="V29" i="60"/>
  <c r="N397" i="60"/>
  <c r="V397" i="60"/>
  <c r="N344" i="60"/>
  <c r="V344" i="60"/>
  <c r="N42" i="60"/>
  <c r="V42" i="60"/>
  <c r="N26" i="60"/>
  <c r="V26" i="60"/>
  <c r="N377" i="60"/>
  <c r="V377" i="60"/>
  <c r="N341" i="60"/>
  <c r="V341" i="60"/>
  <c r="N25" i="60"/>
  <c r="V25" i="60"/>
  <c r="N395" i="60"/>
  <c r="V395" i="60"/>
  <c r="N340" i="60"/>
  <c r="V340" i="60"/>
  <c r="N54" i="60"/>
  <c r="V54" i="60"/>
  <c r="N22" i="60"/>
  <c r="V22" i="60"/>
  <c r="N181" i="60" l="1"/>
  <c r="N71" i="60"/>
  <c r="N176" i="60"/>
  <c r="N66" i="60"/>
  <c r="N8" i="60"/>
  <c r="N179" i="60"/>
  <c r="N69" i="60"/>
  <c r="N170" i="60"/>
  <c r="N60" i="60"/>
  <c r="N65" i="60"/>
  <c r="N175" i="60"/>
  <c r="N70" i="60"/>
  <c r="N180" i="60"/>
  <c r="AI1" i="60" l="1"/>
  <c r="AE1" i="60"/>
  <c r="AG4" i="60" l="1"/>
  <c r="AC4" i="60"/>
  <c r="AE398" i="60"/>
  <c r="AE395" i="60"/>
  <c r="AE399" i="60"/>
  <c r="AE400" i="60"/>
  <c r="AE393" i="60"/>
  <c r="AE378" i="60"/>
  <c r="AE391" i="60"/>
  <c r="AE387" i="60"/>
  <c r="AE397" i="60"/>
  <c r="AE379" i="60"/>
  <c r="AE389" i="60"/>
  <c r="AE385" i="60"/>
  <c r="AE374" i="60"/>
  <c r="AE376" i="60"/>
  <c r="AE377" i="60"/>
  <c r="AE375" i="60"/>
  <c r="AE373" i="60"/>
  <c r="AE369" i="60"/>
  <c r="AE363" i="60"/>
  <c r="AE357" i="60"/>
  <c r="AE364" i="60"/>
  <c r="AE360" i="60"/>
  <c r="AE350" i="60"/>
  <c r="AE345" i="60"/>
  <c r="AE341" i="60"/>
  <c r="AE339" i="60"/>
  <c r="AE337" i="60"/>
  <c r="AE346" i="60"/>
  <c r="AE338" i="60"/>
  <c r="AE334" i="60"/>
  <c r="AE332" i="60"/>
  <c r="AE330" i="60"/>
  <c r="AE327" i="60"/>
  <c r="AE325" i="60"/>
  <c r="AE54" i="60"/>
  <c r="AE40" i="60"/>
  <c r="AE39" i="60"/>
  <c r="AE37" i="60"/>
  <c r="AE34" i="60"/>
  <c r="AE32" i="60"/>
  <c r="AE30" i="60"/>
  <c r="AE28" i="60"/>
  <c r="AE26" i="60"/>
  <c r="AE24" i="60"/>
  <c r="AE22" i="60"/>
  <c r="AE20" i="60"/>
  <c r="AE18" i="60"/>
  <c r="AE16" i="60"/>
  <c r="AE14" i="60"/>
  <c r="AE12" i="60"/>
  <c r="AE10" i="60"/>
  <c r="AE8" i="60"/>
  <c r="AE51" i="60"/>
  <c r="AE50" i="60"/>
  <c r="AE46" i="60"/>
  <c r="AE45" i="60"/>
  <c r="AE42" i="60"/>
  <c r="AE41" i="60"/>
  <c r="AE38" i="60"/>
  <c r="AE36" i="60"/>
  <c r="AE55" i="60"/>
  <c r="AE33" i="60"/>
  <c r="AE31" i="60"/>
  <c r="AE29" i="60"/>
  <c r="AE27" i="60"/>
  <c r="AE25" i="60"/>
  <c r="AE23" i="60"/>
  <c r="AE21" i="60"/>
  <c r="AE19" i="60"/>
  <c r="AE17" i="60"/>
  <c r="AE15" i="60"/>
  <c r="AE13" i="60"/>
  <c r="AE11" i="60"/>
  <c r="AE9" i="60"/>
  <c r="AE53" i="60"/>
  <c r="AE52" i="60"/>
  <c r="AE49" i="60"/>
  <c r="AE48" i="60"/>
  <c r="AE47" i="60"/>
  <c r="AE44" i="60"/>
  <c r="AE43" i="60"/>
  <c r="AI399" i="60"/>
  <c r="AI400" i="60"/>
  <c r="AI397" i="60"/>
  <c r="AI393" i="60"/>
  <c r="AI398" i="60"/>
  <c r="AI391" i="60"/>
  <c r="AI379" i="60"/>
  <c r="AI389" i="60"/>
  <c r="AI385" i="60"/>
  <c r="AI395" i="60"/>
  <c r="AI387" i="60"/>
  <c r="AI374" i="60"/>
  <c r="AI377" i="60"/>
  <c r="AI376" i="60"/>
  <c r="AI373" i="60"/>
  <c r="AI378" i="60"/>
  <c r="AI375" i="60"/>
  <c r="AI369" i="60"/>
  <c r="AI367" i="60"/>
  <c r="AI343" i="60"/>
  <c r="AI339" i="60"/>
  <c r="AI337" i="60"/>
  <c r="AI335" i="60"/>
  <c r="AI333" i="60"/>
  <c r="AI331" i="60"/>
  <c r="AI329" i="60"/>
  <c r="AI349" i="60"/>
  <c r="AI332" i="60"/>
  <c r="AI330" i="60"/>
  <c r="AI326" i="60"/>
  <c r="AI323" i="60"/>
  <c r="AI55" i="60"/>
  <c r="AI54" i="60"/>
  <c r="AI51" i="60"/>
  <c r="AI41" i="60"/>
  <c r="AI36" i="60"/>
  <c r="AI50" i="60"/>
  <c r="AI46" i="60"/>
  <c r="AI42" i="60"/>
  <c r="AI38" i="60"/>
  <c r="AI33" i="60"/>
  <c r="AI31" i="60"/>
  <c r="AI29" i="60"/>
  <c r="AI27" i="60"/>
  <c r="AI25" i="60"/>
  <c r="AI23" i="60"/>
  <c r="AI21" i="60"/>
  <c r="AI19" i="60"/>
  <c r="AI17" i="60"/>
  <c r="AI15" i="60"/>
  <c r="AI13" i="60"/>
  <c r="AI11" i="60"/>
  <c r="AI9" i="60"/>
  <c r="AI47" i="60"/>
  <c r="AI43" i="60"/>
  <c r="AI49" i="60"/>
  <c r="AI44" i="60"/>
  <c r="AI39" i="60"/>
  <c r="AI37" i="60"/>
  <c r="AI53" i="60"/>
  <c r="AI52" i="60"/>
  <c r="AI48" i="60"/>
  <c r="AI40" i="60"/>
  <c r="AI34" i="60"/>
  <c r="AI32" i="60"/>
  <c r="AI30" i="60"/>
  <c r="AI28" i="60"/>
  <c r="AI26" i="60"/>
  <c r="AI24" i="60"/>
  <c r="AI22" i="60"/>
  <c r="AI20" i="60"/>
  <c r="AI18" i="60"/>
  <c r="AI16" i="60"/>
  <c r="AI14" i="60"/>
  <c r="AI12" i="60"/>
  <c r="AI10" i="60"/>
  <c r="AI8" i="60"/>
  <c r="AI45" i="60"/>
  <c r="AE326" i="60" l="1"/>
  <c r="AE355" i="60"/>
  <c r="AE368" i="60"/>
  <c r="AE322" i="60"/>
  <c r="AE354" i="60"/>
  <c r="AE336" i="60"/>
  <c r="AI358" i="60"/>
  <c r="AE367" i="60"/>
  <c r="AI341" i="60"/>
  <c r="AI321" i="60"/>
  <c r="AE323" i="60"/>
  <c r="AE352" i="60"/>
  <c r="AE353" i="60"/>
  <c r="AI322" i="60"/>
  <c r="AI355" i="60"/>
  <c r="AI327" i="60"/>
  <c r="AI353" i="60"/>
  <c r="AE335" i="60"/>
  <c r="AE356" i="60"/>
  <c r="AE324" i="60"/>
  <c r="AE358" i="60"/>
  <c r="AI357" i="60"/>
  <c r="AI328" i="60"/>
  <c r="AI363" i="60"/>
  <c r="AI362" i="60"/>
  <c r="AI352" i="60"/>
  <c r="AI334" i="60"/>
  <c r="AE331" i="60"/>
  <c r="AE365" i="60"/>
  <c r="AE359" i="60"/>
  <c r="AE344" i="60"/>
  <c r="AE347" i="60"/>
  <c r="AE366" i="60"/>
  <c r="AE342" i="60"/>
  <c r="AE329" i="60"/>
  <c r="AI345" i="60"/>
  <c r="AI364" i="60"/>
  <c r="AI365" i="60"/>
  <c r="AI336" i="60"/>
  <c r="AI359" i="60"/>
  <c r="AI340" i="60"/>
  <c r="AI344" i="60"/>
  <c r="AI347" i="60"/>
  <c r="AI351" i="60"/>
  <c r="AI366" i="60"/>
  <c r="AI361" i="60"/>
  <c r="AE343" i="60"/>
  <c r="AI342" i="60"/>
  <c r="AI360" i="60"/>
  <c r="AE328" i="60"/>
  <c r="AE349" i="60"/>
  <c r="AI324" i="60"/>
  <c r="AI346" i="60"/>
  <c r="AE340" i="60"/>
  <c r="AE362" i="60"/>
  <c r="AI338" i="60"/>
  <c r="AI356" i="60"/>
  <c r="AE321" i="60"/>
  <c r="AE333" i="60"/>
  <c r="AI325" i="60"/>
  <c r="AE351" i="60"/>
  <c r="AE361" i="60"/>
  <c r="AI354" i="60"/>
  <c r="AI350" i="60"/>
  <c r="AI368" i="60"/>
  <c r="AI180" i="60"/>
  <c r="AI70" i="60"/>
  <c r="AE60" i="60"/>
  <c r="AE170" i="60"/>
  <c r="AI166" i="60"/>
  <c r="AI56" i="60"/>
  <c r="AE178" i="60"/>
  <c r="AE68" i="60"/>
  <c r="AI60" i="60"/>
  <c r="AI170" i="60"/>
  <c r="AE175" i="60"/>
  <c r="AE65" i="60"/>
  <c r="AE66" i="60"/>
  <c r="AE176" i="60"/>
  <c r="AI71" i="60"/>
  <c r="AI181" i="60"/>
  <c r="AI69" i="60"/>
  <c r="AI179" i="60"/>
  <c r="AE69" i="60"/>
  <c r="AE179" i="60"/>
  <c r="AE166" i="60"/>
  <c r="AE56" i="60"/>
  <c r="AE180" i="60"/>
  <c r="AE70" i="60"/>
  <c r="AI178" i="60"/>
  <c r="AI68" i="60"/>
  <c r="AE71" i="60"/>
  <c r="AE181" i="60"/>
  <c r="AI175" i="60"/>
  <c r="AI65" i="60"/>
  <c r="AI66" i="60"/>
  <c r="AI176" i="60"/>
  <c r="AM1" i="60"/>
  <c r="AK4" i="60" l="1"/>
  <c r="AM398" i="60"/>
  <c r="AM395" i="60"/>
  <c r="AM399" i="60"/>
  <c r="AM397" i="60"/>
  <c r="AM378" i="60"/>
  <c r="AM387" i="60"/>
  <c r="AM391" i="60"/>
  <c r="AM379" i="60"/>
  <c r="AM393" i="60"/>
  <c r="AM400" i="60"/>
  <c r="AM389" i="60"/>
  <c r="AM385" i="60"/>
  <c r="AM377" i="60"/>
  <c r="AM375" i="60"/>
  <c r="AM374" i="60"/>
  <c r="AM373" i="60"/>
  <c r="AM376" i="60"/>
  <c r="AM369" i="60"/>
  <c r="AM363" i="60"/>
  <c r="AM353" i="60"/>
  <c r="AM351" i="60"/>
  <c r="AM360" i="60"/>
  <c r="AM344" i="60"/>
  <c r="AM54" i="60"/>
  <c r="AM44" i="60"/>
  <c r="AM43" i="60"/>
  <c r="AM37" i="60"/>
  <c r="AM47" i="60"/>
  <c r="AM40" i="60"/>
  <c r="AM39" i="60"/>
  <c r="AM55" i="60"/>
  <c r="AM52" i="60"/>
  <c r="AM49" i="60"/>
  <c r="AM48" i="60"/>
  <c r="AM34" i="60"/>
  <c r="AM32" i="60"/>
  <c r="AM30" i="60"/>
  <c r="AM28" i="60"/>
  <c r="AM26" i="60"/>
  <c r="AM24" i="60"/>
  <c r="AM22" i="60"/>
  <c r="AM20" i="60"/>
  <c r="AM18" i="60"/>
  <c r="AM16" i="60"/>
  <c r="AM14" i="60"/>
  <c r="AM12" i="60"/>
  <c r="AM10" i="60"/>
  <c r="AM8" i="60"/>
  <c r="AM53" i="60"/>
  <c r="AM45" i="60"/>
  <c r="AM36" i="60"/>
  <c r="AM46" i="60"/>
  <c r="AM42" i="60"/>
  <c r="AM41" i="60"/>
  <c r="AM38" i="60"/>
  <c r="AM51" i="60"/>
  <c r="AM50" i="60"/>
  <c r="AM33" i="60"/>
  <c r="AM31" i="60"/>
  <c r="AM29" i="60"/>
  <c r="AM27" i="60"/>
  <c r="AM25" i="60"/>
  <c r="AM23" i="60"/>
  <c r="AM21" i="60"/>
  <c r="AM19" i="60"/>
  <c r="AM17" i="60"/>
  <c r="AM15" i="60"/>
  <c r="AM13" i="60"/>
  <c r="AM11" i="60"/>
  <c r="AM9" i="60"/>
  <c r="AQ1" i="60"/>
  <c r="AM321" i="60" l="1"/>
  <c r="AM333" i="60"/>
  <c r="AM346" i="60"/>
  <c r="AM322" i="60"/>
  <c r="AM355" i="60"/>
  <c r="AM367" i="60"/>
  <c r="AM332" i="60"/>
  <c r="AM349" i="60"/>
  <c r="AM361" i="60"/>
  <c r="AM327" i="60"/>
  <c r="AM330" i="60"/>
  <c r="AM350" i="60"/>
  <c r="AM341" i="60"/>
  <c r="AM364" i="60"/>
  <c r="AM347" i="60"/>
  <c r="AM324" i="60"/>
  <c r="AM326" i="60"/>
  <c r="AM338" i="60"/>
  <c r="AM340" i="60"/>
  <c r="AM356" i="60"/>
  <c r="AM358" i="60"/>
  <c r="AM328" i="60"/>
  <c r="AM339" i="60"/>
  <c r="AM334" i="60"/>
  <c r="AM366" i="60"/>
  <c r="AM336" i="60"/>
  <c r="AM331" i="60"/>
  <c r="AM352" i="60"/>
  <c r="AM357" i="60"/>
  <c r="AM342" i="60"/>
  <c r="AM337" i="60"/>
  <c r="AM362" i="60"/>
  <c r="AM325" i="60"/>
  <c r="AM345" i="60"/>
  <c r="AM354" i="60"/>
  <c r="AM368" i="60"/>
  <c r="AM335" i="60"/>
  <c r="AM359" i="60"/>
  <c r="AM323" i="60"/>
  <c r="AM343" i="60"/>
  <c r="AM365" i="60"/>
  <c r="AM329" i="60"/>
  <c r="AM66" i="60"/>
  <c r="AM176" i="60"/>
  <c r="AM180" i="60"/>
  <c r="AM70" i="60"/>
  <c r="AO4" i="60"/>
  <c r="AM175" i="60"/>
  <c r="AM65" i="60"/>
  <c r="AM71" i="60"/>
  <c r="AM181" i="60"/>
  <c r="AM69" i="60"/>
  <c r="AM179" i="60"/>
  <c r="AM166" i="60"/>
  <c r="AM56" i="60"/>
  <c r="AM60" i="60"/>
  <c r="AM170" i="60"/>
  <c r="AM178" i="60"/>
  <c r="AM68" i="60"/>
  <c r="AQ399" i="60"/>
  <c r="AQ400" i="60"/>
  <c r="AQ397" i="60"/>
  <c r="AQ393" i="60"/>
  <c r="AQ398" i="60"/>
  <c r="AQ379" i="60"/>
  <c r="AQ395" i="60"/>
  <c r="AQ391" i="60"/>
  <c r="AQ389" i="60"/>
  <c r="AQ385" i="60"/>
  <c r="AQ387" i="60"/>
  <c r="AQ374" i="60"/>
  <c r="AQ373" i="60"/>
  <c r="AQ369" i="60"/>
  <c r="AQ377" i="60"/>
  <c r="AQ376" i="60"/>
  <c r="AQ375" i="60"/>
  <c r="AQ378" i="60"/>
  <c r="AQ368" i="60"/>
  <c r="AQ362" i="60"/>
  <c r="AQ360" i="60"/>
  <c r="AQ358" i="60"/>
  <c r="AQ356" i="60"/>
  <c r="AQ354" i="60"/>
  <c r="AQ342" i="60"/>
  <c r="AQ340" i="60"/>
  <c r="AQ343" i="60"/>
  <c r="AQ351" i="60"/>
  <c r="AQ345" i="60"/>
  <c r="AQ330" i="60"/>
  <c r="AQ55" i="60"/>
  <c r="AQ54" i="60"/>
  <c r="AQ52" i="60"/>
  <c r="AQ48" i="60"/>
  <c r="AQ45" i="60"/>
  <c r="AQ36" i="60"/>
  <c r="AQ53" i="60"/>
  <c r="AQ41" i="60"/>
  <c r="AQ42" i="60"/>
  <c r="AQ38" i="60"/>
  <c r="AQ33" i="60"/>
  <c r="AQ31" i="60"/>
  <c r="AQ29" i="60"/>
  <c r="AQ27" i="60"/>
  <c r="AQ25" i="60"/>
  <c r="AQ23" i="60"/>
  <c r="AQ21" i="60"/>
  <c r="AQ19" i="60"/>
  <c r="AQ17" i="60"/>
  <c r="AQ15" i="60"/>
  <c r="AQ13" i="60"/>
  <c r="AQ11" i="60"/>
  <c r="AQ9" i="60"/>
  <c r="AQ51" i="60"/>
  <c r="AQ46" i="60"/>
  <c r="AQ50" i="60"/>
  <c r="AQ43" i="60"/>
  <c r="AQ37" i="60"/>
  <c r="AQ47" i="60"/>
  <c r="AQ44" i="60"/>
  <c r="AQ39" i="60"/>
  <c r="AQ40" i="60"/>
  <c r="AQ34" i="60"/>
  <c r="AQ32" i="60"/>
  <c r="AQ30" i="60"/>
  <c r="AQ28" i="60"/>
  <c r="AQ26" i="60"/>
  <c r="AQ24" i="60"/>
  <c r="AQ22" i="60"/>
  <c r="AQ20" i="60"/>
  <c r="AQ18" i="60"/>
  <c r="AQ16" i="60"/>
  <c r="AQ14" i="60"/>
  <c r="AQ12" i="60"/>
  <c r="AQ10" i="60"/>
  <c r="AQ8" i="60"/>
  <c r="AQ49" i="60"/>
  <c r="AU1" i="60"/>
  <c r="AY1" i="60"/>
  <c r="BC1" i="60"/>
  <c r="AQ334" i="60" l="1"/>
  <c r="AQ323" i="60"/>
  <c r="AQ355" i="60"/>
  <c r="AQ336" i="60"/>
  <c r="AQ327" i="60"/>
  <c r="AQ324" i="60"/>
  <c r="AQ347" i="60"/>
  <c r="AQ325" i="60"/>
  <c r="AQ366" i="60"/>
  <c r="AQ338" i="60"/>
  <c r="AQ329" i="60"/>
  <c r="AQ365" i="60"/>
  <c r="AQ326" i="60"/>
  <c r="AQ335" i="60"/>
  <c r="AQ328" i="60"/>
  <c r="AQ332" i="60"/>
  <c r="AQ367" i="60"/>
  <c r="AQ346" i="60"/>
  <c r="AQ352" i="60"/>
  <c r="AQ349" i="60"/>
  <c r="AQ364" i="60"/>
  <c r="AQ321" i="60"/>
  <c r="AQ353" i="60"/>
  <c r="AQ363" i="60"/>
  <c r="AQ339" i="60"/>
  <c r="AQ357" i="60"/>
  <c r="AQ344" i="60"/>
  <c r="AQ350" i="60"/>
  <c r="AQ333" i="60"/>
  <c r="AQ180" i="60"/>
  <c r="AQ70" i="60"/>
  <c r="AQ69" i="60"/>
  <c r="AQ179" i="60"/>
  <c r="AW4" i="60"/>
  <c r="BA4" i="60"/>
  <c r="AQ175" i="60"/>
  <c r="AQ65" i="60"/>
  <c r="AQ341" i="60"/>
  <c r="AQ359" i="60"/>
  <c r="AQ166" i="60"/>
  <c r="AQ56" i="60"/>
  <c r="AQ322" i="60"/>
  <c r="AQ361" i="60"/>
  <c r="AQ60" i="60"/>
  <c r="AQ170" i="60"/>
  <c r="AQ331" i="60"/>
  <c r="AS4" i="60"/>
  <c r="AQ178" i="60"/>
  <c r="AQ68" i="60"/>
  <c r="AQ66" i="60"/>
  <c r="AQ176" i="60"/>
  <c r="AQ71" i="60"/>
  <c r="AQ181" i="60"/>
  <c r="AQ337" i="60"/>
  <c r="AY399" i="60"/>
  <c r="AY391" i="60"/>
  <c r="AY397" i="60"/>
  <c r="AY400" i="60"/>
  <c r="AY393" i="60"/>
  <c r="AY398" i="60"/>
  <c r="AY379" i="60"/>
  <c r="AY389" i="60"/>
  <c r="AY385" i="60"/>
  <c r="AY395" i="60"/>
  <c r="AY387" i="60"/>
  <c r="AY377" i="60"/>
  <c r="AY376" i="60"/>
  <c r="AY375" i="60"/>
  <c r="AY373" i="60"/>
  <c r="AY378" i="60"/>
  <c r="AY369" i="60"/>
  <c r="AY374" i="60"/>
  <c r="AY357" i="60"/>
  <c r="AY351" i="60"/>
  <c r="AY339" i="60"/>
  <c r="AY345" i="60"/>
  <c r="AY327" i="60"/>
  <c r="AY55" i="60"/>
  <c r="AY54" i="60"/>
  <c r="AY36" i="60"/>
  <c r="AY45" i="60"/>
  <c r="AY49" i="60"/>
  <c r="AY41" i="60"/>
  <c r="AY33" i="60"/>
  <c r="AY31" i="60"/>
  <c r="AY29" i="60"/>
  <c r="AY27" i="60"/>
  <c r="AY25" i="60"/>
  <c r="AY23" i="60"/>
  <c r="AY21" i="60"/>
  <c r="AY19" i="60"/>
  <c r="AY17" i="60"/>
  <c r="AY15" i="60"/>
  <c r="AY13" i="60"/>
  <c r="AY11" i="60"/>
  <c r="AY9" i="60"/>
  <c r="AY52" i="60"/>
  <c r="AY48" i="60"/>
  <c r="AY42" i="60"/>
  <c r="AY38" i="60"/>
  <c r="AY37" i="60"/>
  <c r="AY53" i="60"/>
  <c r="AY46" i="60"/>
  <c r="AY43" i="60"/>
  <c r="AY51" i="60"/>
  <c r="AY44" i="60"/>
  <c r="AY39" i="60"/>
  <c r="AY34" i="60"/>
  <c r="AY32" i="60"/>
  <c r="AY30" i="60"/>
  <c r="AY28" i="60"/>
  <c r="AY26" i="60"/>
  <c r="AY24" i="60"/>
  <c r="AY22" i="60"/>
  <c r="AY20" i="60"/>
  <c r="AY18" i="60"/>
  <c r="AY16" i="60"/>
  <c r="AY14" i="60"/>
  <c r="AY12" i="60"/>
  <c r="AY10" i="60"/>
  <c r="AY8" i="60"/>
  <c r="AY50" i="60"/>
  <c r="AY47" i="60"/>
  <c r="AY40" i="60"/>
  <c r="AU398" i="60"/>
  <c r="AU395" i="60"/>
  <c r="AU399" i="60"/>
  <c r="AU400" i="60"/>
  <c r="AU393" i="60"/>
  <c r="AU378" i="60"/>
  <c r="AU387" i="60"/>
  <c r="AU379" i="60"/>
  <c r="AU397" i="60"/>
  <c r="AU391" i="60"/>
  <c r="AU389" i="60"/>
  <c r="AU385" i="60"/>
  <c r="AU376" i="60"/>
  <c r="AU377" i="60"/>
  <c r="AU375" i="60"/>
  <c r="AU374" i="60"/>
  <c r="AU373" i="60"/>
  <c r="AU369" i="60"/>
  <c r="AU362" i="60"/>
  <c r="AU351" i="60"/>
  <c r="AU367" i="60"/>
  <c r="AU329" i="60"/>
  <c r="AU325" i="60"/>
  <c r="AU54" i="60"/>
  <c r="AU37" i="60"/>
  <c r="AU51" i="60"/>
  <c r="AU50" i="60"/>
  <c r="AU44" i="60"/>
  <c r="AU43" i="60"/>
  <c r="AU40" i="60"/>
  <c r="AU39" i="60"/>
  <c r="AU34" i="60"/>
  <c r="AU32" i="60"/>
  <c r="AU30" i="60"/>
  <c r="AU28" i="60"/>
  <c r="AU26" i="60"/>
  <c r="AU24" i="60"/>
  <c r="AU22" i="60"/>
  <c r="AU20" i="60"/>
  <c r="AU18" i="60"/>
  <c r="AU16" i="60"/>
  <c r="AU14" i="60"/>
  <c r="AU12" i="60"/>
  <c r="AU10" i="60"/>
  <c r="AU8" i="60"/>
  <c r="AU47" i="60"/>
  <c r="AU36" i="60"/>
  <c r="AU52" i="60"/>
  <c r="AU49" i="60"/>
  <c r="AU48" i="60"/>
  <c r="AU45" i="60"/>
  <c r="AU42" i="60"/>
  <c r="AU41" i="60"/>
  <c r="AU38" i="60"/>
  <c r="AU33" i="60"/>
  <c r="AU31" i="60"/>
  <c r="AU29" i="60"/>
  <c r="AU27" i="60"/>
  <c r="AU25" i="60"/>
  <c r="AU23" i="60"/>
  <c r="AU21" i="60"/>
  <c r="AU19" i="60"/>
  <c r="AU17" i="60"/>
  <c r="AU15" i="60"/>
  <c r="AU13" i="60"/>
  <c r="AU11" i="60"/>
  <c r="AU9" i="60"/>
  <c r="AU55" i="60"/>
  <c r="AU53" i="60"/>
  <c r="AU46" i="60"/>
  <c r="BC400" i="60"/>
  <c r="BC398" i="60"/>
  <c r="BC395" i="60"/>
  <c r="BC399" i="60"/>
  <c r="BC391" i="60"/>
  <c r="BC378" i="60"/>
  <c r="BC397" i="60"/>
  <c r="BC387" i="60"/>
  <c r="BC379" i="60"/>
  <c r="BC393" i="60"/>
  <c r="BC389" i="60"/>
  <c r="BC385" i="60"/>
  <c r="BC374" i="60"/>
  <c r="BC376" i="60"/>
  <c r="BC377" i="60"/>
  <c r="BC373" i="60"/>
  <c r="BC375" i="60"/>
  <c r="BC369" i="60"/>
  <c r="BC362" i="60"/>
  <c r="BC361" i="60"/>
  <c r="BC359" i="60"/>
  <c r="BC349" i="60"/>
  <c r="BC343" i="60"/>
  <c r="BC340" i="60"/>
  <c r="BC54" i="60"/>
  <c r="BC52" i="60"/>
  <c r="BC49" i="60"/>
  <c r="BC48" i="60"/>
  <c r="BC37" i="60"/>
  <c r="BC46" i="60"/>
  <c r="BC44" i="60"/>
  <c r="BC43" i="60"/>
  <c r="BC34" i="60"/>
  <c r="BC32" i="60"/>
  <c r="BC30" i="60"/>
  <c r="BC28" i="60"/>
  <c r="BC26" i="60"/>
  <c r="BC24" i="60"/>
  <c r="BC22" i="60"/>
  <c r="BC20" i="60"/>
  <c r="BC18" i="60"/>
  <c r="BC16" i="60"/>
  <c r="BC14" i="60"/>
  <c r="BC12" i="60"/>
  <c r="BC10" i="60"/>
  <c r="BC8" i="60"/>
  <c r="BC53" i="60"/>
  <c r="BC40" i="60"/>
  <c r="BC39" i="60"/>
  <c r="BC55" i="60"/>
  <c r="BC51" i="60"/>
  <c r="BC50" i="60"/>
  <c r="BC36" i="60"/>
  <c r="BC47" i="60"/>
  <c r="BC45" i="60"/>
  <c r="BC33" i="60"/>
  <c r="BC31" i="60"/>
  <c r="BC29" i="60"/>
  <c r="BC27" i="60"/>
  <c r="BC25" i="60"/>
  <c r="BC23" i="60"/>
  <c r="BC21" i="60"/>
  <c r="BC19" i="60"/>
  <c r="BC17" i="60"/>
  <c r="BC15" i="60"/>
  <c r="BC13" i="60"/>
  <c r="BC11" i="60"/>
  <c r="BC9" i="60"/>
  <c r="BC42" i="60"/>
  <c r="BC41" i="60"/>
  <c r="BC38" i="60"/>
  <c r="AY341" i="60" l="1"/>
  <c r="AY323" i="60"/>
  <c r="AY359" i="60"/>
  <c r="AY335" i="60"/>
  <c r="AY352" i="60"/>
  <c r="BC352" i="60"/>
  <c r="BC367" i="60"/>
  <c r="BC335" i="60"/>
  <c r="AU330" i="60"/>
  <c r="AY332" i="60"/>
  <c r="AY358" i="60"/>
  <c r="AY322" i="60"/>
  <c r="AY338" i="60"/>
  <c r="AY328" i="60"/>
  <c r="AU347" i="60"/>
  <c r="AU338" i="60"/>
  <c r="AY333" i="60"/>
  <c r="AY350" i="60"/>
  <c r="AU344" i="60"/>
  <c r="AY356" i="60"/>
  <c r="BC338" i="60"/>
  <c r="AU322" i="60"/>
  <c r="AY336" i="60"/>
  <c r="BC345" i="60"/>
  <c r="BC333" i="60"/>
  <c r="AY367" i="60"/>
  <c r="BC342" i="60"/>
  <c r="AU358" i="60"/>
  <c r="AY331" i="60"/>
  <c r="AY330" i="60"/>
  <c r="AY346" i="60"/>
  <c r="BC329" i="60"/>
  <c r="BC358" i="60"/>
  <c r="AU331" i="60"/>
  <c r="AY361" i="60"/>
  <c r="AU333" i="60"/>
  <c r="AY326" i="60"/>
  <c r="AY329" i="60"/>
  <c r="AY353" i="60"/>
  <c r="AU354" i="60"/>
  <c r="AY343" i="60"/>
  <c r="AY347" i="60"/>
  <c r="AU359" i="60"/>
  <c r="AY321" i="60"/>
  <c r="AU321" i="60"/>
  <c r="AU343" i="60"/>
  <c r="AU350" i="60"/>
  <c r="AU363" i="60"/>
  <c r="BC325" i="60"/>
  <c r="BC347" i="60"/>
  <c r="BC365" i="60"/>
  <c r="AU335" i="60"/>
  <c r="AU357" i="60"/>
  <c r="BC351" i="60"/>
  <c r="AU332" i="60"/>
  <c r="AY334" i="60"/>
  <c r="AY368" i="60"/>
  <c r="AU366" i="60"/>
  <c r="AY354" i="60"/>
  <c r="AU353" i="60"/>
  <c r="AU349" i="60"/>
  <c r="AY340" i="60"/>
  <c r="AY342" i="60"/>
  <c r="AY349" i="60"/>
  <c r="AY325" i="60"/>
  <c r="AY355" i="60"/>
  <c r="AY366" i="60"/>
  <c r="AU327" i="60"/>
  <c r="BC328" i="60"/>
  <c r="BC336" i="60"/>
  <c r="AU352" i="60"/>
  <c r="BC334" i="60"/>
  <c r="BC356" i="60"/>
  <c r="BC368" i="60"/>
  <c r="AU346" i="60"/>
  <c r="BC324" i="60"/>
  <c r="BC327" i="60"/>
  <c r="BC331" i="60"/>
  <c r="BC360" i="60"/>
  <c r="AU365" i="60"/>
  <c r="BC322" i="60"/>
  <c r="BC339" i="60"/>
  <c r="BC364" i="60"/>
  <c r="AU326" i="60"/>
  <c r="AU334" i="60"/>
  <c r="AU356" i="60"/>
  <c r="AU355" i="60"/>
  <c r="AU368" i="60"/>
  <c r="BC330" i="60"/>
  <c r="AU323" i="60"/>
  <c r="AU340" i="60"/>
  <c r="AU339" i="60"/>
  <c r="AU361" i="60"/>
  <c r="AY337" i="60"/>
  <c r="BC323" i="60"/>
  <c r="BC357" i="60"/>
  <c r="BC337" i="60"/>
  <c r="BC366" i="60"/>
  <c r="AU345" i="60"/>
  <c r="AY363" i="60"/>
  <c r="BC346" i="60"/>
  <c r="AU324" i="60"/>
  <c r="AU328" i="60"/>
  <c r="AU336" i="60"/>
  <c r="AU337" i="60"/>
  <c r="AY324" i="60"/>
  <c r="BC178" i="60"/>
  <c r="BC68" i="60"/>
  <c r="BC332" i="60"/>
  <c r="BC354" i="60"/>
  <c r="BC355" i="60"/>
  <c r="AU342" i="60"/>
  <c r="AU341" i="60"/>
  <c r="AU364" i="60"/>
  <c r="BC175" i="60"/>
  <c r="BC65" i="60"/>
  <c r="AU178" i="60"/>
  <c r="AU68" i="60"/>
  <c r="AY71" i="60"/>
  <c r="AY181" i="60"/>
  <c r="BC166" i="60"/>
  <c r="BC56" i="60"/>
  <c r="AU66" i="60"/>
  <c r="AU176" i="60"/>
  <c r="AY178" i="60"/>
  <c r="AY68" i="60"/>
  <c r="AY69" i="60"/>
  <c r="AY179" i="60"/>
  <c r="AU175" i="60"/>
  <c r="AU65" i="60"/>
  <c r="AU69" i="60"/>
  <c r="AU179" i="60"/>
  <c r="AU180" i="60"/>
  <c r="AU70" i="60"/>
  <c r="AY175" i="60"/>
  <c r="AY65" i="60"/>
  <c r="AY360" i="60"/>
  <c r="BC66" i="60"/>
  <c r="BC176" i="60"/>
  <c r="BC180" i="60"/>
  <c r="BC70" i="60"/>
  <c r="AU71" i="60"/>
  <c r="AU181" i="60"/>
  <c r="AY166" i="60"/>
  <c r="AY56" i="60"/>
  <c r="AY365" i="60"/>
  <c r="BC69" i="60"/>
  <c r="BC179" i="60"/>
  <c r="BC60" i="60"/>
  <c r="BC170" i="60"/>
  <c r="BC341" i="60"/>
  <c r="AU166" i="60"/>
  <c r="AU56" i="60"/>
  <c r="BC71" i="60"/>
  <c r="BC181" i="60"/>
  <c r="BC321" i="60"/>
  <c r="BC344" i="60"/>
  <c r="AU360" i="60"/>
  <c r="AY66" i="60"/>
  <c r="AY176" i="60"/>
  <c r="AY180" i="60"/>
  <c r="AY70" i="60"/>
  <c r="AY362" i="60"/>
  <c r="BC326" i="60"/>
  <c r="BC350" i="60"/>
  <c r="BC353" i="60"/>
  <c r="BC363" i="60"/>
  <c r="AU60" i="60"/>
  <c r="AU170" i="60"/>
  <c r="AY60" i="60"/>
  <c r="AY170" i="60"/>
  <c r="AY344" i="60"/>
  <c r="AY364" i="60"/>
  <c r="BG1" i="60"/>
  <c r="BE4" i="60" l="1"/>
  <c r="BG391" i="60"/>
  <c r="BG399" i="60"/>
  <c r="BG397" i="60"/>
  <c r="BG400" i="60"/>
  <c r="BG393" i="60"/>
  <c r="BG398" i="60"/>
  <c r="BG379" i="60"/>
  <c r="BG395" i="60"/>
  <c r="BG389" i="60"/>
  <c r="BG385" i="60"/>
  <c r="BG387" i="60"/>
  <c r="BG373" i="60"/>
  <c r="BG377" i="60"/>
  <c r="BG376" i="60"/>
  <c r="BG369" i="60"/>
  <c r="BG375" i="60"/>
  <c r="BG374" i="60"/>
  <c r="BG378" i="60"/>
  <c r="BG360" i="60"/>
  <c r="BG336" i="60"/>
  <c r="BG334" i="60"/>
  <c r="BG341" i="60"/>
  <c r="BG337" i="60"/>
  <c r="BG335" i="60"/>
  <c r="BG333" i="60"/>
  <c r="BG331" i="60"/>
  <c r="BG329" i="60"/>
  <c r="BG55" i="60"/>
  <c r="BG54" i="60"/>
  <c r="BG40" i="60"/>
  <c r="BG36" i="60"/>
  <c r="BG53" i="60"/>
  <c r="BG51" i="60"/>
  <c r="BG47" i="60"/>
  <c r="BG50" i="60"/>
  <c r="BG45" i="60"/>
  <c r="BG33" i="60"/>
  <c r="BG31" i="60"/>
  <c r="BG29" i="60"/>
  <c r="BG27" i="60"/>
  <c r="BG25" i="60"/>
  <c r="BG23" i="60"/>
  <c r="BG21" i="60"/>
  <c r="BG19" i="60"/>
  <c r="BG17" i="60"/>
  <c r="BG15" i="60"/>
  <c r="BG13" i="60"/>
  <c r="BG11" i="60"/>
  <c r="BG9" i="60"/>
  <c r="BG41" i="60"/>
  <c r="BG42" i="60"/>
  <c r="BG38" i="60"/>
  <c r="BG37" i="60"/>
  <c r="BG49" i="60"/>
  <c r="BG52" i="60"/>
  <c r="BG48" i="60"/>
  <c r="BG43" i="60"/>
  <c r="BG34" i="60"/>
  <c r="BG32" i="60"/>
  <c r="BG30" i="60"/>
  <c r="BG28" i="60"/>
  <c r="BG26" i="60"/>
  <c r="BG24" i="60"/>
  <c r="BG22" i="60"/>
  <c r="BG20" i="60"/>
  <c r="BG18" i="60"/>
  <c r="BG16" i="60"/>
  <c r="BG14" i="60"/>
  <c r="BG12" i="60"/>
  <c r="BG10" i="60"/>
  <c r="BG8" i="60"/>
  <c r="BG46" i="60"/>
  <c r="BG44" i="60"/>
  <c r="BG39" i="60"/>
  <c r="BK1" i="60"/>
  <c r="BG356" i="60" l="1"/>
  <c r="BG332" i="60"/>
  <c r="BG349" i="60"/>
  <c r="BG323" i="60"/>
  <c r="BG344" i="60"/>
  <c r="BG321" i="60"/>
  <c r="BG364" i="60"/>
  <c r="BG357" i="60"/>
  <c r="BG368" i="60"/>
  <c r="BG324" i="60"/>
  <c r="BG346" i="60"/>
  <c r="BG363" i="60"/>
  <c r="BG350" i="60"/>
  <c r="BG353" i="60"/>
  <c r="BG326" i="60"/>
  <c r="BG354" i="60"/>
  <c r="BG339" i="60"/>
  <c r="BG322" i="60"/>
  <c r="BG351" i="60"/>
  <c r="BG362" i="60"/>
  <c r="BG338" i="60"/>
  <c r="BG355" i="60"/>
  <c r="BG347" i="60"/>
  <c r="BG342" i="60"/>
  <c r="BG327" i="60"/>
  <c r="BG358" i="60"/>
  <c r="BG367" i="60"/>
  <c r="BG352" i="60"/>
  <c r="BG345" i="60"/>
  <c r="BG330" i="60"/>
  <c r="BG328" i="60"/>
  <c r="BG366" i="60"/>
  <c r="BG359" i="60"/>
  <c r="BG340" i="60"/>
  <c r="BG180" i="60"/>
  <c r="BG70" i="60"/>
  <c r="BG325" i="60"/>
  <c r="BG60" i="60"/>
  <c r="BG170" i="60"/>
  <c r="BG178" i="60"/>
  <c r="BG68" i="60"/>
  <c r="BG365" i="60"/>
  <c r="BG166" i="60"/>
  <c r="BG56" i="60"/>
  <c r="BG71" i="60"/>
  <c r="BG181" i="60"/>
  <c r="BG175" i="60"/>
  <c r="BG65" i="60"/>
  <c r="BG69" i="60"/>
  <c r="BG179" i="60"/>
  <c r="BG361" i="60"/>
  <c r="BI4" i="60"/>
  <c r="BG66" i="60"/>
  <c r="BG176" i="60"/>
  <c r="BG343" i="60"/>
  <c r="BK400" i="60"/>
  <c r="BK398" i="60"/>
  <c r="BK395" i="60"/>
  <c r="BK393" i="60"/>
  <c r="BK378" i="60"/>
  <c r="BK399" i="60"/>
  <c r="BK387" i="60"/>
  <c r="BK391" i="60"/>
  <c r="BK379" i="60"/>
  <c r="BK389" i="60"/>
  <c r="BK385" i="60"/>
  <c r="BK397" i="60"/>
  <c r="BK376" i="60"/>
  <c r="BK377" i="60"/>
  <c r="BK375" i="60"/>
  <c r="BK374" i="60"/>
  <c r="BK373" i="60"/>
  <c r="BK369" i="60"/>
  <c r="BK343" i="60"/>
  <c r="BK339" i="60"/>
  <c r="BK329" i="60"/>
  <c r="BK328" i="60"/>
  <c r="BK54" i="60"/>
  <c r="BK42" i="60"/>
  <c r="BK41" i="60"/>
  <c r="BK38" i="60"/>
  <c r="BK37" i="60"/>
  <c r="BK55" i="60"/>
  <c r="BK34" i="60"/>
  <c r="BK32" i="60"/>
  <c r="BK30" i="60"/>
  <c r="BK28" i="60"/>
  <c r="BK26" i="60"/>
  <c r="BK24" i="60"/>
  <c r="BK22" i="60"/>
  <c r="BK20" i="60"/>
  <c r="BK18" i="60"/>
  <c r="BK16" i="60"/>
  <c r="BK14" i="60"/>
  <c r="BK12" i="60"/>
  <c r="BK10" i="60"/>
  <c r="BK8" i="60"/>
  <c r="BK52" i="60"/>
  <c r="BK49" i="60"/>
  <c r="BK48" i="60"/>
  <c r="BK46" i="60"/>
  <c r="BK44" i="60"/>
  <c r="BK43" i="60"/>
  <c r="BK40" i="60"/>
  <c r="BK39" i="60"/>
  <c r="BK36" i="60"/>
  <c r="BK33" i="60"/>
  <c r="BK31" i="60"/>
  <c r="BK29" i="60"/>
  <c r="BK27" i="60"/>
  <c r="BK25" i="60"/>
  <c r="BK23" i="60"/>
  <c r="BK21" i="60"/>
  <c r="BK19" i="60"/>
  <c r="BK17" i="60"/>
  <c r="BK15" i="60"/>
  <c r="BK13" i="60"/>
  <c r="BK11" i="60"/>
  <c r="BK9" i="60"/>
  <c r="BK53" i="60"/>
  <c r="BK51" i="60"/>
  <c r="BK50" i="60"/>
  <c r="BK47" i="60"/>
  <c r="BK45" i="60"/>
  <c r="BO1" i="60"/>
  <c r="BK346" i="60" l="1"/>
  <c r="BK326" i="60"/>
  <c r="BK364" i="60"/>
  <c r="BK350" i="60"/>
  <c r="BK338" i="60"/>
  <c r="BK337" i="60"/>
  <c r="BK368" i="60"/>
  <c r="BK325" i="60"/>
  <c r="BK355" i="60"/>
  <c r="BK353" i="60"/>
  <c r="BK362" i="60"/>
  <c r="BK354" i="60"/>
  <c r="BK340" i="60"/>
  <c r="BK322" i="60"/>
  <c r="BK344" i="60"/>
  <c r="BK331" i="60"/>
  <c r="BK324" i="60"/>
  <c r="BK356" i="60"/>
  <c r="BK330" i="60"/>
  <c r="BK345" i="60"/>
  <c r="BK360" i="60"/>
  <c r="BK352" i="60"/>
  <c r="BK341" i="60"/>
  <c r="BK361" i="60"/>
  <c r="BK358" i="60"/>
  <c r="BK332" i="60"/>
  <c r="BK367" i="60"/>
  <c r="BK323" i="60"/>
  <c r="BK335" i="60"/>
  <c r="BK365" i="60"/>
  <c r="BK359" i="60"/>
  <c r="BK351" i="60"/>
  <c r="BK336" i="60"/>
  <c r="BK327" i="60"/>
  <c r="BK347" i="60"/>
  <c r="BK366" i="60"/>
  <c r="BK342" i="60"/>
  <c r="BK60" i="60"/>
  <c r="BK170" i="60"/>
  <c r="BK363" i="60"/>
  <c r="BK175" i="60"/>
  <c r="BK65" i="60"/>
  <c r="BK333" i="60"/>
  <c r="BK357" i="60"/>
  <c r="BK66" i="60"/>
  <c r="BK176" i="60"/>
  <c r="BK178" i="60"/>
  <c r="BK68" i="60"/>
  <c r="BK69" i="60"/>
  <c r="BK179" i="60"/>
  <c r="BK166" i="60"/>
  <c r="BK56" i="60"/>
  <c r="BK180" i="60"/>
  <c r="BK70" i="60"/>
  <c r="BM4" i="60"/>
  <c r="BK71" i="60"/>
  <c r="BK181" i="60"/>
  <c r="BK321" i="60"/>
  <c r="BK334" i="60"/>
  <c r="BK349" i="60"/>
  <c r="BO385" i="60"/>
  <c r="BO369" i="60"/>
  <c r="BO8" i="60"/>
  <c r="BO10" i="60" l="1"/>
  <c r="BO26" i="60"/>
  <c r="BO50" i="60"/>
  <c r="BO11" i="60"/>
  <c r="BO27" i="60"/>
  <c r="BO36" i="60"/>
  <c r="BO321" i="60"/>
  <c r="BO322" i="60"/>
  <c r="BO341" i="60"/>
  <c r="BO342" i="60"/>
  <c r="BO362" i="60"/>
  <c r="BO389" i="60"/>
  <c r="BO391" i="60"/>
  <c r="BO12" i="60"/>
  <c r="BO28" i="60"/>
  <c r="BO53" i="60"/>
  <c r="BO13" i="60"/>
  <c r="BO29" i="60"/>
  <c r="BO39" i="60"/>
  <c r="BO178" i="60"/>
  <c r="BO68" i="60"/>
  <c r="BO323" i="60"/>
  <c r="BO330" i="60"/>
  <c r="BO351" i="60"/>
  <c r="BO343" i="60"/>
  <c r="BO344" i="60"/>
  <c r="BO350" i="60"/>
  <c r="BO364" i="60"/>
  <c r="BO375" i="60"/>
  <c r="BO379" i="60"/>
  <c r="BO14" i="60"/>
  <c r="BO30" i="60"/>
  <c r="BO37" i="60"/>
  <c r="BO15" i="60"/>
  <c r="BO31" i="60"/>
  <c r="BO44" i="60"/>
  <c r="BO60" i="60"/>
  <c r="BO170" i="60"/>
  <c r="BO324" i="60"/>
  <c r="BO328" i="60"/>
  <c r="BO329" i="60"/>
  <c r="BO355" i="60"/>
  <c r="BO345" i="60"/>
  <c r="BO352" i="60"/>
  <c r="BO366" i="60"/>
  <c r="BO376" i="60"/>
  <c r="BO378" i="60"/>
  <c r="BO398" i="60"/>
  <c r="BO16" i="60"/>
  <c r="BO32" i="60"/>
  <c r="BO41" i="60"/>
  <c r="BO17" i="60"/>
  <c r="BO33" i="60"/>
  <c r="BO49" i="60"/>
  <c r="BO71" i="60"/>
  <c r="BO181" i="60"/>
  <c r="BO325" i="60"/>
  <c r="BO327" i="60"/>
  <c r="BO331" i="60"/>
  <c r="BO346" i="60"/>
  <c r="BO354" i="60"/>
  <c r="BO377" i="60"/>
  <c r="BO373" i="60"/>
  <c r="BO400" i="60"/>
  <c r="BO18" i="60"/>
  <c r="BO34" i="60"/>
  <c r="BO47" i="60"/>
  <c r="BO19" i="60"/>
  <c r="BO40" i="60"/>
  <c r="BO54" i="60"/>
  <c r="BO332" i="60"/>
  <c r="BO333" i="60"/>
  <c r="BO334" i="60"/>
  <c r="BO357" i="60"/>
  <c r="BO356" i="60"/>
  <c r="BO374" i="60"/>
  <c r="BO393" i="60"/>
  <c r="BO20" i="60"/>
  <c r="BO51" i="60"/>
  <c r="BO21" i="60"/>
  <c r="BO46" i="60"/>
  <c r="BO175" i="60"/>
  <c r="BO65" i="60"/>
  <c r="BO180" i="60"/>
  <c r="BO70" i="60"/>
  <c r="BO69" i="60"/>
  <c r="BO179" i="60"/>
  <c r="BO349" i="60"/>
  <c r="BO335" i="60"/>
  <c r="BO336" i="60"/>
  <c r="BO359" i="60"/>
  <c r="BO358" i="60"/>
  <c r="BO387" i="60"/>
  <c r="BO399" i="60"/>
  <c r="BO43" i="60"/>
  <c r="BO22" i="60"/>
  <c r="BO38" i="60"/>
  <c r="BO45" i="60"/>
  <c r="BO23" i="60"/>
  <c r="BO48" i="60"/>
  <c r="BO66" i="60"/>
  <c r="BO176" i="60"/>
  <c r="BO55" i="60"/>
  <c r="BO353" i="60"/>
  <c r="BO337" i="60"/>
  <c r="BO338" i="60"/>
  <c r="BO361" i="60"/>
  <c r="BO360" i="60"/>
  <c r="BO365" i="60"/>
  <c r="BO395" i="60"/>
  <c r="BO397" i="60"/>
  <c r="BO24" i="60"/>
  <c r="BO42" i="60"/>
  <c r="BO9" i="60"/>
  <c r="BO25" i="60"/>
  <c r="BO52" i="60"/>
  <c r="BO166" i="60"/>
  <c r="BO56" i="60"/>
  <c r="BO326" i="60"/>
  <c r="BO347" i="60"/>
  <c r="BO339" i="60"/>
  <c r="BO340" i="60"/>
  <c r="BO367" i="60"/>
  <c r="BO363" i="60"/>
  <c r="BO368" i="60"/>
  <c r="W8" i="60"/>
  <c r="W385" i="60"/>
  <c r="W321" i="60"/>
  <c r="W369" i="60"/>
  <c r="O48" i="60" l="1"/>
  <c r="W48" i="60"/>
  <c r="O22" i="60"/>
  <c r="W22" i="60"/>
  <c r="O358" i="60"/>
  <c r="W358" i="60"/>
  <c r="O349" i="60"/>
  <c r="W349" i="60"/>
  <c r="O49" i="60"/>
  <c r="W49" i="60"/>
  <c r="O32" i="60"/>
  <c r="W32" i="60"/>
  <c r="O376" i="60"/>
  <c r="W376" i="60"/>
  <c r="O355" i="60"/>
  <c r="W355" i="60"/>
  <c r="O13" i="60"/>
  <c r="W13" i="60"/>
  <c r="O391" i="60"/>
  <c r="W391" i="60"/>
  <c r="O341" i="60"/>
  <c r="W341" i="60"/>
  <c r="O368" i="60"/>
  <c r="W368" i="60"/>
  <c r="O339" i="60"/>
  <c r="W339" i="60"/>
  <c r="O52" i="60"/>
  <c r="W52" i="60"/>
  <c r="O24" i="60"/>
  <c r="W24" i="60"/>
  <c r="O360" i="60"/>
  <c r="W360" i="60"/>
  <c r="O353" i="60"/>
  <c r="W353" i="60"/>
  <c r="W175" i="60"/>
  <c r="W65" i="60"/>
  <c r="O20" i="60"/>
  <c r="W20" i="60"/>
  <c r="O357" i="60"/>
  <c r="W357" i="60"/>
  <c r="O54" i="60"/>
  <c r="W54" i="60"/>
  <c r="O34" i="60"/>
  <c r="W34" i="60"/>
  <c r="O377" i="60"/>
  <c r="W377" i="60"/>
  <c r="O327" i="60"/>
  <c r="W327" i="60"/>
  <c r="W60" i="60"/>
  <c r="W170" i="60"/>
  <c r="O37" i="60"/>
  <c r="W37" i="60"/>
  <c r="O375" i="60"/>
  <c r="W375" i="60"/>
  <c r="O343" i="60"/>
  <c r="W343" i="60"/>
  <c r="O11" i="60"/>
  <c r="W11" i="60"/>
  <c r="O23" i="60"/>
  <c r="W23" i="60"/>
  <c r="O43" i="60"/>
  <c r="W43" i="60"/>
  <c r="O359" i="60"/>
  <c r="W359" i="60"/>
  <c r="O33" i="60"/>
  <c r="W33" i="60"/>
  <c r="O16" i="60"/>
  <c r="W16" i="60"/>
  <c r="O366" i="60"/>
  <c r="W366" i="60"/>
  <c r="O329" i="60"/>
  <c r="W329" i="60"/>
  <c r="W178" i="60"/>
  <c r="W68" i="60"/>
  <c r="O53" i="60"/>
  <c r="W53" i="60"/>
  <c r="O389" i="60"/>
  <c r="W389" i="60"/>
  <c r="O322" i="60"/>
  <c r="W322" i="60"/>
  <c r="W166" i="60"/>
  <c r="W56" i="60"/>
  <c r="O363" i="60"/>
  <c r="W363" i="60"/>
  <c r="O347" i="60"/>
  <c r="W347" i="60"/>
  <c r="O25" i="60"/>
  <c r="W25" i="60"/>
  <c r="O397" i="60"/>
  <c r="W397" i="60"/>
  <c r="O361" i="60"/>
  <c r="W361" i="60"/>
  <c r="O55" i="60"/>
  <c r="W55" i="60"/>
  <c r="W69" i="60"/>
  <c r="W179" i="60"/>
  <c r="O46" i="60"/>
  <c r="W46" i="60"/>
  <c r="O393" i="60"/>
  <c r="W393" i="60"/>
  <c r="O334" i="60"/>
  <c r="W334" i="60"/>
  <c r="O40" i="60"/>
  <c r="W40" i="60"/>
  <c r="O18" i="60"/>
  <c r="W18" i="60"/>
  <c r="O354" i="60"/>
  <c r="W354" i="60"/>
  <c r="O325" i="60"/>
  <c r="W325" i="60"/>
  <c r="O44" i="60"/>
  <c r="W44" i="60"/>
  <c r="O30" i="60"/>
  <c r="W30" i="60"/>
  <c r="O364" i="60"/>
  <c r="W364" i="60"/>
  <c r="O351" i="60"/>
  <c r="W351" i="60"/>
  <c r="O50" i="60"/>
  <c r="W50" i="60"/>
  <c r="O45" i="60"/>
  <c r="W45" i="60"/>
  <c r="O399" i="60"/>
  <c r="W399" i="60"/>
  <c r="O336" i="60"/>
  <c r="W336" i="60"/>
  <c r="O17" i="60"/>
  <c r="W17" i="60"/>
  <c r="O398" i="60"/>
  <c r="W398" i="60"/>
  <c r="O352" i="60"/>
  <c r="W352" i="60"/>
  <c r="O328" i="60"/>
  <c r="W328" i="60"/>
  <c r="O39" i="60"/>
  <c r="W39" i="60"/>
  <c r="O28" i="60"/>
  <c r="W28" i="60"/>
  <c r="O362" i="60"/>
  <c r="W362" i="60"/>
  <c r="O178" i="60"/>
  <c r="O68" i="60"/>
  <c r="O367" i="60"/>
  <c r="W367" i="60"/>
  <c r="O326" i="60"/>
  <c r="W326" i="60"/>
  <c r="O9" i="60"/>
  <c r="W9" i="60"/>
  <c r="O395" i="60"/>
  <c r="W395" i="60"/>
  <c r="O338" i="60"/>
  <c r="W338" i="60"/>
  <c r="O21" i="60"/>
  <c r="W21" i="60"/>
  <c r="O374" i="60"/>
  <c r="W374" i="60"/>
  <c r="O333" i="60"/>
  <c r="W333" i="60"/>
  <c r="O19" i="60"/>
  <c r="W19" i="60"/>
  <c r="O400" i="60"/>
  <c r="W400" i="60"/>
  <c r="O346" i="60"/>
  <c r="W346" i="60"/>
  <c r="O31" i="60"/>
  <c r="W31" i="60"/>
  <c r="O14" i="60"/>
  <c r="W14" i="60"/>
  <c r="O350" i="60"/>
  <c r="W350" i="60"/>
  <c r="O330" i="60"/>
  <c r="W330" i="60"/>
  <c r="O36" i="60"/>
  <c r="W36" i="60"/>
  <c r="O26" i="60"/>
  <c r="W26" i="60"/>
  <c r="W66" i="60"/>
  <c r="W176" i="60"/>
  <c r="O38" i="60"/>
  <c r="W38" i="60"/>
  <c r="O387" i="60"/>
  <c r="W387" i="60"/>
  <c r="O335" i="60"/>
  <c r="W335" i="60"/>
  <c r="W180" i="60"/>
  <c r="W70" i="60"/>
  <c r="W71" i="60"/>
  <c r="W181" i="60"/>
  <c r="O41" i="60"/>
  <c r="W41" i="60"/>
  <c r="O378" i="60"/>
  <c r="W378" i="60"/>
  <c r="O345" i="60"/>
  <c r="W345" i="60"/>
  <c r="O324" i="60"/>
  <c r="W324" i="60"/>
  <c r="O29" i="60"/>
  <c r="W29" i="60"/>
  <c r="O12" i="60"/>
  <c r="W12" i="60"/>
  <c r="O342" i="60"/>
  <c r="W342" i="60"/>
  <c r="O340" i="60"/>
  <c r="W340" i="60"/>
  <c r="O42" i="60"/>
  <c r="W42" i="60"/>
  <c r="O365" i="60"/>
  <c r="W365" i="60"/>
  <c r="O337" i="60"/>
  <c r="W337" i="60"/>
  <c r="O51" i="60"/>
  <c r="W51" i="60"/>
  <c r="O356" i="60"/>
  <c r="W356" i="60"/>
  <c r="O332" i="60"/>
  <c r="W332" i="60"/>
  <c r="O47" i="60"/>
  <c r="W47" i="60"/>
  <c r="O373" i="60"/>
  <c r="W373" i="60"/>
  <c r="O331" i="60"/>
  <c r="W331" i="60"/>
  <c r="O15" i="60"/>
  <c r="W15" i="60"/>
  <c r="O379" i="60"/>
  <c r="W379" i="60"/>
  <c r="O344" i="60"/>
  <c r="W344" i="60"/>
  <c r="O323" i="60"/>
  <c r="W323" i="60"/>
  <c r="O27" i="60"/>
  <c r="W27" i="60"/>
  <c r="O10" i="60"/>
  <c r="W10" i="60"/>
  <c r="O385" i="60"/>
  <c r="O166" i="60" l="1"/>
  <c r="O56" i="60"/>
  <c r="O369" i="60"/>
  <c r="O71" i="60"/>
  <c r="O181" i="60"/>
  <c r="O321" i="60"/>
  <c r="O180" i="60"/>
  <c r="O70" i="60"/>
  <c r="O8" i="60"/>
  <c r="O66" i="60"/>
  <c r="O176" i="60"/>
  <c r="O175" i="60"/>
  <c r="O65" i="60"/>
  <c r="O60" i="60"/>
  <c r="O170" i="60"/>
  <c r="O69" i="60"/>
  <c r="O179" i="60"/>
  <c r="R200" i="60" l="1"/>
  <c r="R226" i="60" s="1"/>
  <c r="Q201" i="60"/>
  <c r="Q225" i="60" s="1"/>
  <c r="R90" i="60"/>
  <c r="R115" i="60" s="1"/>
  <c r="P91" i="60"/>
  <c r="P114" i="60" s="1"/>
  <c r="P201" i="60"/>
  <c r="P225" i="60" s="1"/>
  <c r="Q200" i="60"/>
  <c r="Q226" i="60" s="1"/>
  <c r="R201" i="60"/>
  <c r="R225" i="60" s="1"/>
  <c r="Q90" i="60"/>
  <c r="Q115" i="60" s="1"/>
  <c r="S90" i="60"/>
  <c r="S115" i="60" s="1"/>
  <c r="R91" i="60"/>
  <c r="R114" i="60" s="1"/>
  <c r="S200" i="60"/>
  <c r="S226" i="60" s="1"/>
  <c r="Q91" i="60"/>
  <c r="Q114" i="60" s="1"/>
  <c r="S201" i="60"/>
  <c r="S225" i="60" s="1"/>
  <c r="P90" i="60"/>
  <c r="P115" i="60" s="1"/>
  <c r="S91" i="60"/>
  <c r="S114" i="60" s="1"/>
  <c r="P200" i="60"/>
  <c r="P226" i="60" s="1"/>
  <c r="AA200" i="60" l="1"/>
  <c r="Y91" i="60"/>
  <c r="AA91" i="60"/>
  <c r="Y201" i="60"/>
  <c r="AA201" i="60"/>
  <c r="Z200" i="60"/>
  <c r="Z90" i="60"/>
  <c r="X90" i="60"/>
  <c r="Z201" i="60"/>
  <c r="X200" i="60"/>
  <c r="Z91" i="60"/>
  <c r="Y200" i="60"/>
  <c r="X91" i="60"/>
  <c r="AA90" i="60"/>
  <c r="Y90" i="60"/>
  <c r="X201" i="60"/>
  <c r="Q290" i="60" l="1"/>
  <c r="U293" i="60"/>
  <c r="R290" i="60"/>
  <c r="V291" i="60"/>
  <c r="R292" i="60"/>
  <c r="V293" i="60"/>
  <c r="Q292" i="60"/>
  <c r="S290" i="60"/>
  <c r="W291" i="60"/>
  <c r="S292" i="60"/>
  <c r="W293" i="60"/>
  <c r="P291" i="60"/>
  <c r="T292" i="60"/>
  <c r="P293" i="60"/>
  <c r="Q293" i="60"/>
  <c r="Q291" i="60"/>
  <c r="U292" i="60"/>
  <c r="R291" i="60"/>
  <c r="V292" i="60"/>
  <c r="R293" i="60"/>
  <c r="S291" i="60"/>
  <c r="W292" i="60"/>
  <c r="S293" i="60"/>
  <c r="T291" i="60"/>
  <c r="P292" i="60"/>
  <c r="T293" i="60"/>
  <c r="U291" i="60"/>
  <c r="Q125" i="60"/>
  <c r="Y125" i="60"/>
  <c r="S119" i="60"/>
  <c r="AA119" i="60"/>
  <c r="S131" i="60"/>
  <c r="AA131" i="60"/>
  <c r="S143" i="60"/>
  <c r="AA143" i="60"/>
  <c r="S156" i="60"/>
  <c r="AA156" i="60"/>
  <c r="P120" i="60"/>
  <c r="X120" i="60"/>
  <c r="P130" i="60"/>
  <c r="X130" i="60"/>
  <c r="P144" i="60"/>
  <c r="X144" i="60"/>
  <c r="P157" i="60"/>
  <c r="X157" i="60"/>
  <c r="S118" i="60"/>
  <c r="AA118" i="60"/>
  <c r="S120" i="60"/>
  <c r="AA120" i="60"/>
  <c r="S122" i="60"/>
  <c r="AA122" i="60"/>
  <c r="S124" i="60"/>
  <c r="AA124" i="60"/>
  <c r="S126" i="60"/>
  <c r="AA126" i="60"/>
  <c r="S128" i="60"/>
  <c r="AA128" i="60"/>
  <c r="S130" i="60"/>
  <c r="AA130" i="60"/>
  <c r="S132" i="60"/>
  <c r="AA132" i="60"/>
  <c r="S134" i="60"/>
  <c r="AA134" i="60"/>
  <c r="S136" i="60"/>
  <c r="AA136" i="60"/>
  <c r="S138" i="60"/>
  <c r="AA138" i="60"/>
  <c r="S140" i="60"/>
  <c r="AA140" i="60"/>
  <c r="S142" i="60"/>
  <c r="AA142" i="60"/>
  <c r="S144" i="60"/>
  <c r="AA144" i="60"/>
  <c r="S147" i="60"/>
  <c r="AA147" i="60"/>
  <c r="S149" i="60"/>
  <c r="AA149" i="60"/>
  <c r="S151" i="60"/>
  <c r="AA151" i="60"/>
  <c r="S153" i="60"/>
  <c r="AA153" i="60"/>
  <c r="S155" i="60"/>
  <c r="AA155" i="60"/>
  <c r="S157" i="60"/>
  <c r="AA157" i="60"/>
  <c r="S159" i="60"/>
  <c r="AA159" i="60"/>
  <c r="S161" i="60"/>
  <c r="AA161" i="60"/>
  <c r="S163" i="60"/>
  <c r="AA163" i="60"/>
  <c r="S165" i="60"/>
  <c r="AA165" i="60"/>
  <c r="W276" i="60"/>
  <c r="S276" i="60"/>
  <c r="W278" i="60"/>
  <c r="S278" i="60"/>
  <c r="W280" i="60"/>
  <c r="S280" i="60"/>
  <c r="W283" i="60"/>
  <c r="S283" i="60"/>
  <c r="W285" i="60"/>
  <c r="S285" i="60"/>
  <c r="W287" i="60"/>
  <c r="S287" i="60"/>
  <c r="Q119" i="60"/>
  <c r="Y119" i="60"/>
  <c r="Q133" i="60"/>
  <c r="Y133" i="60"/>
  <c r="S123" i="60"/>
  <c r="AA123" i="60"/>
  <c r="S133" i="60"/>
  <c r="AA133" i="60"/>
  <c r="S148" i="60"/>
  <c r="AA148" i="60"/>
  <c r="S160" i="60"/>
  <c r="AA160" i="60"/>
  <c r="P124" i="60"/>
  <c r="X124" i="60"/>
  <c r="P134" i="60"/>
  <c r="X134" i="60"/>
  <c r="P142" i="60"/>
  <c r="X142" i="60"/>
  <c r="P151" i="60"/>
  <c r="X151" i="60"/>
  <c r="P161" i="60"/>
  <c r="X161" i="60"/>
  <c r="P119" i="60"/>
  <c r="X119" i="60"/>
  <c r="P121" i="60"/>
  <c r="X121" i="60"/>
  <c r="P123" i="60"/>
  <c r="X123" i="60"/>
  <c r="P125" i="60"/>
  <c r="X125" i="60"/>
  <c r="P127" i="60"/>
  <c r="X127" i="60"/>
  <c r="P129" i="60"/>
  <c r="X129" i="60"/>
  <c r="P131" i="60"/>
  <c r="X131" i="60"/>
  <c r="P133" i="60"/>
  <c r="X133" i="60"/>
  <c r="P135" i="60"/>
  <c r="X135" i="60"/>
  <c r="P137" i="60"/>
  <c r="X137" i="60"/>
  <c r="P139" i="60"/>
  <c r="X139" i="60"/>
  <c r="P141" i="60"/>
  <c r="X141" i="60"/>
  <c r="P143" i="60"/>
  <c r="X143" i="60"/>
  <c r="P146" i="60"/>
  <c r="X146" i="60"/>
  <c r="P148" i="60"/>
  <c r="X148" i="60"/>
  <c r="P150" i="60"/>
  <c r="X150" i="60"/>
  <c r="P152" i="60"/>
  <c r="X152" i="60"/>
  <c r="P156" i="60"/>
  <c r="X156" i="60"/>
  <c r="P158" i="60"/>
  <c r="X158" i="60"/>
  <c r="P160" i="60"/>
  <c r="X160" i="60"/>
  <c r="P162" i="60"/>
  <c r="X162" i="60"/>
  <c r="P164" i="60"/>
  <c r="X164" i="60"/>
  <c r="T277" i="60"/>
  <c r="P277" i="60"/>
  <c r="P279" i="60"/>
  <c r="T279" i="60"/>
  <c r="T281" i="60"/>
  <c r="P281" i="60"/>
  <c r="T284" i="60"/>
  <c r="P284" i="60"/>
  <c r="T286" i="60"/>
  <c r="P286" i="60"/>
  <c r="T288" i="60"/>
  <c r="P288" i="60"/>
  <c r="T290" i="60"/>
  <c r="Q127" i="60"/>
  <c r="Y127" i="60"/>
  <c r="Q143" i="60"/>
  <c r="Y143" i="60"/>
  <c r="Q148" i="60"/>
  <c r="Y148" i="60"/>
  <c r="Q152" i="60"/>
  <c r="Y152" i="60"/>
  <c r="Q156" i="60"/>
  <c r="Y156" i="60"/>
  <c r="Q160" i="60"/>
  <c r="Y160" i="60"/>
  <c r="Q277" i="60"/>
  <c r="U277" i="60"/>
  <c r="U279" i="60"/>
  <c r="Q279" i="60"/>
  <c r="Q281" i="60"/>
  <c r="U281" i="60"/>
  <c r="U284" i="60"/>
  <c r="Q284" i="60"/>
  <c r="U286" i="60"/>
  <c r="Q286" i="60"/>
  <c r="Q288" i="60"/>
  <c r="U288" i="60"/>
  <c r="Q129" i="60"/>
  <c r="Y129" i="60"/>
  <c r="Q141" i="60"/>
  <c r="Y141" i="60"/>
  <c r="Q146" i="60"/>
  <c r="Y146" i="60"/>
  <c r="Q150" i="60"/>
  <c r="Y150" i="60"/>
  <c r="Q158" i="60"/>
  <c r="Y158" i="60"/>
  <c r="Q162" i="60"/>
  <c r="Y162" i="60"/>
  <c r="Q164" i="60"/>
  <c r="Y164" i="60"/>
  <c r="R119" i="60"/>
  <c r="Z119" i="60"/>
  <c r="R121" i="60"/>
  <c r="Z121" i="60"/>
  <c r="R123" i="60"/>
  <c r="Z123" i="60"/>
  <c r="R125" i="60"/>
  <c r="Z125" i="60"/>
  <c r="R127" i="60"/>
  <c r="Z127" i="60"/>
  <c r="R129" i="60"/>
  <c r="Z129" i="60"/>
  <c r="R131" i="60"/>
  <c r="Z131" i="60"/>
  <c r="R133" i="60"/>
  <c r="Z133" i="60"/>
  <c r="R135" i="60"/>
  <c r="Z135" i="60"/>
  <c r="R137" i="60"/>
  <c r="Z137" i="60"/>
  <c r="R139" i="60"/>
  <c r="Z139" i="60"/>
  <c r="R141" i="60"/>
  <c r="Z141" i="60"/>
  <c r="R143" i="60"/>
  <c r="Z143" i="60"/>
  <c r="R146" i="60"/>
  <c r="Z146" i="60"/>
  <c r="R148" i="60"/>
  <c r="Z148" i="60"/>
  <c r="R150" i="60"/>
  <c r="Z150" i="60"/>
  <c r="R152" i="60"/>
  <c r="Z152" i="60"/>
  <c r="R156" i="60"/>
  <c r="Z156" i="60"/>
  <c r="R158" i="60"/>
  <c r="Z158" i="60"/>
  <c r="R160" i="60"/>
  <c r="Z160" i="60"/>
  <c r="R162" i="60"/>
  <c r="Z162" i="60"/>
  <c r="R164" i="60"/>
  <c r="Z164" i="60"/>
  <c r="R277" i="60"/>
  <c r="V277" i="60"/>
  <c r="R279" i="60"/>
  <c r="V279" i="60"/>
  <c r="R281" i="60"/>
  <c r="V281" i="60"/>
  <c r="R284" i="60"/>
  <c r="V284" i="60"/>
  <c r="R286" i="60"/>
  <c r="V286" i="60"/>
  <c r="V288" i="60"/>
  <c r="R288" i="60"/>
  <c r="V290" i="60"/>
  <c r="Q123" i="60"/>
  <c r="Y123" i="60"/>
  <c r="Q137" i="60"/>
  <c r="Y137" i="60"/>
  <c r="S127" i="60"/>
  <c r="AA127" i="60"/>
  <c r="S139" i="60"/>
  <c r="AA139" i="60"/>
  <c r="S152" i="60"/>
  <c r="AA152" i="60"/>
  <c r="S164" i="60"/>
  <c r="AA164" i="60"/>
  <c r="W277" i="60"/>
  <c r="S277" i="60"/>
  <c r="W279" i="60"/>
  <c r="S279" i="60"/>
  <c r="W281" i="60"/>
  <c r="S281" i="60"/>
  <c r="W284" i="60"/>
  <c r="S284" i="60"/>
  <c r="S286" i="60"/>
  <c r="W286" i="60"/>
  <c r="W288" i="60"/>
  <c r="S288" i="60"/>
  <c r="W290" i="60"/>
  <c r="Q121" i="60"/>
  <c r="Y121" i="60"/>
  <c r="Q139" i="60"/>
  <c r="Y139" i="60"/>
  <c r="S129" i="60"/>
  <c r="AA129" i="60"/>
  <c r="S141" i="60"/>
  <c r="AA141" i="60"/>
  <c r="P136" i="60"/>
  <c r="X136" i="60"/>
  <c r="P153" i="60"/>
  <c r="X153" i="60"/>
  <c r="P276" i="60"/>
  <c r="T276" i="60"/>
  <c r="P278" i="60"/>
  <c r="T278" i="60"/>
  <c r="P280" i="60"/>
  <c r="T280" i="60"/>
  <c r="T283" i="60"/>
  <c r="P283" i="60"/>
  <c r="T285" i="60"/>
  <c r="P285" i="60"/>
  <c r="T287" i="60"/>
  <c r="P287" i="60"/>
  <c r="P290" i="60"/>
  <c r="Q135" i="60"/>
  <c r="Y135" i="60"/>
  <c r="S121" i="60"/>
  <c r="AA121" i="60"/>
  <c r="S135" i="60"/>
  <c r="AA135" i="60"/>
  <c r="S146" i="60"/>
  <c r="AA146" i="60"/>
  <c r="S158" i="60"/>
  <c r="AA158" i="60"/>
  <c r="P118" i="60"/>
  <c r="X118" i="60"/>
  <c r="P126" i="60"/>
  <c r="X126" i="60"/>
  <c r="P132" i="60"/>
  <c r="X132" i="60"/>
  <c r="P140" i="60"/>
  <c r="X140" i="60"/>
  <c r="P149" i="60"/>
  <c r="X149" i="60"/>
  <c r="P159" i="60"/>
  <c r="X159" i="60"/>
  <c r="P165" i="60"/>
  <c r="X165" i="60"/>
  <c r="Q118" i="60"/>
  <c r="Y118" i="60"/>
  <c r="Q120" i="60"/>
  <c r="Y120" i="60"/>
  <c r="Q122" i="60"/>
  <c r="Y122" i="60"/>
  <c r="Q124" i="60"/>
  <c r="Y124" i="60"/>
  <c r="Q126" i="60"/>
  <c r="Y126" i="60"/>
  <c r="Q128" i="60"/>
  <c r="Y128" i="60"/>
  <c r="Q130" i="60"/>
  <c r="Y130" i="60"/>
  <c r="Q132" i="60"/>
  <c r="Y132" i="60"/>
  <c r="Q134" i="60"/>
  <c r="Y134" i="60"/>
  <c r="Q136" i="60"/>
  <c r="Y136" i="60"/>
  <c r="Q138" i="60"/>
  <c r="Y138" i="60"/>
  <c r="Q140" i="60"/>
  <c r="Y140" i="60"/>
  <c r="Q142" i="60"/>
  <c r="Y142" i="60"/>
  <c r="Q144" i="60"/>
  <c r="Y144" i="60"/>
  <c r="Q147" i="60"/>
  <c r="Y147" i="60"/>
  <c r="Q149" i="60"/>
  <c r="Y149" i="60"/>
  <c r="Q151" i="60"/>
  <c r="Y151" i="60"/>
  <c r="Q153" i="60"/>
  <c r="Y153" i="60"/>
  <c r="Q155" i="60"/>
  <c r="Y155" i="60"/>
  <c r="Q157" i="60"/>
  <c r="Y157" i="60"/>
  <c r="Q159" i="60"/>
  <c r="Y159" i="60"/>
  <c r="Q161" i="60"/>
  <c r="Y161" i="60"/>
  <c r="Q163" i="60"/>
  <c r="Y163" i="60"/>
  <c r="Q165" i="60"/>
  <c r="Y165" i="60"/>
  <c r="Q276" i="60"/>
  <c r="U276" i="60"/>
  <c r="U278" i="60"/>
  <c r="Q278" i="60"/>
  <c r="U280" i="60"/>
  <c r="Q280" i="60"/>
  <c r="U283" i="60"/>
  <c r="Q283" i="60"/>
  <c r="U285" i="60"/>
  <c r="Q285" i="60"/>
  <c r="U287" i="60"/>
  <c r="Q287" i="60"/>
  <c r="Q250" i="60"/>
  <c r="Q272" i="60" s="1"/>
  <c r="Q131" i="60"/>
  <c r="Y131" i="60"/>
  <c r="S125" i="60"/>
  <c r="AA125" i="60"/>
  <c r="S137" i="60"/>
  <c r="AA137" i="60"/>
  <c r="S150" i="60"/>
  <c r="AA150" i="60"/>
  <c r="S162" i="60"/>
  <c r="AA162" i="60"/>
  <c r="P122" i="60"/>
  <c r="X122" i="60"/>
  <c r="P128" i="60"/>
  <c r="X128" i="60"/>
  <c r="P138" i="60"/>
  <c r="X138" i="60"/>
  <c r="P147" i="60"/>
  <c r="X147" i="60"/>
  <c r="P155" i="60"/>
  <c r="X155" i="60"/>
  <c r="P163" i="60"/>
  <c r="X163" i="60"/>
  <c r="R118" i="60"/>
  <c r="Z118" i="60"/>
  <c r="R120" i="60"/>
  <c r="Z120" i="60"/>
  <c r="R122" i="60"/>
  <c r="Z122" i="60"/>
  <c r="R124" i="60"/>
  <c r="Z124" i="60"/>
  <c r="R126" i="60"/>
  <c r="Z126" i="60"/>
  <c r="R128" i="60"/>
  <c r="Z128" i="60"/>
  <c r="R130" i="60"/>
  <c r="Z130" i="60"/>
  <c r="R132" i="60"/>
  <c r="Z132" i="60"/>
  <c r="R134" i="60"/>
  <c r="Z134" i="60"/>
  <c r="R136" i="60"/>
  <c r="Z136" i="60"/>
  <c r="R138" i="60"/>
  <c r="Z138" i="60"/>
  <c r="R140" i="60"/>
  <c r="Z140" i="60"/>
  <c r="R142" i="60"/>
  <c r="Z142" i="60"/>
  <c r="R144" i="60"/>
  <c r="Z144" i="60"/>
  <c r="R147" i="60"/>
  <c r="Z147" i="60"/>
  <c r="R149" i="60"/>
  <c r="Z149" i="60"/>
  <c r="R151" i="60"/>
  <c r="Z151" i="60"/>
  <c r="R153" i="60"/>
  <c r="Z153" i="60"/>
  <c r="R155" i="60"/>
  <c r="Z155" i="60"/>
  <c r="R157" i="60"/>
  <c r="Z157" i="60"/>
  <c r="R159" i="60"/>
  <c r="Z159" i="60"/>
  <c r="R161" i="60"/>
  <c r="Z161" i="60"/>
  <c r="R163" i="60"/>
  <c r="Z163" i="60"/>
  <c r="R165" i="60"/>
  <c r="Z165" i="60"/>
  <c r="V276" i="60"/>
  <c r="R276" i="60"/>
  <c r="V278" i="60"/>
  <c r="R278" i="60"/>
  <c r="V280" i="60"/>
  <c r="R280" i="60"/>
  <c r="V283" i="60"/>
  <c r="R283" i="60"/>
  <c r="V285" i="60"/>
  <c r="R285" i="60"/>
  <c r="R287" i="60"/>
  <c r="V287" i="60"/>
  <c r="R250" i="60"/>
  <c r="R272" i="60" s="1"/>
  <c r="V295" i="60" l="1"/>
  <c r="V317" i="60" s="1"/>
  <c r="R295" i="60"/>
  <c r="R317" i="60" s="1"/>
  <c r="Q295" i="60"/>
  <c r="Q317" i="60" s="1"/>
  <c r="P295" i="60"/>
  <c r="P317" i="60" s="1"/>
  <c r="P250" i="60"/>
  <c r="P272" i="60" s="1"/>
  <c r="U250" i="60"/>
  <c r="U272" i="60" s="1"/>
  <c r="V250" i="60"/>
  <c r="V272" i="60" s="1"/>
  <c r="U290" i="60"/>
  <c r="U295" i="60" s="1"/>
  <c r="U317" i="60" s="1"/>
  <c r="T250" i="60"/>
  <c r="T272" i="60" s="1"/>
  <c r="S250" i="60"/>
  <c r="S272" i="60" s="1"/>
  <c r="W250" i="60"/>
  <c r="W272" i="60" s="1"/>
  <c r="T295" i="60"/>
  <c r="T317" i="60" s="1"/>
  <c r="S295" i="60"/>
  <c r="S317" i="60" s="1"/>
  <c r="W295" i="60"/>
  <c r="W317" i="60" s="1"/>
  <c r="N285" i="60"/>
  <c r="N280" i="60"/>
  <c r="Z198" i="60"/>
  <c r="X198" i="60"/>
  <c r="O288" i="60"/>
  <c r="O284" i="60"/>
  <c r="O277" i="60"/>
  <c r="L286" i="60"/>
  <c r="T275" i="60"/>
  <c r="T294" i="60" s="1"/>
  <c r="T249" i="60"/>
  <c r="O285" i="60"/>
  <c r="O278" i="60"/>
  <c r="R198" i="60"/>
  <c r="Y198" i="60"/>
  <c r="P198" i="60"/>
  <c r="N279" i="60"/>
  <c r="M284" i="60"/>
  <c r="L279" i="60"/>
  <c r="E288" i="60"/>
  <c r="E293" i="60"/>
  <c r="N293" i="60"/>
  <c r="O292" i="60"/>
  <c r="M283" i="60"/>
  <c r="Q198" i="60"/>
  <c r="L285" i="60"/>
  <c r="L278" i="60"/>
  <c r="O281" i="60"/>
  <c r="S275" i="60"/>
  <c r="S294" i="60" s="1"/>
  <c r="S249" i="60"/>
  <c r="N284" i="60"/>
  <c r="Z154" i="60"/>
  <c r="Z89" i="60"/>
  <c r="Z88" i="60" s="1"/>
  <c r="M277" i="60"/>
  <c r="O283" i="60"/>
  <c r="M292" i="60"/>
  <c r="E181" i="60"/>
  <c r="E367" i="60"/>
  <c r="E292" i="60"/>
  <c r="M291" i="60"/>
  <c r="O291" i="60"/>
  <c r="N283" i="60"/>
  <c r="N278" i="60"/>
  <c r="R154" i="60"/>
  <c r="R89" i="60"/>
  <c r="R88" i="60" s="1"/>
  <c r="U275" i="60"/>
  <c r="U294" i="60" s="1"/>
  <c r="U249" i="60"/>
  <c r="M288" i="60"/>
  <c r="L284" i="60"/>
  <c r="X154" i="60"/>
  <c r="X89" i="60"/>
  <c r="X88" i="60" s="1"/>
  <c r="O276" i="60"/>
  <c r="AA198" i="60"/>
  <c r="N276" i="60"/>
  <c r="M287" i="60"/>
  <c r="M276" i="60"/>
  <c r="AA154" i="60"/>
  <c r="AA89" i="60"/>
  <c r="AA88" i="60" s="1"/>
  <c r="W275" i="60"/>
  <c r="W294" i="60" s="1"/>
  <c r="W249" i="60"/>
  <c r="N288" i="60"/>
  <c r="N277" i="60"/>
  <c r="Q275" i="60"/>
  <c r="Q294" i="60" s="1"/>
  <c r="Q249" i="60"/>
  <c r="Q273" i="60" s="1"/>
  <c r="P154" i="60"/>
  <c r="P89" i="60"/>
  <c r="P88" i="60" s="1"/>
  <c r="O287" i="60"/>
  <c r="S198" i="60"/>
  <c r="M293" i="60"/>
  <c r="E349" i="60"/>
  <c r="L292" i="60"/>
  <c r="O293" i="60"/>
  <c r="L293" i="60"/>
  <c r="L291" i="60"/>
  <c r="N292" i="60"/>
  <c r="N287" i="60"/>
  <c r="L283" i="60"/>
  <c r="L276" i="60"/>
  <c r="S154" i="60"/>
  <c r="S89" i="60"/>
  <c r="S88" i="60" s="1"/>
  <c r="O286" i="60"/>
  <c r="O279" i="60"/>
  <c r="V275" i="60"/>
  <c r="V294" i="60" s="1"/>
  <c r="V318" i="60" s="1"/>
  <c r="V249" i="60"/>
  <c r="Y154" i="60"/>
  <c r="Y89" i="60"/>
  <c r="Y88" i="60" s="1"/>
  <c r="M281" i="60"/>
  <c r="L281" i="60"/>
  <c r="L277" i="60"/>
  <c r="O280" i="60"/>
  <c r="M280" i="60"/>
  <c r="N286" i="60"/>
  <c r="N281" i="60"/>
  <c r="Q154" i="60"/>
  <c r="Q89" i="60"/>
  <c r="Q88" i="60" s="1"/>
  <c r="M286" i="60"/>
  <c r="M279" i="60"/>
  <c r="L288" i="60"/>
  <c r="P275" i="60"/>
  <c r="P294" i="60" s="1"/>
  <c r="P318" i="60" s="1"/>
  <c r="P249" i="60"/>
  <c r="N291" i="60"/>
  <c r="E283" i="60"/>
  <c r="M285" i="60"/>
  <c r="M278" i="60"/>
  <c r="L287" i="60"/>
  <c r="L280" i="60"/>
  <c r="R275" i="60"/>
  <c r="R294" i="60" s="1"/>
  <c r="R318" i="60" s="1"/>
  <c r="R249" i="60"/>
  <c r="R273" i="60" s="1"/>
  <c r="Q318" i="60" l="1"/>
  <c r="S273" i="60"/>
  <c r="W318" i="60"/>
  <c r="U273" i="60"/>
  <c r="T273" i="60"/>
  <c r="P273" i="60"/>
  <c r="V273" i="60"/>
  <c r="U318" i="60"/>
  <c r="W273" i="60"/>
  <c r="T318" i="60"/>
  <c r="S318" i="60"/>
  <c r="Z406" i="60"/>
  <c r="Z202" i="60" s="1"/>
  <c r="Z227" i="60" s="1"/>
  <c r="Z401" i="60"/>
  <c r="Z92" i="60" s="1"/>
  <c r="Z116" i="60" s="1"/>
  <c r="N290" i="60"/>
  <c r="N295" i="60" s="1"/>
  <c r="N317" i="60" s="1"/>
  <c r="N250" i="60"/>
  <c r="N272" i="60" s="1"/>
  <c r="R406" i="60"/>
  <c r="R202" i="60" s="1"/>
  <c r="R227" i="60" s="1"/>
  <c r="R401" i="60"/>
  <c r="R92" i="60" s="1"/>
  <c r="R116" i="60" s="1"/>
  <c r="L290" i="60"/>
  <c r="L295" i="60" s="1"/>
  <c r="L317" i="60" s="1"/>
  <c r="L250" i="60"/>
  <c r="L272" i="60" s="1"/>
  <c r="AA406" i="60"/>
  <c r="AA202" i="60" s="1"/>
  <c r="AA227" i="60" s="1"/>
  <c r="AA401" i="60"/>
  <c r="AA92" i="60" s="1"/>
  <c r="AA116" i="60" s="1"/>
  <c r="O290" i="60"/>
  <c r="O295" i="60" s="1"/>
  <c r="O317" i="60" s="1"/>
  <c r="O250" i="60"/>
  <c r="O272" i="60" s="1"/>
  <c r="P406" i="60"/>
  <c r="P202" i="60" s="1"/>
  <c r="P227" i="60" s="1"/>
  <c r="P401" i="60"/>
  <c r="P92" i="60" s="1"/>
  <c r="P116" i="60" s="1"/>
  <c r="O275" i="60"/>
  <c r="O294" i="60" s="1"/>
  <c r="O249" i="60"/>
  <c r="M275" i="60"/>
  <c r="M294" i="60" s="1"/>
  <c r="M249" i="60"/>
  <c r="L275" i="60"/>
  <c r="L294" i="60" s="1"/>
  <c r="L249" i="60"/>
  <c r="Q406" i="60"/>
  <c r="Q202" i="60" s="1"/>
  <c r="Q227" i="60" s="1"/>
  <c r="Q401" i="60"/>
  <c r="Q92" i="60" s="1"/>
  <c r="Q116" i="60" s="1"/>
  <c r="S406" i="60"/>
  <c r="S202" i="60" s="1"/>
  <c r="S227" i="60" s="1"/>
  <c r="S401" i="60"/>
  <c r="S92" i="60" s="1"/>
  <c r="S116" i="60" s="1"/>
  <c r="X406" i="60"/>
  <c r="X202" i="60" s="1"/>
  <c r="X227" i="60" s="1"/>
  <c r="X401" i="60"/>
  <c r="X92" i="60" s="1"/>
  <c r="X116" i="60" s="1"/>
  <c r="Y406" i="60"/>
  <c r="Y202" i="60" s="1"/>
  <c r="Y227" i="60" s="1"/>
  <c r="Y401" i="60"/>
  <c r="Y92" i="60" s="1"/>
  <c r="Y116" i="60" s="1"/>
  <c r="E368" i="60"/>
  <c r="E356" i="60"/>
  <c r="E180" i="60"/>
  <c r="N275" i="60"/>
  <c r="N294" i="60" s="1"/>
  <c r="N249" i="60"/>
  <c r="M290" i="60"/>
  <c r="M295" i="60" s="1"/>
  <c r="M317" i="60" s="1"/>
  <c r="M250" i="60"/>
  <c r="M272" i="60" s="1"/>
  <c r="L273" i="60" l="1"/>
  <c r="N318" i="60"/>
  <c r="L318" i="60"/>
  <c r="O318" i="60"/>
  <c r="N273" i="60"/>
  <c r="E373" i="60"/>
  <c r="E170" i="60"/>
  <c r="E378" i="60"/>
  <c r="E175" i="60"/>
  <c r="M273" i="60"/>
  <c r="M318" i="60"/>
  <c r="E379" i="60"/>
  <c r="E176" i="60"/>
  <c r="O273" i="60"/>
  <c r="AN404" i="60" l="1"/>
  <c r="AF372" i="60"/>
  <c r="BH405" i="60"/>
  <c r="BH404" i="60"/>
  <c r="BH403" i="60"/>
  <c r="BH402" i="60"/>
  <c r="BH372" i="60"/>
  <c r="BH371" i="60"/>
  <c r="BH370" i="60"/>
  <c r="BH348" i="60"/>
  <c r="BH169" i="60"/>
  <c r="BH177" i="60"/>
  <c r="BH167" i="60"/>
  <c r="BH168" i="60"/>
  <c r="BH145" i="60"/>
  <c r="BH59" i="60"/>
  <c r="BH58" i="60"/>
  <c r="BH67" i="60"/>
  <c r="BH57" i="60"/>
  <c r="BH35" i="60"/>
  <c r="AB140" i="60"/>
  <c r="AB162" i="60"/>
  <c r="AB137" i="60"/>
  <c r="AB134" i="60"/>
  <c r="AB123" i="60"/>
  <c r="AB142" i="60"/>
  <c r="AB163" i="60"/>
  <c r="AB133" i="60"/>
  <c r="AB122" i="60"/>
  <c r="AB165" i="60"/>
  <c r="AB159" i="60"/>
  <c r="AB148" i="60"/>
  <c r="AB139" i="60"/>
  <c r="AB127" i="60"/>
  <c r="AB129" i="60"/>
  <c r="AN348" i="60"/>
  <c r="AN57" i="60"/>
  <c r="AB153" i="60"/>
  <c r="AB143" i="60"/>
  <c r="AB147" i="60"/>
  <c r="AB136" i="60"/>
  <c r="AB150" i="60"/>
  <c r="AB126" i="60"/>
  <c r="AB120" i="60"/>
  <c r="AB156" i="60"/>
  <c r="AB141" i="60"/>
  <c r="AB138" i="60"/>
  <c r="AB135" i="60"/>
  <c r="AB149" i="60"/>
  <c r="AB125" i="60"/>
  <c r="AB119" i="60"/>
  <c r="AB144" i="60"/>
  <c r="AB132" i="60"/>
  <c r="AB151" i="60"/>
  <c r="AB160" i="60"/>
  <c r="AB128" i="60"/>
  <c r="AB121" i="60"/>
  <c r="AB164" i="60"/>
  <c r="AB155" i="60"/>
  <c r="AB158" i="60"/>
  <c r="AB124" i="60"/>
  <c r="AB405" i="60"/>
  <c r="AB404" i="60"/>
  <c r="AB403" i="60"/>
  <c r="AB402" i="60"/>
  <c r="AB372" i="60"/>
  <c r="AB371" i="60"/>
  <c r="AB370" i="60"/>
  <c r="AB348" i="60"/>
  <c r="AB169" i="60"/>
  <c r="AB177" i="60"/>
  <c r="AB167" i="60"/>
  <c r="AB168" i="60"/>
  <c r="AB145" i="60"/>
  <c r="AB59" i="60"/>
  <c r="AB58" i="60"/>
  <c r="AB67" i="60"/>
  <c r="AB57" i="60"/>
  <c r="AB35" i="60"/>
  <c r="AB131" i="60"/>
  <c r="AB152" i="60"/>
  <c r="AB161" i="60"/>
  <c r="AB146" i="60"/>
  <c r="AB157" i="60"/>
  <c r="AB130" i="60"/>
  <c r="AB118" i="60"/>
  <c r="AF177" i="60" l="1"/>
  <c r="AF402" i="60"/>
  <c r="AF167" i="60"/>
  <c r="AF403" i="60"/>
  <c r="AF35" i="60"/>
  <c r="AF168" i="60"/>
  <c r="AF404" i="60"/>
  <c r="AF67" i="60"/>
  <c r="AF169" i="60"/>
  <c r="AF405" i="60"/>
  <c r="AF57" i="60"/>
  <c r="AF348" i="60"/>
  <c r="AF58" i="60"/>
  <c r="AF370" i="60"/>
  <c r="AF59" i="60"/>
  <c r="AF371" i="60"/>
  <c r="AF145" i="60"/>
  <c r="AN35" i="60"/>
  <c r="AN169" i="60"/>
  <c r="AN405" i="60"/>
  <c r="AN58" i="60"/>
  <c r="AN371" i="60"/>
  <c r="AN59" i="60"/>
  <c r="AN370" i="60"/>
  <c r="AN145" i="60"/>
  <c r="AN372" i="60"/>
  <c r="AN177" i="60"/>
  <c r="AN402" i="60"/>
  <c r="AN167" i="60"/>
  <c r="AN403" i="60"/>
  <c r="AN67" i="60"/>
  <c r="AN168" i="60"/>
  <c r="AB198" i="60"/>
  <c r="BH152" i="60"/>
  <c r="AN127" i="60"/>
  <c r="AN133" i="60"/>
  <c r="AN119" i="60"/>
  <c r="AN155" i="60"/>
  <c r="AN124" i="60"/>
  <c r="AN143" i="60"/>
  <c r="BH124" i="60"/>
  <c r="BH133" i="60"/>
  <c r="BH150" i="60"/>
  <c r="BH148" i="60"/>
  <c r="BH153" i="60"/>
  <c r="BH135" i="60"/>
  <c r="AF133" i="60"/>
  <c r="AF134" i="60"/>
  <c r="AF131" i="60"/>
  <c r="AF123" i="60"/>
  <c r="AF138" i="60"/>
  <c r="AF153" i="60"/>
  <c r="AF157" i="60"/>
  <c r="AV141" i="60"/>
  <c r="AV149" i="60"/>
  <c r="AV152" i="60"/>
  <c r="AV123" i="60"/>
  <c r="AV144" i="60"/>
  <c r="AV155" i="60"/>
  <c r="AV156" i="60"/>
  <c r="BD162" i="60"/>
  <c r="BD130" i="60"/>
  <c r="BD141" i="60"/>
  <c r="AR149" i="60"/>
  <c r="AR133" i="60"/>
  <c r="AR122" i="60"/>
  <c r="AJ141" i="60"/>
  <c r="AJ159" i="60"/>
  <c r="BL139" i="60"/>
  <c r="BL133" i="60"/>
  <c r="BL146" i="60"/>
  <c r="BL132" i="60"/>
  <c r="BL163" i="60"/>
  <c r="AJ140" i="60"/>
  <c r="BL118" i="60"/>
  <c r="BL129" i="60"/>
  <c r="BL162" i="60"/>
  <c r="AJ139" i="60"/>
  <c r="AZ150" i="60"/>
  <c r="AZ164" i="60"/>
  <c r="AZ118" i="60"/>
  <c r="AZ156" i="60"/>
  <c r="BD405" i="60"/>
  <c r="BD404" i="60"/>
  <c r="BD403" i="60"/>
  <c r="BD402" i="60"/>
  <c r="BD372" i="60"/>
  <c r="BD370" i="60"/>
  <c r="BD371" i="60"/>
  <c r="BD348" i="60"/>
  <c r="BD169" i="60"/>
  <c r="BD168" i="60"/>
  <c r="BD167" i="60"/>
  <c r="BD177" i="60"/>
  <c r="BD145" i="60"/>
  <c r="BD59" i="60"/>
  <c r="BD58" i="60"/>
  <c r="BD57" i="60"/>
  <c r="BD67" i="60"/>
  <c r="BD35" i="60"/>
  <c r="BL405" i="60"/>
  <c r="BL404" i="60"/>
  <c r="BL403" i="60"/>
  <c r="BL402" i="60"/>
  <c r="BL372" i="60"/>
  <c r="BL370" i="60"/>
  <c r="BL371" i="60"/>
  <c r="BL348" i="60"/>
  <c r="BL169" i="60"/>
  <c r="BL168" i="60"/>
  <c r="BL167" i="60"/>
  <c r="BL177" i="60"/>
  <c r="BL145" i="60"/>
  <c r="BL59" i="60"/>
  <c r="BL58" i="60"/>
  <c r="BL57" i="60"/>
  <c r="BL67" i="60"/>
  <c r="BL35" i="60"/>
  <c r="AB90" i="60"/>
  <c r="AN161" i="60"/>
  <c r="AN142" i="60"/>
  <c r="AN159" i="60"/>
  <c r="AN149" i="60"/>
  <c r="AN141" i="60"/>
  <c r="AN153" i="60"/>
  <c r="AN132" i="60"/>
  <c r="AN157" i="60"/>
  <c r="BH136" i="60"/>
  <c r="BH140" i="60"/>
  <c r="BH128" i="60"/>
  <c r="BH120" i="60"/>
  <c r="AF148" i="60"/>
  <c r="AF151" i="60"/>
  <c r="AF156" i="60"/>
  <c r="AF135" i="60"/>
  <c r="AV160" i="60"/>
  <c r="AV132" i="60"/>
  <c r="AV140" i="60"/>
  <c r="AV128" i="60"/>
  <c r="AV138" i="60"/>
  <c r="AV161" i="60"/>
  <c r="BD149" i="60"/>
  <c r="BD165" i="60"/>
  <c r="BD163" i="60"/>
  <c r="AR135" i="60"/>
  <c r="AR158" i="60"/>
  <c r="AJ122" i="60"/>
  <c r="AJ142" i="60"/>
  <c r="AJ147" i="60"/>
  <c r="BL148" i="60"/>
  <c r="BL128" i="60"/>
  <c r="BL155" i="60"/>
  <c r="BL158" i="60"/>
  <c r="BL127" i="60"/>
  <c r="AJ130" i="60"/>
  <c r="AJ158" i="60"/>
  <c r="AJ162" i="60"/>
  <c r="AZ135" i="60"/>
  <c r="AZ162" i="60"/>
  <c r="AZ143" i="60"/>
  <c r="AZ130" i="60"/>
  <c r="AZ153" i="60"/>
  <c r="AB200" i="60"/>
  <c r="AN137" i="60"/>
  <c r="AN121" i="60"/>
  <c r="AN123" i="60"/>
  <c r="AN148" i="60"/>
  <c r="AN129" i="60"/>
  <c r="AN150" i="60"/>
  <c r="AN130" i="60"/>
  <c r="AN131" i="60"/>
  <c r="BH158" i="60"/>
  <c r="BH127" i="60"/>
  <c r="BH141" i="60"/>
  <c r="BH146" i="60"/>
  <c r="BH131" i="60"/>
  <c r="BH125" i="60"/>
  <c r="BH163" i="60"/>
  <c r="AF128" i="60"/>
  <c r="AF144" i="60"/>
  <c r="AF132" i="60"/>
  <c r="AF158" i="60"/>
  <c r="AF119" i="60"/>
  <c r="AF124" i="60"/>
  <c r="AF129" i="60"/>
  <c r="AV125" i="60"/>
  <c r="AV139" i="60"/>
  <c r="AV127" i="60"/>
  <c r="AV147" i="60"/>
  <c r="BD136" i="60"/>
  <c r="BD134" i="60"/>
  <c r="BD152" i="60"/>
  <c r="BD140" i="60"/>
  <c r="BD128" i="60"/>
  <c r="BD160" i="60"/>
  <c r="AR119" i="60"/>
  <c r="AR159" i="60"/>
  <c r="AR148" i="60"/>
  <c r="AR146" i="60"/>
  <c r="AR142" i="60"/>
  <c r="AR128" i="60"/>
  <c r="AR124" i="60"/>
  <c r="AR139" i="60"/>
  <c r="AR155" i="60"/>
  <c r="AR144" i="60"/>
  <c r="AR134" i="60"/>
  <c r="AJ138" i="60"/>
  <c r="BL160" i="60"/>
  <c r="BL147" i="60"/>
  <c r="BL161" i="60"/>
  <c r="BL150" i="60"/>
  <c r="BL138" i="60"/>
  <c r="BL119" i="60"/>
  <c r="AJ157" i="60"/>
  <c r="BL137" i="60"/>
  <c r="AJ161" i="60"/>
  <c r="AJ136" i="60"/>
  <c r="AZ125" i="60"/>
  <c r="AZ132" i="60"/>
  <c r="AZ127" i="60"/>
  <c r="AZ131" i="60"/>
  <c r="AZ151" i="60"/>
  <c r="AB201" i="60"/>
  <c r="AV405" i="60"/>
  <c r="AV404" i="60"/>
  <c r="AV403" i="60"/>
  <c r="AV402" i="60"/>
  <c r="AV372" i="60"/>
  <c r="AV370" i="60"/>
  <c r="AV371" i="60"/>
  <c r="AV348" i="60"/>
  <c r="AV169" i="60"/>
  <c r="AV168" i="60"/>
  <c r="AV167" i="60"/>
  <c r="AV177" i="60"/>
  <c r="AV145" i="60"/>
  <c r="AV59" i="60"/>
  <c r="AV58" i="60"/>
  <c r="AV57" i="60"/>
  <c r="AV35" i="60"/>
  <c r="AV67" i="60"/>
  <c r="AJ405" i="60"/>
  <c r="AJ404" i="60"/>
  <c r="AJ403" i="60"/>
  <c r="AJ402" i="60"/>
  <c r="AJ372" i="60"/>
  <c r="AJ371" i="60"/>
  <c r="AJ370" i="60"/>
  <c r="AJ348" i="60"/>
  <c r="AJ169" i="60"/>
  <c r="AJ177" i="60"/>
  <c r="AJ168" i="60"/>
  <c r="AJ167" i="60"/>
  <c r="AJ145" i="60"/>
  <c r="AJ59" i="60"/>
  <c r="AJ58" i="60"/>
  <c r="AJ67" i="60"/>
  <c r="AJ57" i="60"/>
  <c r="AJ35" i="60"/>
  <c r="AN138" i="60"/>
  <c r="BH132" i="60"/>
  <c r="AN128" i="60"/>
  <c r="AN146" i="60"/>
  <c r="AN151" i="60"/>
  <c r="AN165" i="60"/>
  <c r="BH160" i="60"/>
  <c r="BH139" i="60"/>
  <c r="BH126" i="60"/>
  <c r="BH144" i="60"/>
  <c r="AF139" i="60"/>
  <c r="AF141" i="60"/>
  <c r="AF121" i="60"/>
  <c r="AF164" i="60"/>
  <c r="AF130" i="60"/>
  <c r="AF136" i="60"/>
  <c r="AF118" i="60"/>
  <c r="AV126" i="60"/>
  <c r="AV119" i="60"/>
  <c r="AV143" i="60"/>
  <c r="AV124" i="60"/>
  <c r="AV164" i="60"/>
  <c r="AV129" i="60"/>
  <c r="AV165" i="60"/>
  <c r="BD161" i="60"/>
  <c r="BD139" i="60"/>
  <c r="BD126" i="60"/>
  <c r="BD142" i="60"/>
  <c r="BD159" i="60"/>
  <c r="BD138" i="60"/>
  <c r="BD158" i="60"/>
  <c r="BD147" i="60"/>
  <c r="AR152" i="60"/>
  <c r="AR129" i="60"/>
  <c r="AR131" i="60"/>
  <c r="AJ126" i="60"/>
  <c r="AJ125" i="60"/>
  <c r="AR157" i="60"/>
  <c r="BL126" i="60"/>
  <c r="BL141" i="60"/>
  <c r="BL136" i="60"/>
  <c r="BL151" i="60"/>
  <c r="AJ119" i="60"/>
  <c r="BL157" i="60"/>
  <c r="BL134" i="60"/>
  <c r="AJ148" i="60"/>
  <c r="AJ127" i="60"/>
  <c r="AJ121" i="60"/>
  <c r="AJ134" i="60"/>
  <c r="AJ163" i="60"/>
  <c r="AZ148" i="60"/>
  <c r="AZ119" i="60"/>
  <c r="AZ138" i="60"/>
  <c r="AZ160" i="60"/>
  <c r="AZ120" i="60"/>
  <c r="AZ161" i="60"/>
  <c r="AZ157" i="60"/>
  <c r="AB406" i="60"/>
  <c r="AB202" i="60" s="1"/>
  <c r="AB401" i="60"/>
  <c r="AB92" i="60" s="1"/>
  <c r="AF160" i="60"/>
  <c r="AF126" i="60"/>
  <c r="AF162" i="60"/>
  <c r="AV158" i="60"/>
  <c r="AV151" i="60"/>
  <c r="AV121" i="60"/>
  <c r="AV150" i="60"/>
  <c r="BD150" i="60"/>
  <c r="BD124" i="60"/>
  <c r="BD132" i="60"/>
  <c r="BD156" i="60"/>
  <c r="BD122" i="60"/>
  <c r="BD143" i="60"/>
  <c r="BD118" i="60"/>
  <c r="BD137" i="60"/>
  <c r="AR165" i="60"/>
  <c r="AR138" i="60"/>
  <c r="AR126" i="60"/>
  <c r="AR125" i="60"/>
  <c r="AR143" i="60"/>
  <c r="AR127" i="60"/>
  <c r="AR147" i="60"/>
  <c r="AR121" i="60"/>
  <c r="AR156" i="60"/>
  <c r="AJ129" i="60"/>
  <c r="AJ151" i="60"/>
  <c r="AJ124" i="60"/>
  <c r="AJ156" i="60"/>
  <c r="BL152" i="60"/>
  <c r="BL131" i="60"/>
  <c r="AJ165" i="60"/>
  <c r="BL140" i="60"/>
  <c r="BL130" i="60"/>
  <c r="AJ131" i="60"/>
  <c r="AZ124" i="60"/>
  <c r="AZ121" i="60"/>
  <c r="AZ129" i="60"/>
  <c r="AZ146" i="60"/>
  <c r="AZ128" i="60"/>
  <c r="AZ141" i="60"/>
  <c r="AZ142" i="60"/>
  <c r="AZ152" i="60"/>
  <c r="AB91" i="60"/>
  <c r="AZ405" i="60"/>
  <c r="AZ404" i="60"/>
  <c r="AZ402" i="60"/>
  <c r="AZ403" i="60"/>
  <c r="AZ372" i="60"/>
  <c r="AZ371" i="60"/>
  <c r="AZ370" i="60"/>
  <c r="AZ348" i="60"/>
  <c r="AZ169" i="60"/>
  <c r="AZ177" i="60"/>
  <c r="AZ167" i="60"/>
  <c r="AZ168" i="60"/>
  <c r="AZ145" i="60"/>
  <c r="AZ59" i="60"/>
  <c r="AZ58" i="60"/>
  <c r="AZ67" i="60"/>
  <c r="AZ57" i="60"/>
  <c r="AZ35" i="60"/>
  <c r="AB154" i="60"/>
  <c r="AB89" i="60"/>
  <c r="AB88" i="60" s="1"/>
  <c r="BH122" i="60"/>
  <c r="AN126" i="60"/>
  <c r="AN135" i="60"/>
  <c r="AN139" i="60"/>
  <c r="AN158" i="60"/>
  <c r="AN147" i="60"/>
  <c r="AN140" i="60"/>
  <c r="AN164" i="60"/>
  <c r="AN134" i="60"/>
  <c r="AN122" i="60"/>
  <c r="AN162" i="60"/>
  <c r="BH119" i="60"/>
  <c r="BH155" i="60"/>
  <c r="BH142" i="60"/>
  <c r="BH151" i="60"/>
  <c r="BH164" i="60"/>
  <c r="BH123" i="60"/>
  <c r="AF140" i="60"/>
  <c r="AF155" i="60"/>
  <c r="AF163" i="60"/>
  <c r="AF165" i="60"/>
  <c r="AF137" i="60"/>
  <c r="AF152" i="60"/>
  <c r="AF150" i="60"/>
  <c r="AV153" i="60"/>
  <c r="AV148" i="60"/>
  <c r="AV157" i="60"/>
  <c r="BD164" i="60"/>
  <c r="BD153" i="60"/>
  <c r="BD135" i="60"/>
  <c r="BD121" i="60"/>
  <c r="BD157" i="60"/>
  <c r="BD123" i="60"/>
  <c r="BD133" i="60"/>
  <c r="BD125" i="60"/>
  <c r="AR161" i="60"/>
  <c r="AR153" i="60"/>
  <c r="AR140" i="60"/>
  <c r="AR120" i="60"/>
  <c r="AR118" i="60"/>
  <c r="AR160" i="60"/>
  <c r="AR137" i="60"/>
  <c r="AR141" i="60"/>
  <c r="AJ150" i="60"/>
  <c r="AJ164" i="60"/>
  <c r="AJ123" i="60"/>
  <c r="BL143" i="60"/>
  <c r="AJ160" i="60"/>
  <c r="AJ118" i="60"/>
  <c r="BL122" i="60"/>
  <c r="BL159" i="60"/>
  <c r="BL121" i="60"/>
  <c r="AJ135" i="60"/>
  <c r="AZ126" i="60"/>
  <c r="AZ133" i="60"/>
  <c r="AZ149" i="60"/>
  <c r="AZ140" i="60"/>
  <c r="AZ155" i="60"/>
  <c r="AZ158" i="60"/>
  <c r="AN160" i="60"/>
  <c r="BH156" i="60"/>
  <c r="BH130" i="60"/>
  <c r="AN156" i="60"/>
  <c r="AN163" i="60"/>
  <c r="AN118" i="60"/>
  <c r="BH138" i="60"/>
  <c r="BH161" i="60"/>
  <c r="BH134" i="60"/>
  <c r="BH137" i="60"/>
  <c r="BH157" i="60"/>
  <c r="BH143" i="60"/>
  <c r="AF127" i="60"/>
  <c r="AF125" i="60"/>
  <c r="AF142" i="60"/>
  <c r="AF120" i="60"/>
  <c r="AF159" i="60"/>
  <c r="AF147" i="60"/>
  <c r="AV118" i="60"/>
  <c r="AV134" i="60"/>
  <c r="AV133" i="60"/>
  <c r="AV131" i="60"/>
  <c r="AV146" i="60"/>
  <c r="AV142" i="60"/>
  <c r="AV136" i="60"/>
  <c r="AV122" i="60"/>
  <c r="AV163" i="60"/>
  <c r="BD146" i="60"/>
  <c r="BD148" i="60"/>
  <c r="BD127" i="60"/>
  <c r="BD131" i="60"/>
  <c r="AR130" i="60"/>
  <c r="AR151" i="60"/>
  <c r="AR162" i="60"/>
  <c r="AR132" i="60"/>
  <c r="AR150" i="60"/>
  <c r="AJ143" i="60"/>
  <c r="BL153" i="60"/>
  <c r="BL156" i="60"/>
  <c r="AJ146" i="60"/>
  <c r="AJ128" i="60"/>
  <c r="BL124" i="60"/>
  <c r="BL164" i="60"/>
  <c r="BL125" i="60"/>
  <c r="AJ152" i="60"/>
  <c r="AJ149" i="60"/>
  <c r="AZ139" i="60"/>
  <c r="AZ165" i="60"/>
  <c r="AZ134" i="60"/>
  <c r="AZ159" i="60"/>
  <c r="AZ136" i="60"/>
  <c r="AR405" i="60"/>
  <c r="AR404" i="60"/>
  <c r="AR403" i="60"/>
  <c r="AR402" i="60"/>
  <c r="AR372" i="60"/>
  <c r="AR371" i="60"/>
  <c r="AR370" i="60"/>
  <c r="AR348" i="60"/>
  <c r="AR169" i="60"/>
  <c r="AR177" i="60"/>
  <c r="AR167" i="60"/>
  <c r="AR168" i="60"/>
  <c r="AR145" i="60"/>
  <c r="AR59" i="60"/>
  <c r="AR58" i="60"/>
  <c r="AR67" i="60"/>
  <c r="AR57" i="60"/>
  <c r="AR35" i="60"/>
  <c r="AN125" i="60"/>
  <c r="BH147" i="60"/>
  <c r="AN136" i="60"/>
  <c r="AN144" i="60"/>
  <c r="AN152" i="60"/>
  <c r="AN120" i="60"/>
  <c r="BH129" i="60"/>
  <c r="BH159" i="60"/>
  <c r="BH121" i="60"/>
  <c r="BH149" i="60"/>
  <c r="BH165" i="60"/>
  <c r="BH162" i="60"/>
  <c r="BH118" i="60"/>
  <c r="AF146" i="60"/>
  <c r="AF161" i="60"/>
  <c r="AF149" i="60"/>
  <c r="AF143" i="60"/>
  <c r="AF122" i="60"/>
  <c r="AV120" i="60"/>
  <c r="AV159" i="60"/>
  <c r="AV137" i="60"/>
  <c r="AV162" i="60"/>
  <c r="AV130" i="60"/>
  <c r="AV135" i="60"/>
  <c r="BD119" i="60"/>
  <c r="BD155" i="60"/>
  <c r="BD129" i="60"/>
  <c r="BD120" i="60"/>
  <c r="BD151" i="60"/>
  <c r="BD144" i="60"/>
  <c r="AR164" i="60"/>
  <c r="AR136" i="60"/>
  <c r="AR123" i="60"/>
  <c r="AJ137" i="60"/>
  <c r="AJ144" i="60"/>
  <c r="AR163" i="60"/>
  <c r="AJ133" i="60"/>
  <c r="BL149" i="60"/>
  <c r="BL165" i="60"/>
  <c r="BL135" i="60"/>
  <c r="AJ155" i="60"/>
  <c r="AJ132" i="60"/>
  <c r="BL120" i="60"/>
  <c r="BL144" i="60"/>
  <c r="BL123" i="60"/>
  <c r="BL142" i="60"/>
  <c r="AJ153" i="60"/>
  <c r="AJ120" i="60"/>
  <c r="AZ122" i="60"/>
  <c r="AZ123" i="60"/>
  <c r="AZ147" i="60"/>
  <c r="AZ144" i="60"/>
  <c r="AZ137" i="60"/>
  <c r="AZ163" i="60"/>
  <c r="AB227" i="60" l="1"/>
  <c r="AF91" i="60"/>
  <c r="AV90" i="60"/>
  <c r="AZ200" i="60"/>
  <c r="BH201" i="60"/>
  <c r="AJ90" i="60"/>
  <c r="AF201" i="60"/>
  <c r="BD406" i="60"/>
  <c r="BD202" i="60" s="1"/>
  <c r="BH91" i="60"/>
  <c r="AJ200" i="60"/>
  <c r="AJ406" i="60"/>
  <c r="AJ202" i="60" s="1"/>
  <c r="T118" i="60"/>
  <c r="AV200" i="60"/>
  <c r="AF406" i="60"/>
  <c r="AF202" i="60" s="1"/>
  <c r="AN406" i="60"/>
  <c r="AN202" i="60" s="1"/>
  <c r="AR91" i="60"/>
  <c r="AZ406" i="60"/>
  <c r="AZ202" i="60" s="1"/>
  <c r="AN201" i="60"/>
  <c r="BL90" i="60"/>
  <c r="AN91" i="60"/>
  <c r="BH401" i="60"/>
  <c r="BH92" i="60" s="1"/>
  <c r="AV406" i="60"/>
  <c r="AV202" i="60" s="1"/>
  <c r="T161" i="60"/>
  <c r="T144" i="60"/>
  <c r="T139" i="60"/>
  <c r="T125" i="60"/>
  <c r="BD401" i="60"/>
  <c r="BD92" i="60" s="1"/>
  <c r="AF401" i="60"/>
  <c r="AF92" i="60" s="1"/>
  <c r="AZ91" i="60"/>
  <c r="AF154" i="60"/>
  <c r="AF89" i="60"/>
  <c r="AF88" i="60" s="1"/>
  <c r="BH406" i="60"/>
  <c r="BH202" i="60" s="1"/>
  <c r="BD201" i="60"/>
  <c r="AZ198" i="60"/>
  <c r="T141" i="60"/>
  <c r="T132" i="60"/>
  <c r="T142" i="60"/>
  <c r="T155" i="60"/>
  <c r="T159" i="60"/>
  <c r="T163" i="60"/>
  <c r="AR154" i="60"/>
  <c r="AR89" i="60"/>
  <c r="AR88" i="60" s="1"/>
  <c r="BD198" i="60"/>
  <c r="AR200" i="60"/>
  <c r="BL91" i="60"/>
  <c r="AN90" i="60"/>
  <c r="T131" i="60"/>
  <c r="T140" i="60"/>
  <c r="T129" i="60"/>
  <c r="T148" i="60"/>
  <c r="T136" i="60"/>
  <c r="AR406" i="60"/>
  <c r="AR202" i="60" s="1"/>
  <c r="AR401" i="60"/>
  <c r="AR92" i="60" s="1"/>
  <c r="BD154" i="60"/>
  <c r="BD89" i="60"/>
  <c r="BD88" i="60" s="1"/>
  <c r="AV198" i="60"/>
  <c r="AZ401" i="60"/>
  <c r="AZ92" i="60" s="1"/>
  <c r="BD200" i="60"/>
  <c r="AR90" i="60"/>
  <c r="BL198" i="60"/>
  <c r="AN200" i="60"/>
  <c r="T151" i="60"/>
  <c r="T124" i="60"/>
  <c r="T157" i="60"/>
  <c r="T164" i="60"/>
  <c r="T149" i="60"/>
  <c r="T123" i="60"/>
  <c r="T134" i="60"/>
  <c r="T133" i="60"/>
  <c r="AJ401" i="60"/>
  <c r="AJ92" i="60" s="1"/>
  <c r="AN401" i="60"/>
  <c r="AN92" i="60" s="1"/>
  <c r="AN198" i="60"/>
  <c r="BD90" i="60"/>
  <c r="AB116" i="60"/>
  <c r="AV401" i="60"/>
  <c r="AV92" i="60" s="1"/>
  <c r="BD91" i="60"/>
  <c r="T160" i="60"/>
  <c r="T147" i="60"/>
  <c r="T153" i="60"/>
  <c r="T128" i="60"/>
  <c r="T120" i="60"/>
  <c r="T146" i="60"/>
  <c r="T150" i="60"/>
  <c r="AJ198" i="60"/>
  <c r="AF198" i="60"/>
  <c r="AJ201" i="60"/>
  <c r="BL154" i="60"/>
  <c r="BL89" i="60"/>
  <c r="BL88" i="60" s="1"/>
  <c r="AF90" i="60"/>
  <c r="T126" i="60"/>
  <c r="BH198" i="60"/>
  <c r="AR201" i="60"/>
  <c r="AZ90" i="60"/>
  <c r="BL406" i="60"/>
  <c r="BL202" i="60" s="1"/>
  <c r="BL401" i="60"/>
  <c r="BL92" i="60" s="1"/>
  <c r="AV201" i="60"/>
  <c r="AF200" i="60"/>
  <c r="BH154" i="60"/>
  <c r="BH89" i="60"/>
  <c r="BH88" i="60" s="1"/>
  <c r="AN154" i="60"/>
  <c r="AN89" i="60"/>
  <c r="AN88" i="60" s="1"/>
  <c r="T127" i="60"/>
  <c r="T143" i="60"/>
  <c r="T162" i="60"/>
  <c r="T130" i="60"/>
  <c r="T152" i="60"/>
  <c r="T165" i="60"/>
  <c r="T119" i="60"/>
  <c r="T156" i="60"/>
  <c r="T138" i="60"/>
  <c r="T135" i="60"/>
  <c r="T137" i="60"/>
  <c r="T122" i="60"/>
  <c r="BL200" i="60"/>
  <c r="AZ154" i="60"/>
  <c r="AZ89" i="60"/>
  <c r="AZ88" i="60" s="1"/>
  <c r="AZ201" i="60"/>
  <c r="BH90" i="60"/>
  <c r="AJ91" i="60"/>
  <c r="BL201" i="60"/>
  <c r="AV154" i="60"/>
  <c r="AV89" i="60"/>
  <c r="AV88" i="60" s="1"/>
  <c r="T158" i="60"/>
  <c r="T121" i="60"/>
  <c r="AJ154" i="60"/>
  <c r="AJ89" i="60"/>
  <c r="AJ88" i="60" s="1"/>
  <c r="AR198" i="60"/>
  <c r="BH200" i="60"/>
  <c r="AV91" i="60"/>
  <c r="AJ116" i="60" l="1"/>
  <c r="AN227" i="60"/>
  <c r="AN116" i="60"/>
  <c r="AR227" i="60"/>
  <c r="AZ116" i="60"/>
  <c r="L118" i="60"/>
  <c r="T198" i="60"/>
  <c r="BL116" i="60"/>
  <c r="L126" i="60"/>
  <c r="L133" i="60"/>
  <c r="L139" i="60"/>
  <c r="L131" i="60"/>
  <c r="L158" i="60"/>
  <c r="T91" i="60"/>
  <c r="T114" i="60" s="1"/>
  <c r="T154" i="60"/>
  <c r="T89" i="60"/>
  <c r="T88" i="60" s="1"/>
  <c r="AF116" i="60"/>
  <c r="L136" i="60"/>
  <c r="L159" i="60"/>
  <c r="L130" i="60"/>
  <c r="L129" i="60"/>
  <c r="L125" i="60"/>
  <c r="L157" i="60"/>
  <c r="L153" i="60"/>
  <c r="L147" i="60"/>
  <c r="AV227" i="60"/>
  <c r="T406" i="60"/>
  <c r="T202" i="60" s="1"/>
  <c r="T401" i="60"/>
  <c r="T92" i="60" s="1"/>
  <c r="L132" i="60"/>
  <c r="L143" i="60"/>
  <c r="L120" i="60"/>
  <c r="L127" i="60"/>
  <c r="L162" i="60"/>
  <c r="L155" i="60"/>
  <c r="L161" i="60"/>
  <c r="BH116" i="60"/>
  <c r="BH227" i="60"/>
  <c r="BD116" i="60"/>
  <c r="L128" i="60"/>
  <c r="L121" i="60"/>
  <c r="L123" i="60"/>
  <c r="L152" i="60"/>
  <c r="L149" i="60"/>
  <c r="L150" i="60"/>
  <c r="AV116" i="60"/>
  <c r="AF227" i="60"/>
  <c r="L144" i="60"/>
  <c r="L124" i="60"/>
  <c r="L122" i="60"/>
  <c r="L156" i="60"/>
  <c r="L164" i="60"/>
  <c r="L148" i="60"/>
  <c r="AJ227" i="60"/>
  <c r="AC405" i="60"/>
  <c r="AC404" i="60"/>
  <c r="AC403" i="60"/>
  <c r="AC402" i="60"/>
  <c r="AC372" i="60"/>
  <c r="AC371" i="60"/>
  <c r="AC370" i="60"/>
  <c r="AC348" i="60"/>
  <c r="AC177" i="60"/>
  <c r="AC169" i="60"/>
  <c r="AC145" i="60"/>
  <c r="AC168" i="60"/>
  <c r="AC167" i="60"/>
  <c r="AC59" i="60"/>
  <c r="AC67" i="60"/>
  <c r="AC35" i="60"/>
  <c r="AC58" i="60"/>
  <c r="AC57" i="60"/>
  <c r="L119" i="60"/>
  <c r="L142" i="60"/>
  <c r="L135" i="60"/>
  <c r="L163" i="60"/>
  <c r="L146" i="60"/>
  <c r="BL227" i="60"/>
  <c r="AZ227" i="60"/>
  <c r="L151" i="60"/>
  <c r="BD227" i="60"/>
  <c r="T200" i="60"/>
  <c r="T226" i="60" s="1"/>
  <c r="L141" i="60"/>
  <c r="L138" i="60"/>
  <c r="L134" i="60"/>
  <c r="L137" i="60"/>
  <c r="L140" i="60"/>
  <c r="L160" i="60"/>
  <c r="L165" i="60"/>
  <c r="T201" i="60"/>
  <c r="T225" i="60" s="1"/>
  <c r="AR116" i="60"/>
  <c r="T90" i="60"/>
  <c r="T115" i="60" s="1"/>
  <c r="AC122" i="60" l="1"/>
  <c r="AC118" i="60"/>
  <c r="AC121" i="60"/>
  <c r="AC119" i="60"/>
  <c r="AC120" i="60"/>
  <c r="L406" i="60"/>
  <c r="L202" i="60" s="1"/>
  <c r="L198" i="60"/>
  <c r="AC123" i="60"/>
  <c r="AC134" i="60"/>
  <c r="AC129" i="60"/>
  <c r="L91" i="60"/>
  <c r="L114" i="60" s="1"/>
  <c r="AC147" i="60"/>
  <c r="AC140" i="60"/>
  <c r="AC161" i="60"/>
  <c r="AC158" i="60"/>
  <c r="AC163" i="60"/>
  <c r="AC141" i="60"/>
  <c r="L201" i="60"/>
  <c r="L225" i="60" s="1"/>
  <c r="AC159" i="60"/>
  <c r="AC157" i="60"/>
  <c r="AC142" i="60"/>
  <c r="AC124" i="60"/>
  <c r="AC127" i="60"/>
  <c r="L200" i="60"/>
  <c r="L226" i="60" s="1"/>
  <c r="AC144" i="60"/>
  <c r="AC160" i="60"/>
  <c r="AC137" i="60"/>
  <c r="AC139" i="60"/>
  <c r="AC149" i="60"/>
  <c r="AC130" i="60"/>
  <c r="AC138" i="60"/>
  <c r="AC135" i="60"/>
  <c r="AC155" i="60"/>
  <c r="L90" i="60"/>
  <c r="L115" i="60" s="1"/>
  <c r="L154" i="60"/>
  <c r="L89" i="60"/>
  <c r="L88" i="60" s="1"/>
  <c r="AC132" i="60"/>
  <c r="AC152" i="60"/>
  <c r="AC162" i="60"/>
  <c r="AC128" i="60"/>
  <c r="AC133" i="60"/>
  <c r="AC146" i="60"/>
  <c r="AC165" i="60"/>
  <c r="AC151" i="60"/>
  <c r="AC148" i="60"/>
  <c r="L401" i="60"/>
  <c r="L92" i="60" s="1"/>
  <c r="AC126" i="60"/>
  <c r="T116" i="60"/>
  <c r="HI15" i="52" s="1"/>
  <c r="AC136" i="60"/>
  <c r="AC143" i="60"/>
  <c r="AC150" i="60"/>
  <c r="AC164" i="60"/>
  <c r="AC156" i="60"/>
  <c r="AC153" i="60"/>
  <c r="AC131" i="60"/>
  <c r="AC125" i="60"/>
  <c r="T227" i="60"/>
  <c r="AC200" i="60" l="1"/>
  <c r="AC90" i="60"/>
  <c r="AC201" i="60"/>
  <c r="AG403" i="60"/>
  <c r="AC91" i="60"/>
  <c r="AC406" i="60"/>
  <c r="AC202" i="60" s="1"/>
  <c r="AC198" i="60"/>
  <c r="AC154" i="60"/>
  <c r="AC89" i="60"/>
  <c r="AC88" i="60" s="1"/>
  <c r="AG405" i="60"/>
  <c r="AC401" i="60"/>
  <c r="AC92" i="60" s="1"/>
  <c r="L116" i="60"/>
  <c r="L227" i="60"/>
  <c r="HE15" i="52" l="1"/>
  <c r="AG177" i="60"/>
  <c r="AG57" i="60"/>
  <c r="AG35" i="60"/>
  <c r="AG168" i="60"/>
  <c r="AG404" i="60"/>
  <c r="AG67" i="60"/>
  <c r="AG348" i="60"/>
  <c r="AG58" i="60"/>
  <c r="AG370" i="60"/>
  <c r="AG59" i="60"/>
  <c r="AG371" i="60"/>
  <c r="AG169" i="60"/>
  <c r="AG372" i="60"/>
  <c r="AG145" i="60"/>
  <c r="AG402" i="60"/>
  <c r="AG167" i="60"/>
  <c r="AC227" i="60"/>
  <c r="AK150" i="60"/>
  <c r="AK120" i="60"/>
  <c r="AK156" i="60"/>
  <c r="AK119" i="60"/>
  <c r="AK124" i="60"/>
  <c r="AG155" i="60"/>
  <c r="AG135" i="60"/>
  <c r="AG126" i="60"/>
  <c r="AG150" i="60"/>
  <c r="AG157" i="60"/>
  <c r="AG139" i="60"/>
  <c r="AK405" i="60"/>
  <c r="AK404" i="60"/>
  <c r="AK403" i="60"/>
  <c r="AK402" i="60"/>
  <c r="AK372" i="60"/>
  <c r="AK371" i="60"/>
  <c r="AK370" i="60"/>
  <c r="AK348" i="60"/>
  <c r="AK177" i="60"/>
  <c r="AK169" i="60"/>
  <c r="AK145" i="60"/>
  <c r="AK168" i="60"/>
  <c r="AK167" i="60"/>
  <c r="AK59" i="60"/>
  <c r="AK67" i="60"/>
  <c r="AK57" i="60"/>
  <c r="AK35" i="60"/>
  <c r="AK58" i="60"/>
  <c r="AK139" i="60"/>
  <c r="AK123" i="60"/>
  <c r="AK153" i="60"/>
  <c r="AK131" i="60"/>
  <c r="AK149" i="60"/>
  <c r="AK136" i="60"/>
  <c r="AK125" i="60"/>
  <c r="AG130" i="60"/>
  <c r="AG128" i="60"/>
  <c r="AG144" i="60"/>
  <c r="AG153" i="60"/>
  <c r="AG142" i="60"/>
  <c r="AG146" i="60"/>
  <c r="AG158" i="60"/>
  <c r="AK128" i="60"/>
  <c r="AK133" i="60"/>
  <c r="AK163" i="60"/>
  <c r="AK126" i="60"/>
  <c r="AK138" i="60"/>
  <c r="AK165" i="60"/>
  <c r="AK143" i="60"/>
  <c r="AG123" i="60"/>
  <c r="AG159" i="60"/>
  <c r="AG149" i="60"/>
  <c r="AG147" i="60"/>
  <c r="AG162" i="60"/>
  <c r="AG140" i="60"/>
  <c r="AG132" i="60"/>
  <c r="AG164" i="60"/>
  <c r="AG124" i="60"/>
  <c r="AG121" i="60"/>
  <c r="AG161" i="60"/>
  <c r="AK130" i="60"/>
  <c r="AG137" i="60"/>
  <c r="AK144" i="60"/>
  <c r="AK142" i="60"/>
  <c r="AK135" i="60"/>
  <c r="AK155" i="60"/>
  <c r="AK162" i="60"/>
  <c r="AK118" i="60"/>
  <c r="AK160" i="60"/>
  <c r="AK151" i="60"/>
  <c r="AG127" i="60"/>
  <c r="AG120" i="60"/>
  <c r="AG129" i="60"/>
  <c r="AG156" i="60"/>
  <c r="AG151" i="60"/>
  <c r="AK161" i="60"/>
  <c r="AK129" i="60"/>
  <c r="AG119" i="60"/>
  <c r="AK148" i="60"/>
  <c r="AK140" i="60"/>
  <c r="AK164" i="60"/>
  <c r="AG122" i="60"/>
  <c r="AG152" i="60"/>
  <c r="AG148" i="60"/>
  <c r="AG136" i="60"/>
  <c r="AG125" i="60"/>
  <c r="AG160" i="60"/>
  <c r="AG133" i="60"/>
  <c r="AK157" i="60"/>
  <c r="AK122" i="60"/>
  <c r="AK137" i="60"/>
  <c r="AK152" i="60"/>
  <c r="AK121" i="60"/>
  <c r="AK127" i="60"/>
  <c r="AG138" i="60"/>
  <c r="AG141" i="60"/>
  <c r="AG165" i="60"/>
  <c r="AC116" i="60"/>
  <c r="AK132" i="60"/>
  <c r="AK147" i="60"/>
  <c r="AK146" i="60"/>
  <c r="AK158" i="60"/>
  <c r="AK159" i="60"/>
  <c r="AK141" i="60"/>
  <c r="AK134" i="60"/>
  <c r="AG118" i="60"/>
  <c r="AG143" i="60"/>
  <c r="AG131" i="60"/>
  <c r="AG134" i="60"/>
  <c r="AG163" i="60"/>
  <c r="AG91" i="60" l="1"/>
  <c r="AO405" i="60"/>
  <c r="AK406" i="60"/>
  <c r="AK202" i="60" s="1"/>
  <c r="AG201" i="60"/>
  <c r="AG406" i="60"/>
  <c r="AG202" i="60" s="1"/>
  <c r="AK201" i="60"/>
  <c r="AG198" i="60"/>
  <c r="AK401" i="60"/>
  <c r="AK92" i="60" s="1"/>
  <c r="AK90" i="60"/>
  <c r="AK198" i="60"/>
  <c r="AK91" i="60"/>
  <c r="AG90" i="60"/>
  <c r="AK200" i="60"/>
  <c r="AK154" i="60"/>
  <c r="AK89" i="60"/>
  <c r="AK88" i="60" s="1"/>
  <c r="AG200" i="60"/>
  <c r="AG401" i="60"/>
  <c r="AG92" i="60" s="1"/>
  <c r="AG154" i="60"/>
  <c r="AG89" i="60"/>
  <c r="AG88" i="60" s="1"/>
  <c r="AO167" i="60" l="1"/>
  <c r="AO372" i="60"/>
  <c r="AO59" i="60"/>
  <c r="AO402" i="60"/>
  <c r="AK116" i="60"/>
  <c r="AO145" i="60"/>
  <c r="AO404" i="60"/>
  <c r="AO168" i="60"/>
  <c r="AO57" i="60"/>
  <c r="AO348" i="60"/>
  <c r="AO67" i="60"/>
  <c r="AO371" i="60"/>
  <c r="AO58" i="60"/>
  <c r="AO370" i="60"/>
  <c r="AO169" i="60"/>
  <c r="AO403" i="60"/>
  <c r="AG116" i="60"/>
  <c r="AO35" i="60"/>
  <c r="AO177" i="60"/>
  <c r="AO142" i="60"/>
  <c r="AO163" i="60"/>
  <c r="AO125" i="60"/>
  <c r="AO157" i="60"/>
  <c r="AO126" i="60"/>
  <c r="AO130" i="60"/>
  <c r="AO152" i="60"/>
  <c r="AO158" i="60"/>
  <c r="AO123" i="60"/>
  <c r="AO136" i="60"/>
  <c r="AO151" i="60"/>
  <c r="AO155" i="60"/>
  <c r="AO159" i="60"/>
  <c r="AO128" i="60"/>
  <c r="AO137" i="60"/>
  <c r="AO150" i="60"/>
  <c r="AO135" i="60"/>
  <c r="AO139" i="60"/>
  <c r="AO165" i="60"/>
  <c r="AO153" i="60"/>
  <c r="AO122" i="60"/>
  <c r="AO133" i="60"/>
  <c r="AO160" i="60"/>
  <c r="AK227" i="60"/>
  <c r="AO143" i="60"/>
  <c r="AO132" i="60"/>
  <c r="AO141" i="60"/>
  <c r="AO131" i="60"/>
  <c r="AO156" i="60"/>
  <c r="AO138" i="60"/>
  <c r="AO121" i="60"/>
  <c r="AO149" i="60"/>
  <c r="AO140" i="60"/>
  <c r="AO146" i="60"/>
  <c r="AO161" i="60"/>
  <c r="AO162" i="60"/>
  <c r="AO147" i="60"/>
  <c r="AO164" i="60"/>
  <c r="AO148" i="60"/>
  <c r="AO144" i="60"/>
  <c r="AO124" i="60"/>
  <c r="AO134" i="60"/>
  <c r="AG227" i="60"/>
  <c r="AO120" i="60"/>
  <c r="AO119" i="60"/>
  <c r="AO129" i="60"/>
  <c r="AO118" i="60"/>
  <c r="AO127" i="60"/>
  <c r="AO406" i="60" l="1"/>
  <c r="AO202" i="60" s="1"/>
  <c r="AO401" i="60"/>
  <c r="AO92" i="60" s="1"/>
  <c r="AO91" i="60"/>
  <c r="AO201" i="60"/>
  <c r="AW143" i="60"/>
  <c r="AW132" i="60"/>
  <c r="AW147" i="60"/>
  <c r="AW152" i="60"/>
  <c r="AW126" i="60"/>
  <c r="AW139" i="60"/>
  <c r="AW131" i="60"/>
  <c r="AW157" i="60"/>
  <c r="AW127" i="60"/>
  <c r="BA160" i="60"/>
  <c r="BA133" i="60"/>
  <c r="BA128" i="60"/>
  <c r="BA134" i="60"/>
  <c r="BA151" i="60"/>
  <c r="BA161" i="60"/>
  <c r="BA162" i="60"/>
  <c r="AS146" i="60"/>
  <c r="AS129" i="60"/>
  <c r="AS127" i="60"/>
  <c r="AS160" i="60"/>
  <c r="AS150" i="60"/>
  <c r="AS161" i="60"/>
  <c r="AS164" i="60"/>
  <c r="AS405" i="60"/>
  <c r="AS404" i="60"/>
  <c r="AS402" i="60"/>
  <c r="AS403" i="60"/>
  <c r="AS372" i="60"/>
  <c r="AS371" i="60"/>
  <c r="AS370" i="60"/>
  <c r="AS348" i="60"/>
  <c r="AS177" i="60"/>
  <c r="AS169" i="60"/>
  <c r="AS145" i="60"/>
  <c r="AS167" i="60"/>
  <c r="AS168" i="60"/>
  <c r="AS59" i="60"/>
  <c r="AS67" i="60"/>
  <c r="AS35" i="60"/>
  <c r="AS58" i="60"/>
  <c r="AS57" i="60"/>
  <c r="AW125" i="60"/>
  <c r="AS147" i="60"/>
  <c r="AS126" i="60"/>
  <c r="AS124" i="60"/>
  <c r="AW405" i="60"/>
  <c r="AW404" i="60"/>
  <c r="AW403" i="60"/>
  <c r="AW402" i="60"/>
  <c r="AW372" i="60"/>
  <c r="AW370" i="60"/>
  <c r="AW371" i="60"/>
  <c r="AW348" i="60"/>
  <c r="AW177" i="60"/>
  <c r="AW167" i="60"/>
  <c r="AW168" i="60"/>
  <c r="AW169" i="60"/>
  <c r="AW145" i="60"/>
  <c r="AW59" i="60"/>
  <c r="AW58" i="60"/>
  <c r="AW67" i="60"/>
  <c r="AW35" i="60"/>
  <c r="AW57" i="60"/>
  <c r="AW122" i="60"/>
  <c r="AW133" i="60"/>
  <c r="AW150" i="60"/>
  <c r="AW156" i="60"/>
  <c r="BA165" i="60"/>
  <c r="BA136" i="60"/>
  <c r="BA164" i="60"/>
  <c r="BA143" i="60"/>
  <c r="BA126" i="60"/>
  <c r="BA125" i="60"/>
  <c r="AS133" i="60"/>
  <c r="AS132" i="60"/>
  <c r="AS118" i="60"/>
  <c r="AS143" i="60"/>
  <c r="AS155" i="60"/>
  <c r="AS135" i="60"/>
  <c r="AS144" i="60"/>
  <c r="AS134" i="60"/>
  <c r="AS119" i="60"/>
  <c r="AO90" i="60"/>
  <c r="AW144" i="60"/>
  <c r="BA121" i="60"/>
  <c r="AS123" i="60"/>
  <c r="AW165" i="60"/>
  <c r="AW148" i="60"/>
  <c r="AW121" i="60"/>
  <c r="AW163" i="60"/>
  <c r="AW159" i="60"/>
  <c r="AW160" i="60"/>
  <c r="AW151" i="60"/>
  <c r="BA138" i="60"/>
  <c r="AS125" i="60"/>
  <c r="AS148" i="60"/>
  <c r="AS120" i="60"/>
  <c r="AS142" i="60"/>
  <c r="AS162" i="60"/>
  <c r="AO198" i="60"/>
  <c r="AO200" i="60"/>
  <c r="AW137" i="60"/>
  <c r="BA163" i="60"/>
  <c r="BA123" i="60"/>
  <c r="BA130" i="60"/>
  <c r="AS159" i="60"/>
  <c r="AS130" i="60"/>
  <c r="AW162" i="60"/>
  <c r="AW140" i="60"/>
  <c r="AW153" i="60"/>
  <c r="AW141" i="60"/>
  <c r="AW155" i="60"/>
  <c r="AW135" i="60"/>
  <c r="AW161" i="60"/>
  <c r="BA141" i="60"/>
  <c r="BA157" i="60"/>
  <c r="BA155" i="60"/>
  <c r="BA137" i="60"/>
  <c r="BA122" i="60"/>
  <c r="BA129" i="60"/>
  <c r="BA142" i="60"/>
  <c r="BA149" i="60"/>
  <c r="BA156" i="60"/>
  <c r="AS151" i="60"/>
  <c r="AS138" i="60"/>
  <c r="AS131" i="60"/>
  <c r="AS157" i="60"/>
  <c r="AS122" i="60"/>
  <c r="AS149" i="60"/>
  <c r="AS156" i="60"/>
  <c r="BA405" i="60"/>
  <c r="BA404" i="60"/>
  <c r="BA402" i="60"/>
  <c r="BA403" i="60"/>
  <c r="BA372" i="60"/>
  <c r="BA371" i="60"/>
  <c r="BA370" i="60"/>
  <c r="BA348" i="60"/>
  <c r="BA177" i="60"/>
  <c r="BA169" i="60"/>
  <c r="BA167" i="60"/>
  <c r="BA145" i="60"/>
  <c r="BA168" i="60"/>
  <c r="BA59" i="60"/>
  <c r="BA67" i="60"/>
  <c r="BA58" i="60"/>
  <c r="BA35" i="60"/>
  <c r="BA57" i="60"/>
  <c r="AW124" i="60"/>
  <c r="BA148" i="60"/>
  <c r="AS128" i="60"/>
  <c r="AW138" i="60"/>
  <c r="AW129" i="60"/>
  <c r="AW146" i="60"/>
  <c r="AW134" i="60"/>
  <c r="BA119" i="60"/>
  <c r="BA124" i="60"/>
  <c r="BA118" i="60"/>
  <c r="AS158" i="60"/>
  <c r="AS136" i="60"/>
  <c r="AS153" i="60"/>
  <c r="AS163" i="60"/>
  <c r="AW118" i="60"/>
  <c r="AW119" i="60"/>
  <c r="AW164" i="60"/>
  <c r="AW136" i="60"/>
  <c r="AW128" i="60"/>
  <c r="AW120" i="60"/>
  <c r="AW149" i="60"/>
  <c r="BA144" i="60"/>
  <c r="BA139" i="60"/>
  <c r="BA132" i="60"/>
  <c r="BA147" i="60"/>
  <c r="BA159" i="60"/>
  <c r="BA120" i="60"/>
  <c r="BA152" i="60"/>
  <c r="BA127" i="60"/>
  <c r="AS140" i="60"/>
  <c r="AS121" i="60"/>
  <c r="AS152" i="60"/>
  <c r="AS141" i="60"/>
  <c r="AO154" i="60"/>
  <c r="AO89" i="60"/>
  <c r="AO88" i="60" s="1"/>
  <c r="AW142" i="60"/>
  <c r="AW158" i="60"/>
  <c r="AW123" i="60"/>
  <c r="AW130" i="60"/>
  <c r="BA153" i="60"/>
  <c r="BA150" i="60"/>
  <c r="BA158" i="60"/>
  <c r="BA135" i="60"/>
  <c r="BA131" i="60"/>
  <c r="BA140" i="60"/>
  <c r="BA146" i="60"/>
  <c r="AS165" i="60"/>
  <c r="AS137" i="60"/>
  <c r="AS139" i="60"/>
  <c r="AO116" i="60" l="1"/>
  <c r="BA91" i="60"/>
  <c r="AW406" i="60"/>
  <c r="AW202" i="60" s="1"/>
  <c r="AS90" i="60"/>
  <c r="BA201" i="60"/>
  <c r="AW200" i="60"/>
  <c r="AS200" i="60"/>
  <c r="AO227" i="60"/>
  <c r="BE161" i="60"/>
  <c r="BE136" i="60"/>
  <c r="BE149" i="60"/>
  <c r="BE164" i="60"/>
  <c r="AS154" i="60"/>
  <c r="AS89" i="60"/>
  <c r="AS88" i="60" s="1"/>
  <c r="BA200" i="60"/>
  <c r="BE150" i="60"/>
  <c r="BE125" i="60"/>
  <c r="BE139" i="60"/>
  <c r="BE152" i="60"/>
  <c r="BE159" i="60"/>
  <c r="BE163" i="60"/>
  <c r="BE144" i="60"/>
  <c r="BE124" i="60"/>
  <c r="BE156" i="60"/>
  <c r="BE121" i="60"/>
  <c r="AW90" i="60"/>
  <c r="AW401" i="60"/>
  <c r="AW92" i="60" s="1"/>
  <c r="BA198" i="60"/>
  <c r="BA90" i="60"/>
  <c r="BE126" i="60"/>
  <c r="BE157" i="60"/>
  <c r="BE135" i="60"/>
  <c r="BE127" i="60"/>
  <c r="BE160" i="60"/>
  <c r="AS406" i="60"/>
  <c r="AS202" i="60" s="1"/>
  <c r="AS401" i="60"/>
  <c r="AS92" i="60" s="1"/>
  <c r="AW198" i="60"/>
  <c r="BE128" i="60"/>
  <c r="BE133" i="60"/>
  <c r="BE129" i="60"/>
  <c r="AS198" i="60"/>
  <c r="AW201" i="60"/>
  <c r="BE141" i="60"/>
  <c r="BE131" i="60"/>
  <c r="BE146" i="60"/>
  <c r="BE165" i="60"/>
  <c r="BE155" i="60"/>
  <c r="BE130" i="60"/>
  <c r="BE158" i="60"/>
  <c r="BA406" i="60"/>
  <c r="BA202" i="60" s="1"/>
  <c r="BA401" i="60"/>
  <c r="BA92" i="60" s="1"/>
  <c r="AW91" i="60"/>
  <c r="AS201" i="60"/>
  <c r="BE148" i="60"/>
  <c r="BE153" i="60"/>
  <c r="BE151" i="60"/>
  <c r="BE119" i="60"/>
  <c r="BE120" i="60"/>
  <c r="BE142" i="60"/>
  <c r="BE132" i="60"/>
  <c r="BA154" i="60"/>
  <c r="BA89" i="60"/>
  <c r="BA88" i="60" s="1"/>
  <c r="BE405" i="60"/>
  <c r="BE404" i="60"/>
  <c r="BE403" i="60"/>
  <c r="BE402" i="60"/>
  <c r="BE372" i="60"/>
  <c r="BE370" i="60"/>
  <c r="BE371" i="60"/>
  <c r="BE348" i="60"/>
  <c r="BE177" i="60"/>
  <c r="BE168" i="60"/>
  <c r="BE169" i="60"/>
  <c r="BE167" i="60"/>
  <c r="BE145" i="60"/>
  <c r="BE59" i="60"/>
  <c r="BE58" i="60"/>
  <c r="BE67" i="60"/>
  <c r="BE57" i="60"/>
  <c r="BE35" i="60"/>
  <c r="BI405" i="60"/>
  <c r="BI404" i="60"/>
  <c r="BI403" i="60"/>
  <c r="BI402" i="60"/>
  <c r="BI372" i="60"/>
  <c r="BI371" i="60"/>
  <c r="BI370" i="60"/>
  <c r="BI348" i="60"/>
  <c r="BI177" i="60"/>
  <c r="BI169" i="60"/>
  <c r="BI145" i="60"/>
  <c r="BI167" i="60"/>
  <c r="BI168" i="60"/>
  <c r="BI59" i="60"/>
  <c r="BI67" i="60"/>
  <c r="BI35" i="60"/>
  <c r="BI58" i="60"/>
  <c r="BI57" i="60"/>
  <c r="BE147" i="60"/>
  <c r="BE143" i="60"/>
  <c r="BE138" i="60"/>
  <c r="AS91" i="60"/>
  <c r="BE140" i="60"/>
  <c r="BE134" i="60"/>
  <c r="BE137" i="60"/>
  <c r="BE122" i="60"/>
  <c r="BE162" i="60"/>
  <c r="BE123" i="60"/>
  <c r="BE118" i="60"/>
  <c r="AW154" i="60"/>
  <c r="AW89" i="60"/>
  <c r="AW88" i="60" s="1"/>
  <c r="BA116" i="60" l="1"/>
  <c r="AW116" i="60"/>
  <c r="BE198" i="60"/>
  <c r="BE406" i="60"/>
  <c r="BE202" i="60" s="1"/>
  <c r="BI119" i="60"/>
  <c r="BI130" i="60"/>
  <c r="BI127" i="60"/>
  <c r="BI124" i="60"/>
  <c r="BI128" i="60"/>
  <c r="BI161" i="60"/>
  <c r="BI153" i="60"/>
  <c r="BI156" i="60"/>
  <c r="BI123" i="60"/>
  <c r="BI121" i="60"/>
  <c r="BI165" i="60"/>
  <c r="BI135" i="60"/>
  <c r="BI159" i="60"/>
  <c r="BI152" i="60"/>
  <c r="BI141" i="60"/>
  <c r="BI146" i="60"/>
  <c r="AS116" i="60"/>
  <c r="BA227" i="60"/>
  <c r="BE90" i="60"/>
  <c r="BI162" i="60"/>
  <c r="BI133" i="60"/>
  <c r="BI164" i="60"/>
  <c r="BI158" i="60"/>
  <c r="AS227" i="60"/>
  <c r="BE200" i="60"/>
  <c r="BI134" i="60"/>
  <c r="BI151" i="60"/>
  <c r="BI147" i="60"/>
  <c r="BI125" i="60"/>
  <c r="BI148" i="60"/>
  <c r="BI138" i="60"/>
  <c r="BE201" i="60"/>
  <c r="BI140" i="60"/>
  <c r="BI139" i="60"/>
  <c r="BI150" i="60"/>
  <c r="BI155" i="60"/>
  <c r="BI120" i="60"/>
  <c r="BI163" i="60"/>
  <c r="BI126" i="60"/>
  <c r="BI144" i="60"/>
  <c r="BI118" i="60"/>
  <c r="BI142" i="60"/>
  <c r="BI136" i="60"/>
  <c r="BE154" i="60"/>
  <c r="BE89" i="60"/>
  <c r="BE88" i="60" s="1"/>
  <c r="BE91" i="60"/>
  <c r="BI122" i="60"/>
  <c r="BI160" i="60"/>
  <c r="BI137" i="60"/>
  <c r="AW227" i="60"/>
  <c r="BE401" i="60"/>
  <c r="BE92" i="60" s="1"/>
  <c r="BI143" i="60"/>
  <c r="BI131" i="60"/>
  <c r="BI157" i="60"/>
  <c r="BI129" i="60"/>
  <c r="BI132" i="60"/>
  <c r="BI149" i="60"/>
  <c r="BI91" i="60" l="1"/>
  <c r="BE227" i="60"/>
  <c r="BI90" i="60"/>
  <c r="BI200" i="60"/>
  <c r="BM403" i="60"/>
  <c r="BI401" i="60"/>
  <c r="BI92" i="60" s="1"/>
  <c r="BI406" i="60"/>
  <c r="BI202" i="60" s="1"/>
  <c r="BI201" i="60"/>
  <c r="BI198" i="60"/>
  <c r="BE116" i="60"/>
  <c r="BI154" i="60"/>
  <c r="BI89" i="60"/>
  <c r="BI88" i="60" s="1"/>
  <c r="BM405" i="60" l="1"/>
  <c r="BI116" i="60"/>
  <c r="BM404" i="60"/>
  <c r="BM35" i="60"/>
  <c r="BM67" i="60"/>
  <c r="BM58" i="60"/>
  <c r="BM145" i="60"/>
  <c r="BM168" i="60"/>
  <c r="BM167" i="60"/>
  <c r="BM177" i="60"/>
  <c r="BM348" i="60"/>
  <c r="BM57" i="60"/>
  <c r="BM371" i="60"/>
  <c r="BM370" i="60"/>
  <c r="BM59" i="60"/>
  <c r="BM372" i="60"/>
  <c r="BM402" i="60"/>
  <c r="BI227" i="60"/>
  <c r="BM169" i="60"/>
  <c r="BM118" i="60"/>
  <c r="BM135" i="60"/>
  <c r="BM165" i="60"/>
  <c r="BM140" i="60"/>
  <c r="BM150" i="60"/>
  <c r="BM149" i="60"/>
  <c r="BM138" i="60"/>
  <c r="BM141" i="60"/>
  <c r="BM127" i="60"/>
  <c r="BM164" i="60"/>
  <c r="BM120" i="60"/>
  <c r="BM122" i="60"/>
  <c r="BM134" i="60"/>
  <c r="BM158" i="60"/>
  <c r="BM121" i="60"/>
  <c r="BM123" i="60"/>
  <c r="BM124" i="60"/>
  <c r="BM125" i="60"/>
  <c r="BM130" i="60"/>
  <c r="BM161" i="60"/>
  <c r="BM143" i="60"/>
  <c r="BM159" i="60"/>
  <c r="BM136" i="60"/>
  <c r="BM162" i="60"/>
  <c r="BM142" i="60"/>
  <c r="BM144" i="60"/>
  <c r="BM128" i="60"/>
  <c r="BM146" i="60"/>
  <c r="BM148" i="60"/>
  <c r="BM139" i="60"/>
  <c r="BM126" i="60"/>
  <c r="BM133" i="60"/>
  <c r="BM163" i="60"/>
  <c r="BM147" i="60"/>
  <c r="BM119" i="60"/>
  <c r="BM137" i="60"/>
  <c r="BM152" i="60"/>
  <c r="BM132" i="60"/>
  <c r="BM155" i="60"/>
  <c r="BM131" i="60"/>
  <c r="BM153" i="60"/>
  <c r="BM157" i="60"/>
  <c r="BM129" i="60"/>
  <c r="BM151" i="60"/>
  <c r="BM160" i="60"/>
  <c r="BM156" i="60"/>
  <c r="BM201" i="60" l="1"/>
  <c r="BM200" i="60"/>
  <c r="BM90" i="60"/>
  <c r="BM91" i="60"/>
  <c r="U118" i="60"/>
  <c r="BM406" i="60"/>
  <c r="BM202" i="60" s="1"/>
  <c r="U162" i="60"/>
  <c r="U125" i="60"/>
  <c r="U151" i="60"/>
  <c r="U153" i="60"/>
  <c r="U133" i="60"/>
  <c r="U155" i="60"/>
  <c r="U157" i="60"/>
  <c r="U156" i="60"/>
  <c r="U158" i="60"/>
  <c r="U127" i="60"/>
  <c r="U120" i="60"/>
  <c r="U129" i="60"/>
  <c r="U165" i="60"/>
  <c r="U140" i="60"/>
  <c r="U131" i="60"/>
  <c r="U126" i="60"/>
  <c r="U134" i="60"/>
  <c r="U124" i="60"/>
  <c r="U160" i="60"/>
  <c r="U132" i="60"/>
  <c r="U149" i="60"/>
  <c r="U148" i="60"/>
  <c r="U135" i="60"/>
  <c r="U138" i="60"/>
  <c r="BM401" i="60"/>
  <c r="BM92" i="60" s="1"/>
  <c r="U123" i="60"/>
  <c r="U139" i="60"/>
  <c r="U122" i="60"/>
  <c r="U143" i="60"/>
  <c r="BM154" i="60"/>
  <c r="BM89" i="60"/>
  <c r="BM88" i="60" s="1"/>
  <c r="U141" i="60"/>
  <c r="U130" i="60"/>
  <c r="U137" i="60"/>
  <c r="U152" i="60"/>
  <c r="U146" i="60"/>
  <c r="U142" i="60"/>
  <c r="BM198" i="60"/>
  <c r="U121" i="60"/>
  <c r="U150" i="60"/>
  <c r="U163" i="60"/>
  <c r="U147" i="60"/>
  <c r="U161" i="60"/>
  <c r="U164" i="60"/>
  <c r="U136" i="60"/>
  <c r="U128" i="60"/>
  <c r="U159" i="60"/>
  <c r="U144" i="60"/>
  <c r="U119" i="60"/>
  <c r="BM227" i="60" l="1"/>
  <c r="BM116" i="60"/>
  <c r="M118" i="60"/>
  <c r="U401" i="60"/>
  <c r="U92" i="60" s="1"/>
  <c r="U198" i="60"/>
  <c r="U406" i="60"/>
  <c r="U202" i="60" s="1"/>
  <c r="U201" i="60"/>
  <c r="U225" i="60" s="1"/>
  <c r="M122" i="60"/>
  <c r="M164" i="60"/>
  <c r="M136" i="60"/>
  <c r="M137" i="60"/>
  <c r="M125" i="60"/>
  <c r="M155" i="60"/>
  <c r="M156" i="60"/>
  <c r="M123" i="60"/>
  <c r="M142" i="60"/>
  <c r="M124" i="60"/>
  <c r="M158" i="60"/>
  <c r="M148" i="60"/>
  <c r="M140" i="60"/>
  <c r="M133" i="60"/>
  <c r="M139" i="60"/>
  <c r="M128" i="60"/>
  <c r="M160" i="60"/>
  <c r="M146" i="60"/>
  <c r="U154" i="60"/>
  <c r="U89" i="60"/>
  <c r="U88" i="60" s="1"/>
  <c r="M143" i="60"/>
  <c r="M134" i="60"/>
  <c r="M165" i="60"/>
  <c r="M126" i="60"/>
  <c r="M135" i="60"/>
  <c r="M131" i="60"/>
  <c r="M120" i="60"/>
  <c r="M162" i="60"/>
  <c r="M152" i="60"/>
  <c r="M121" i="60"/>
  <c r="M141" i="60"/>
  <c r="M132" i="60"/>
  <c r="M157" i="60"/>
  <c r="M161" i="60"/>
  <c r="M147" i="60"/>
  <c r="M129" i="60"/>
  <c r="M144" i="60"/>
  <c r="M138" i="60"/>
  <c r="M163" i="60"/>
  <c r="M153" i="60"/>
  <c r="M159" i="60"/>
  <c r="U90" i="60"/>
  <c r="U115" i="60" s="1"/>
  <c r="M119" i="60"/>
  <c r="M127" i="60"/>
  <c r="M130" i="60"/>
  <c r="M151" i="60"/>
  <c r="M150" i="60"/>
  <c r="M149" i="60"/>
  <c r="U91" i="60"/>
  <c r="U114" i="60" s="1"/>
  <c r="U200" i="60"/>
  <c r="U226" i="60" s="1"/>
  <c r="M198" i="60" l="1"/>
  <c r="M90" i="60"/>
  <c r="M115" i="60" s="1"/>
  <c r="M200" i="60"/>
  <c r="M226" i="60" s="1"/>
  <c r="U116" i="60"/>
  <c r="HI15" i="53" s="1"/>
  <c r="M91" i="60"/>
  <c r="M114" i="60" s="1"/>
  <c r="M201" i="60"/>
  <c r="M225" i="60" s="1"/>
  <c r="M154" i="60"/>
  <c r="M89" i="60"/>
  <c r="M88" i="60" s="1"/>
  <c r="M406" i="60"/>
  <c r="M202" i="60" s="1"/>
  <c r="M401" i="60"/>
  <c r="M92" i="60" s="1"/>
  <c r="U227" i="60"/>
  <c r="M116" i="60" l="1"/>
  <c r="HE15" i="53" s="1"/>
  <c r="M227" i="60"/>
  <c r="AD405" i="60" l="1"/>
  <c r="AD404" i="60"/>
  <c r="AD403" i="60"/>
  <c r="AD402" i="60"/>
  <c r="AD372" i="60"/>
  <c r="AD371" i="60"/>
  <c r="AD370" i="60"/>
  <c r="AD348" i="60"/>
  <c r="AD169" i="60"/>
  <c r="AD177" i="60"/>
  <c r="AD145" i="60"/>
  <c r="AD168" i="60"/>
  <c r="AD167" i="60"/>
  <c r="AD59" i="60"/>
  <c r="AD67" i="60"/>
  <c r="AD58" i="60"/>
  <c r="AD57" i="60"/>
  <c r="AD35" i="60"/>
  <c r="AP405" i="60"/>
  <c r="AP404" i="60"/>
  <c r="AP403" i="60"/>
  <c r="AP402" i="60"/>
  <c r="AP372" i="60"/>
  <c r="AP370" i="60"/>
  <c r="AP371" i="60"/>
  <c r="AP348" i="60"/>
  <c r="AP169" i="60"/>
  <c r="AP168" i="60"/>
  <c r="AP167" i="60"/>
  <c r="AP177" i="60"/>
  <c r="AP145" i="60"/>
  <c r="AP59" i="60"/>
  <c r="AP58" i="60"/>
  <c r="AP57" i="60"/>
  <c r="AP67" i="60"/>
  <c r="AP35" i="60"/>
  <c r="AP128" i="60" l="1"/>
  <c r="AP147" i="60"/>
  <c r="AP119" i="60"/>
  <c r="AP127" i="60"/>
  <c r="AP151" i="60"/>
  <c r="AP163" i="60"/>
  <c r="AP157" i="60"/>
  <c r="AD122" i="60"/>
  <c r="AD118" i="60"/>
  <c r="AD142" i="60"/>
  <c r="AD127" i="60"/>
  <c r="AL164" i="60"/>
  <c r="AL152" i="60"/>
  <c r="AL144" i="60"/>
  <c r="AL131" i="60"/>
  <c r="AP159" i="60"/>
  <c r="AP130" i="60"/>
  <c r="AP148" i="60"/>
  <c r="AD160" i="60"/>
  <c r="AD146" i="60"/>
  <c r="AD131" i="60"/>
  <c r="AD119" i="60"/>
  <c r="AL148" i="60"/>
  <c r="AL137" i="60"/>
  <c r="AL156" i="60"/>
  <c r="AL128" i="60"/>
  <c r="AL138" i="60"/>
  <c r="AL163" i="60"/>
  <c r="AL140" i="60"/>
  <c r="AL126" i="60"/>
  <c r="AP158" i="60"/>
  <c r="AP120" i="60"/>
  <c r="AP161" i="60"/>
  <c r="AP152" i="60"/>
  <c r="AP149" i="60"/>
  <c r="AD156" i="60"/>
  <c r="AD121" i="60"/>
  <c r="AD161" i="60"/>
  <c r="AD129" i="60"/>
  <c r="AD150" i="60"/>
  <c r="AD151" i="60"/>
  <c r="AD143" i="60"/>
  <c r="AD148" i="60"/>
  <c r="AD147" i="60"/>
  <c r="AD130" i="60"/>
  <c r="AL157" i="60"/>
  <c r="AL119" i="60"/>
  <c r="AL150" i="60"/>
  <c r="AL136" i="60"/>
  <c r="AL155" i="60"/>
  <c r="AP129" i="60"/>
  <c r="AP142" i="60"/>
  <c r="AP160" i="60"/>
  <c r="AP118" i="60"/>
  <c r="AP125" i="60"/>
  <c r="AD159" i="60"/>
  <c r="AD149" i="60"/>
  <c r="AD163" i="60"/>
  <c r="AD155" i="60"/>
  <c r="AL139" i="60"/>
  <c r="AL141" i="60"/>
  <c r="AL120" i="60"/>
  <c r="AL160" i="60"/>
  <c r="AL146" i="60"/>
  <c r="AL132" i="60"/>
  <c r="AP150" i="60"/>
  <c r="AP138" i="60"/>
  <c r="AP144" i="60"/>
  <c r="AP165" i="60"/>
  <c r="AP133" i="60"/>
  <c r="AP139" i="60"/>
  <c r="AP121" i="60"/>
  <c r="AP141" i="60"/>
  <c r="AD137" i="60"/>
  <c r="AD124" i="60"/>
  <c r="AD139" i="60"/>
  <c r="AD153" i="60"/>
  <c r="AL129" i="60"/>
  <c r="AL122" i="60"/>
  <c r="AL123" i="60"/>
  <c r="AL143" i="60"/>
  <c r="AL124" i="60"/>
  <c r="AL125" i="60"/>
  <c r="AL165" i="60"/>
  <c r="AL405" i="60"/>
  <c r="AL404" i="60"/>
  <c r="AL403" i="60"/>
  <c r="AL402" i="60"/>
  <c r="AL372" i="60"/>
  <c r="AL371" i="60"/>
  <c r="AL370" i="60"/>
  <c r="AL348" i="60"/>
  <c r="AL169" i="60"/>
  <c r="AL177" i="60"/>
  <c r="AL145" i="60"/>
  <c r="AL168" i="60"/>
  <c r="AL167" i="60"/>
  <c r="AL59" i="60"/>
  <c r="AL67" i="60"/>
  <c r="AL58" i="60"/>
  <c r="AL57" i="60"/>
  <c r="AL35" i="60"/>
  <c r="AP162" i="60"/>
  <c r="AP137" i="60"/>
  <c r="AD128" i="60"/>
  <c r="AD132" i="60"/>
  <c r="AD152" i="60"/>
  <c r="AD123" i="60"/>
  <c r="AD141" i="60"/>
  <c r="AD120" i="60"/>
  <c r="AD162" i="60"/>
  <c r="AL121" i="60"/>
  <c r="AL158" i="60"/>
  <c r="AL118" i="60"/>
  <c r="AL127" i="60"/>
  <c r="AL147" i="60"/>
  <c r="AP132" i="60"/>
  <c r="AP146" i="60"/>
  <c r="AP155" i="60"/>
  <c r="AP143" i="60"/>
  <c r="AP164" i="60"/>
  <c r="AP124" i="60"/>
  <c r="AP126" i="60"/>
  <c r="AH405" i="60"/>
  <c r="AH404" i="60"/>
  <c r="AH403" i="60"/>
  <c r="AH402" i="60"/>
  <c r="AH372" i="60"/>
  <c r="AH371" i="60"/>
  <c r="AH370" i="60"/>
  <c r="AH348" i="60"/>
  <c r="AH169" i="60"/>
  <c r="AH168" i="60"/>
  <c r="AH167" i="60"/>
  <c r="AH177" i="60"/>
  <c r="AH145" i="60"/>
  <c r="AH59" i="60"/>
  <c r="AH58" i="60"/>
  <c r="AH57" i="60"/>
  <c r="AH67" i="60"/>
  <c r="AH35" i="60"/>
  <c r="AD164" i="60"/>
  <c r="AD165" i="60"/>
  <c r="AD136" i="60"/>
  <c r="AD134" i="60"/>
  <c r="AD157" i="60"/>
  <c r="AL149" i="60"/>
  <c r="AL159" i="60"/>
  <c r="AL151" i="60"/>
  <c r="AL133" i="60"/>
  <c r="AL134" i="60"/>
  <c r="AL135" i="60"/>
  <c r="AP140" i="60"/>
  <c r="AP131" i="60"/>
  <c r="AP153" i="60"/>
  <c r="AP135" i="60"/>
  <c r="AP123" i="60"/>
  <c r="AP122" i="60"/>
  <c r="AP134" i="60"/>
  <c r="AP156" i="60"/>
  <c r="AP136" i="60"/>
  <c r="AD140" i="60"/>
  <c r="AD126" i="60"/>
  <c r="AD135" i="60"/>
  <c r="AD125" i="60"/>
  <c r="AD133" i="60"/>
  <c r="AD144" i="60"/>
  <c r="AD158" i="60"/>
  <c r="AD138" i="60"/>
  <c r="AL130" i="60"/>
  <c r="AL153" i="60"/>
  <c r="AL142" i="60"/>
  <c r="AL162" i="60"/>
  <c r="AL161" i="60"/>
  <c r="AD201" i="60" l="1"/>
  <c r="AP91" i="60"/>
  <c r="AL91" i="60"/>
  <c r="AL201" i="60"/>
  <c r="AP406" i="60"/>
  <c r="AP202" i="60" s="1"/>
  <c r="AD91" i="60"/>
  <c r="AD406" i="60"/>
  <c r="AD202" i="60" s="1"/>
  <c r="AL406" i="60"/>
  <c r="AL202" i="60" s="1"/>
  <c r="AP201" i="60"/>
  <c r="AH151" i="60"/>
  <c r="AH137" i="60"/>
  <c r="AH147" i="60"/>
  <c r="AH153" i="60"/>
  <c r="AH128" i="60"/>
  <c r="AH142" i="60"/>
  <c r="AH144" i="60"/>
  <c r="AH143" i="60"/>
  <c r="AH135" i="60"/>
  <c r="AH121" i="60"/>
  <c r="AH141" i="60"/>
  <c r="AH149" i="60"/>
  <c r="AH132" i="60"/>
  <c r="AD90" i="60"/>
  <c r="AD198" i="60"/>
  <c r="AH165" i="60"/>
  <c r="AH148" i="60"/>
  <c r="AH127" i="60"/>
  <c r="AH161" i="60"/>
  <c r="AH120" i="60"/>
  <c r="AD154" i="60"/>
  <c r="AD89" i="60"/>
  <c r="AD88" i="60" s="1"/>
  <c r="AD200" i="60"/>
  <c r="AH139" i="60"/>
  <c r="AH162" i="60"/>
  <c r="AH160" i="60"/>
  <c r="AH152" i="60"/>
  <c r="AH134" i="60"/>
  <c r="AP200" i="60"/>
  <c r="AP401" i="60"/>
  <c r="AP92" i="60" s="1"/>
  <c r="AL90" i="60"/>
  <c r="AH140" i="60"/>
  <c r="AH123" i="60"/>
  <c r="AH164" i="60"/>
  <c r="AH131" i="60"/>
  <c r="AH163" i="60"/>
  <c r="AH124" i="60"/>
  <c r="AP90" i="60"/>
  <c r="AP198" i="60"/>
  <c r="AL200" i="60"/>
  <c r="AH133" i="60"/>
  <c r="AH118" i="60"/>
  <c r="AH150" i="60"/>
  <c r="AH136" i="60"/>
  <c r="AH157" i="60"/>
  <c r="AH122" i="60"/>
  <c r="AL154" i="60"/>
  <c r="AL89" i="60"/>
  <c r="AL88" i="60" s="1"/>
  <c r="AH155" i="60"/>
  <c r="AH158" i="60"/>
  <c r="AH159" i="60"/>
  <c r="AH156" i="60"/>
  <c r="AH130" i="60"/>
  <c r="AH126" i="60"/>
  <c r="AH119" i="60"/>
  <c r="AP154" i="60"/>
  <c r="AP89" i="60"/>
  <c r="AP88" i="60" s="1"/>
  <c r="AL401" i="60"/>
  <c r="AL92" i="60" s="1"/>
  <c r="AD401" i="60"/>
  <c r="AD92" i="60" s="1"/>
  <c r="AH125" i="60"/>
  <c r="AH129" i="60"/>
  <c r="AH146" i="60"/>
  <c r="AH138" i="60"/>
  <c r="AL198" i="60"/>
  <c r="AL227" i="60" l="1"/>
  <c r="AP227" i="60"/>
  <c r="AP116" i="60"/>
  <c r="AH91" i="60"/>
  <c r="AH201" i="60"/>
  <c r="AH200" i="60"/>
  <c r="AD227" i="60"/>
  <c r="AT119" i="60"/>
  <c r="AT139" i="60"/>
  <c r="AT155" i="60"/>
  <c r="AT140" i="60"/>
  <c r="AT144" i="60"/>
  <c r="AT120" i="60"/>
  <c r="AT158" i="60"/>
  <c r="AH90" i="60"/>
  <c r="AH198" i="60"/>
  <c r="AT143" i="60"/>
  <c r="AT146" i="60"/>
  <c r="AT150" i="60"/>
  <c r="AD116" i="60"/>
  <c r="AT137" i="60"/>
  <c r="AT132" i="60"/>
  <c r="AT141" i="60"/>
  <c r="AT123" i="60"/>
  <c r="AT163" i="60"/>
  <c r="AT148" i="60"/>
  <c r="AT156" i="60"/>
  <c r="AH406" i="60"/>
  <c r="AH202" i="60" s="1"/>
  <c r="AH401" i="60"/>
  <c r="AH92" i="60" s="1"/>
  <c r="AT164" i="60"/>
  <c r="AT159" i="60"/>
  <c r="AT157" i="60"/>
  <c r="AL116" i="60"/>
  <c r="AT405" i="60"/>
  <c r="AT404" i="60"/>
  <c r="AT403" i="60"/>
  <c r="AT402" i="60"/>
  <c r="AT372" i="60"/>
  <c r="AT371" i="60"/>
  <c r="AT370" i="60"/>
  <c r="AT348" i="60"/>
  <c r="AT169" i="60"/>
  <c r="AT177" i="60"/>
  <c r="AT145" i="60"/>
  <c r="AT167" i="60"/>
  <c r="AT168" i="60"/>
  <c r="AT59" i="60"/>
  <c r="AT67" i="60"/>
  <c r="AT57" i="60"/>
  <c r="AT58" i="60"/>
  <c r="AT35" i="60"/>
  <c r="AH154" i="60"/>
  <c r="AH89" i="60"/>
  <c r="AH88" i="60" s="1"/>
  <c r="AT121" i="60"/>
  <c r="AT138" i="60"/>
  <c r="AT130" i="60"/>
  <c r="AT131" i="60"/>
  <c r="AT165" i="60"/>
  <c r="AT151" i="60"/>
  <c r="AT124" i="60"/>
  <c r="AT142" i="60"/>
  <c r="AT118" i="60"/>
  <c r="AT161" i="60"/>
  <c r="AT136" i="60"/>
  <c r="AT152" i="60"/>
  <c r="AT153" i="60"/>
  <c r="AT134" i="60"/>
  <c r="AT129" i="60"/>
  <c r="AT149" i="60"/>
  <c r="AT125" i="60"/>
  <c r="AT162" i="60"/>
  <c r="AT133" i="60"/>
  <c r="AT127" i="60"/>
  <c r="AT128" i="60"/>
  <c r="AT126" i="60"/>
  <c r="AT147" i="60"/>
  <c r="AT122" i="60"/>
  <c r="AT135" i="60"/>
  <c r="AT160" i="60"/>
  <c r="AT201" i="60" l="1"/>
  <c r="AT90" i="60"/>
  <c r="AX153" i="60"/>
  <c r="AX128" i="60"/>
  <c r="AX124" i="60"/>
  <c r="AX143" i="60"/>
  <c r="AX155" i="60"/>
  <c r="AX137" i="60"/>
  <c r="AH116" i="60"/>
  <c r="AT200" i="60"/>
  <c r="AX131" i="60"/>
  <c r="AX125" i="60"/>
  <c r="AX164" i="60"/>
  <c r="AX132" i="60"/>
  <c r="AX163" i="60"/>
  <c r="AX147" i="60"/>
  <c r="AX133" i="60"/>
  <c r="AT198" i="60"/>
  <c r="AX159" i="60"/>
  <c r="AX120" i="60"/>
  <c r="AX119" i="60"/>
  <c r="AX122" i="60"/>
  <c r="AX138" i="60"/>
  <c r="AX162" i="60"/>
  <c r="AX144" i="60"/>
  <c r="AX165" i="60"/>
  <c r="AX141" i="60"/>
  <c r="AX123" i="60"/>
  <c r="AX135" i="60"/>
  <c r="AX129" i="60"/>
  <c r="AX134" i="60"/>
  <c r="AX127" i="60"/>
  <c r="AX142" i="60"/>
  <c r="AX149" i="60"/>
  <c r="AH227" i="60"/>
  <c r="AX126" i="60"/>
  <c r="AX161" i="60"/>
  <c r="AX146" i="60"/>
  <c r="AX160" i="60"/>
  <c r="AX118" i="60"/>
  <c r="AX136" i="60"/>
  <c r="AX158" i="60"/>
  <c r="AX150" i="60"/>
  <c r="AX140" i="60"/>
  <c r="AX148" i="60"/>
  <c r="AX139" i="60"/>
  <c r="AT406" i="60"/>
  <c r="AT202" i="60" s="1"/>
  <c r="AT401" i="60"/>
  <c r="AT92" i="60" s="1"/>
  <c r="AT91" i="60"/>
  <c r="AX405" i="60"/>
  <c r="AX404" i="60"/>
  <c r="AX403" i="60"/>
  <c r="AX402" i="60"/>
  <c r="AX372" i="60"/>
  <c r="AX370" i="60"/>
  <c r="AX371" i="60"/>
  <c r="AX348" i="60"/>
  <c r="AX169" i="60"/>
  <c r="AX168" i="60"/>
  <c r="AX167" i="60"/>
  <c r="AX177" i="60"/>
  <c r="AX145" i="60"/>
  <c r="AX59" i="60"/>
  <c r="AX58" i="60"/>
  <c r="AX57" i="60"/>
  <c r="AX67" i="60"/>
  <c r="AX35" i="60"/>
  <c r="AX152" i="60"/>
  <c r="AX121" i="60"/>
  <c r="AX156" i="60"/>
  <c r="AX130" i="60"/>
  <c r="AX157" i="60"/>
  <c r="AX151" i="60"/>
  <c r="AT154" i="60"/>
  <c r="AT89" i="60"/>
  <c r="AT88" i="60" s="1"/>
  <c r="AT116" i="60" l="1"/>
  <c r="AX406" i="60"/>
  <c r="AX202" i="60" s="1"/>
  <c r="AX91" i="60"/>
  <c r="AT227" i="60"/>
  <c r="AX401" i="60"/>
  <c r="AX92" i="60" s="1"/>
  <c r="AX200" i="60"/>
  <c r="AX90" i="60"/>
  <c r="AX201" i="60"/>
  <c r="AX154" i="60"/>
  <c r="AX89" i="60"/>
  <c r="AX88" i="60" s="1"/>
  <c r="AX198" i="60"/>
  <c r="AX227" i="60" l="1"/>
  <c r="BB162" i="60"/>
  <c r="BB155" i="60"/>
  <c r="BB119" i="60"/>
  <c r="BB152" i="60"/>
  <c r="BB123" i="60"/>
  <c r="BB153" i="60"/>
  <c r="BB161" i="60"/>
  <c r="BB127" i="60"/>
  <c r="BB134" i="60"/>
  <c r="BB124" i="60"/>
  <c r="BB142" i="60"/>
  <c r="BB157" i="60"/>
  <c r="BB148" i="60"/>
  <c r="BB132" i="60"/>
  <c r="BB137" i="60"/>
  <c r="BB130" i="60"/>
  <c r="BB163" i="60"/>
  <c r="BB133" i="60"/>
  <c r="BB156" i="60"/>
  <c r="BB159" i="60"/>
  <c r="BB150" i="60"/>
  <c r="BB144" i="60"/>
  <c r="BB158" i="60"/>
  <c r="BB138" i="60"/>
  <c r="BB143" i="60"/>
  <c r="BB146" i="60"/>
  <c r="BB131" i="60"/>
  <c r="BB151" i="60"/>
  <c r="BB128" i="60"/>
  <c r="BB160" i="60"/>
  <c r="BB149" i="60"/>
  <c r="BB135" i="60"/>
  <c r="BB140" i="60"/>
  <c r="BB129" i="60"/>
  <c r="BB164" i="60"/>
  <c r="BB141" i="60"/>
  <c r="BB165" i="60"/>
  <c r="BB126" i="60"/>
  <c r="BB121" i="60"/>
  <c r="BB125" i="60"/>
  <c r="BB147" i="60"/>
  <c r="BB120" i="60"/>
  <c r="AX116" i="60"/>
  <c r="BB405" i="60"/>
  <c r="BB404" i="60"/>
  <c r="BB403" i="60"/>
  <c r="BB402" i="60"/>
  <c r="BB372" i="60"/>
  <c r="BB371" i="60"/>
  <c r="BB370" i="60"/>
  <c r="BB348" i="60"/>
  <c r="BB169" i="60"/>
  <c r="BB177" i="60"/>
  <c r="BB145" i="60"/>
  <c r="BB168" i="60"/>
  <c r="BB167" i="60"/>
  <c r="BB59" i="60"/>
  <c r="BB67" i="60"/>
  <c r="BB57" i="60"/>
  <c r="BB58" i="60"/>
  <c r="BB35" i="60"/>
  <c r="BB136" i="60"/>
  <c r="BB122" i="60"/>
  <c r="BB139" i="60"/>
  <c r="BB118" i="60"/>
  <c r="BB201" i="60" l="1"/>
  <c r="BB406" i="60"/>
  <c r="BB202" i="60" s="1"/>
  <c r="BF161" i="60"/>
  <c r="BB90" i="60"/>
  <c r="BF157" i="60"/>
  <c r="BF159" i="60"/>
  <c r="BF150" i="60"/>
  <c r="BF119" i="60"/>
  <c r="BF137" i="60"/>
  <c r="BF162" i="60"/>
  <c r="BF141" i="60"/>
  <c r="BB198" i="60"/>
  <c r="BF156" i="60"/>
  <c r="BF121" i="60"/>
  <c r="BF128" i="60"/>
  <c r="BB200" i="60"/>
  <c r="BF143" i="60"/>
  <c r="BF142" i="60"/>
  <c r="BF139" i="60"/>
  <c r="BF146" i="60"/>
  <c r="BF160" i="60"/>
  <c r="BF163" i="60"/>
  <c r="BF120" i="60"/>
  <c r="BB91" i="60"/>
  <c r="BF405" i="60"/>
  <c r="BF404" i="60"/>
  <c r="BF403" i="60"/>
  <c r="BF402" i="60"/>
  <c r="BF372" i="60"/>
  <c r="BF370" i="60"/>
  <c r="BF371" i="60"/>
  <c r="BF348" i="60"/>
  <c r="BF169" i="60"/>
  <c r="BF168" i="60"/>
  <c r="BF167" i="60"/>
  <c r="BF177" i="60"/>
  <c r="BF145" i="60"/>
  <c r="BF59" i="60"/>
  <c r="BF58" i="60"/>
  <c r="BF57" i="60"/>
  <c r="BF67" i="60"/>
  <c r="BF35" i="60"/>
  <c r="BF136" i="60"/>
  <c r="BF127" i="60"/>
  <c r="BF133" i="60"/>
  <c r="BF140" i="60"/>
  <c r="BF132" i="60"/>
  <c r="BF131" i="60"/>
  <c r="BF125" i="60"/>
  <c r="BF122" i="60"/>
  <c r="BF153" i="60"/>
  <c r="BF152" i="60"/>
  <c r="BF147" i="60"/>
  <c r="BN405" i="60"/>
  <c r="BN404" i="60"/>
  <c r="BN403" i="60"/>
  <c r="BN402" i="60"/>
  <c r="BN372" i="60"/>
  <c r="BN370" i="60"/>
  <c r="BN371" i="60"/>
  <c r="BN348" i="60"/>
  <c r="BN169" i="60"/>
  <c r="BN168" i="60"/>
  <c r="BN167" i="60"/>
  <c r="BN177" i="60"/>
  <c r="BN145" i="60"/>
  <c r="BN59" i="60"/>
  <c r="BN58" i="60"/>
  <c r="BN57" i="60"/>
  <c r="BN67" i="60"/>
  <c r="BN35" i="60"/>
  <c r="BF134" i="60"/>
  <c r="BF126" i="60"/>
  <c r="BF129" i="60"/>
  <c r="BF123" i="60"/>
  <c r="BF118" i="60"/>
  <c r="BF144" i="60"/>
  <c r="BF155" i="60"/>
  <c r="BB154" i="60"/>
  <c r="BB89" i="60"/>
  <c r="BB88" i="60" s="1"/>
  <c r="BF164" i="60"/>
  <c r="BF149" i="60"/>
  <c r="BF165" i="60"/>
  <c r="BF130" i="60"/>
  <c r="BB401" i="60"/>
  <c r="BB92" i="60" s="1"/>
  <c r="BF138" i="60"/>
  <c r="BF124" i="60"/>
  <c r="BF148" i="60"/>
  <c r="BF158" i="60"/>
  <c r="BF151" i="60"/>
  <c r="BF135" i="60"/>
  <c r="BF90" i="60" l="1"/>
  <c r="BF198" i="60"/>
  <c r="BF406" i="60"/>
  <c r="BF202" i="60" s="1"/>
  <c r="BN132" i="60"/>
  <c r="BN124" i="60"/>
  <c r="BN148" i="60"/>
  <c r="BN162" i="60"/>
  <c r="BJ122" i="60"/>
  <c r="BJ161" i="60"/>
  <c r="BJ143" i="60"/>
  <c r="BJ159" i="60"/>
  <c r="BJ119" i="60"/>
  <c r="BN119" i="60"/>
  <c r="BN140" i="60"/>
  <c r="BN133" i="60"/>
  <c r="BN131" i="60"/>
  <c r="BN164" i="60"/>
  <c r="BN123" i="60"/>
  <c r="BN137" i="60"/>
  <c r="BJ134" i="60"/>
  <c r="BJ158" i="60"/>
  <c r="BJ160" i="60"/>
  <c r="BJ123" i="60"/>
  <c r="BN153" i="60"/>
  <c r="BN125" i="60"/>
  <c r="BN152" i="60"/>
  <c r="BN130" i="60"/>
  <c r="BN146" i="60"/>
  <c r="BN129" i="60"/>
  <c r="BN159" i="60"/>
  <c r="BJ133" i="60"/>
  <c r="BJ163" i="60"/>
  <c r="BJ142" i="60"/>
  <c r="BJ146" i="60"/>
  <c r="BJ153" i="60"/>
  <c r="BF91" i="60"/>
  <c r="BN141" i="60"/>
  <c r="BN155" i="60"/>
  <c r="BN118" i="60"/>
  <c r="BN149" i="60"/>
  <c r="BN134" i="60"/>
  <c r="BN128" i="60"/>
  <c r="BN143" i="60"/>
  <c r="BN144" i="60"/>
  <c r="BN127" i="60"/>
  <c r="BJ136" i="60"/>
  <c r="BJ130" i="60"/>
  <c r="BJ120" i="60"/>
  <c r="BJ132" i="60"/>
  <c r="BF401" i="60"/>
  <c r="BF92" i="60" s="1"/>
  <c r="BN139" i="60"/>
  <c r="BN120" i="60"/>
  <c r="BN158" i="60"/>
  <c r="BN126" i="60"/>
  <c r="BN122" i="60"/>
  <c r="BN136" i="60"/>
  <c r="BN142" i="60"/>
  <c r="BN157" i="60"/>
  <c r="BJ141" i="60"/>
  <c r="BJ156" i="60"/>
  <c r="BJ135" i="60"/>
  <c r="BN135" i="60"/>
  <c r="BN150" i="60"/>
  <c r="BJ164" i="60"/>
  <c r="BJ149" i="60"/>
  <c r="BJ150" i="60"/>
  <c r="BJ157" i="60"/>
  <c r="BJ137" i="60"/>
  <c r="BJ127" i="60"/>
  <c r="BJ129" i="60"/>
  <c r="BJ126" i="60"/>
  <c r="BJ147" i="60"/>
  <c r="BF154" i="60"/>
  <c r="BF89" i="60"/>
  <c r="BF88" i="60" s="1"/>
  <c r="BB116" i="60"/>
  <c r="BJ405" i="60"/>
  <c r="BJ404" i="60"/>
  <c r="BJ403" i="60"/>
  <c r="BJ402" i="60"/>
  <c r="BJ372" i="60"/>
  <c r="BJ371" i="60"/>
  <c r="BJ370" i="60"/>
  <c r="BJ348" i="60"/>
  <c r="BJ169" i="60"/>
  <c r="BJ177" i="60"/>
  <c r="BJ145" i="60"/>
  <c r="BJ167" i="60"/>
  <c r="BJ168" i="60"/>
  <c r="BJ59" i="60"/>
  <c r="BJ67" i="60"/>
  <c r="BJ58" i="60"/>
  <c r="BJ57" i="60"/>
  <c r="BJ35" i="60"/>
  <c r="BB227" i="60"/>
  <c r="BN151" i="60"/>
  <c r="BN160" i="60"/>
  <c r="BJ151" i="60"/>
  <c r="BJ118" i="60"/>
  <c r="BJ131" i="60"/>
  <c r="BJ144" i="60"/>
  <c r="BJ155" i="60"/>
  <c r="BJ139" i="60"/>
  <c r="BJ148" i="60"/>
  <c r="BN147" i="60"/>
  <c r="BN121" i="60"/>
  <c r="BN161" i="60"/>
  <c r="BN165" i="60"/>
  <c r="BN156" i="60"/>
  <c r="BN138" i="60"/>
  <c r="BN163" i="60"/>
  <c r="BJ125" i="60"/>
  <c r="BJ121" i="60"/>
  <c r="BJ138" i="60"/>
  <c r="BJ152" i="60"/>
  <c r="BJ124" i="60"/>
  <c r="BJ162" i="60"/>
  <c r="BJ128" i="60"/>
  <c r="BJ140" i="60"/>
  <c r="BJ165" i="60"/>
  <c r="BF200" i="60"/>
  <c r="BF201" i="60"/>
  <c r="BN91" i="60" l="1"/>
  <c r="BF116" i="60"/>
  <c r="BN201" i="60"/>
  <c r="V118" i="60"/>
  <c r="BJ401" i="60"/>
  <c r="BJ92" i="60" s="1"/>
  <c r="BF227" i="60"/>
  <c r="BN406" i="60"/>
  <c r="BN202" i="60" s="1"/>
  <c r="V127" i="60"/>
  <c r="V156" i="60"/>
  <c r="V137" i="60"/>
  <c r="V132" i="60"/>
  <c r="V121" i="60"/>
  <c r="V138" i="60"/>
  <c r="BJ406" i="60"/>
  <c r="BJ202" i="60" s="1"/>
  <c r="BN200" i="60"/>
  <c r="BN401" i="60"/>
  <c r="BN92" i="60" s="1"/>
  <c r="V128" i="60"/>
  <c r="V141" i="60"/>
  <c r="V161" i="60"/>
  <c r="V146" i="60"/>
  <c r="V163" i="60"/>
  <c r="V147" i="60"/>
  <c r="V124" i="60"/>
  <c r="V131" i="60"/>
  <c r="BJ90" i="60"/>
  <c r="V134" i="60"/>
  <c r="V157" i="60"/>
  <c r="V140" i="60"/>
  <c r="V139" i="60"/>
  <c r="V160" i="60"/>
  <c r="V148" i="60"/>
  <c r="V152" i="60"/>
  <c r="V143" i="60"/>
  <c r="V162" i="60"/>
  <c r="V164" i="60"/>
  <c r="BJ198" i="60"/>
  <c r="BJ201" i="60"/>
  <c r="BJ200" i="60"/>
  <c r="V142" i="60"/>
  <c r="V136" i="60"/>
  <c r="V155" i="60"/>
  <c r="V150" i="60"/>
  <c r="V151" i="60"/>
  <c r="V123" i="60"/>
  <c r="V153" i="60"/>
  <c r="V135" i="60"/>
  <c r="V144" i="60"/>
  <c r="V130" i="60"/>
  <c r="V122" i="60"/>
  <c r="BJ154" i="60"/>
  <c r="BJ89" i="60"/>
  <c r="BJ88" i="60" s="1"/>
  <c r="BN89" i="60"/>
  <c r="BN88" i="60" s="1"/>
  <c r="BN154" i="60"/>
  <c r="BJ91" i="60"/>
  <c r="V119" i="60"/>
  <c r="V120" i="60"/>
  <c r="V125" i="60"/>
  <c r="V149" i="60"/>
  <c r="V129" i="60"/>
  <c r="V165" i="60"/>
  <c r="V159" i="60"/>
  <c r="V158" i="60"/>
  <c r="V133" i="60"/>
  <c r="BN198" i="60"/>
  <c r="V126" i="60"/>
  <c r="BN90" i="60"/>
  <c r="BN227" i="60" l="1"/>
  <c r="V90" i="60"/>
  <c r="V115" i="60" s="1"/>
  <c r="N118" i="60"/>
  <c r="BJ116" i="60"/>
  <c r="V198" i="60"/>
  <c r="V200" i="60"/>
  <c r="V226" i="60" s="1"/>
  <c r="V406" i="60"/>
  <c r="V202" i="60" s="1"/>
  <c r="N126" i="60"/>
  <c r="N152" i="60"/>
  <c r="N156" i="60"/>
  <c r="N140" i="60"/>
  <c r="N142" i="60"/>
  <c r="N124" i="60"/>
  <c r="N136" i="60"/>
  <c r="N162" i="60"/>
  <c r="N155" i="60"/>
  <c r="BN116" i="60"/>
  <c r="V91" i="60"/>
  <c r="V114" i="60" s="1"/>
  <c r="N141" i="60"/>
  <c r="N129" i="60"/>
  <c r="N153" i="60"/>
  <c r="N121" i="60"/>
  <c r="N133" i="60"/>
  <c r="N132" i="60"/>
  <c r="N119" i="60"/>
  <c r="N165" i="60"/>
  <c r="N161" i="60"/>
  <c r="BJ227" i="60"/>
  <c r="V201" i="60"/>
  <c r="V225" i="60" s="1"/>
  <c r="N139" i="60"/>
  <c r="N120" i="60"/>
  <c r="N138" i="60"/>
  <c r="N151" i="60"/>
  <c r="N158" i="60"/>
  <c r="N146" i="60"/>
  <c r="N134" i="60"/>
  <c r="N125" i="60"/>
  <c r="N135" i="60"/>
  <c r="N149" i="60"/>
  <c r="N159" i="60"/>
  <c r="V401" i="60"/>
  <c r="V92" i="60" s="1"/>
  <c r="N137" i="60"/>
  <c r="N143" i="60"/>
  <c r="N127" i="60"/>
  <c r="N160" i="60"/>
  <c r="N157" i="60"/>
  <c r="N164" i="60"/>
  <c r="V154" i="60"/>
  <c r="V89" i="60"/>
  <c r="V88" i="60" s="1"/>
  <c r="N144" i="60"/>
  <c r="N122" i="60"/>
  <c r="N131" i="60"/>
  <c r="N150" i="60"/>
  <c r="N163" i="60"/>
  <c r="N128" i="60"/>
  <c r="N130" i="60"/>
  <c r="N123" i="60"/>
  <c r="N147" i="60"/>
  <c r="N148" i="60"/>
  <c r="V116" i="60" l="1"/>
  <c r="HI15" i="54" s="1"/>
  <c r="N198" i="60"/>
  <c r="N90" i="60"/>
  <c r="N115" i="60" s="1"/>
  <c r="N200" i="60"/>
  <c r="N226" i="60" s="1"/>
  <c r="N154" i="60"/>
  <c r="N89" i="60"/>
  <c r="N88" i="60" s="1"/>
  <c r="N406" i="60"/>
  <c r="N202" i="60" s="1"/>
  <c r="N401" i="60"/>
  <c r="N92" i="60" s="1"/>
  <c r="N201" i="60"/>
  <c r="N225" i="60" s="1"/>
  <c r="N91" i="60"/>
  <c r="N114" i="60" s="1"/>
  <c r="V227" i="60"/>
  <c r="N116" i="60" l="1"/>
  <c r="HE15" i="54" s="1"/>
  <c r="N227" i="60"/>
  <c r="AI402" i="60" l="1"/>
  <c r="AI405" i="60"/>
  <c r="AI404" i="60"/>
  <c r="AI403" i="60"/>
  <c r="AI372" i="60"/>
  <c r="AI371" i="60"/>
  <c r="AI370" i="60"/>
  <c r="AI348" i="60"/>
  <c r="AI169" i="60"/>
  <c r="AI168" i="60"/>
  <c r="AI167" i="60"/>
  <c r="AI177" i="60"/>
  <c r="AI145" i="60"/>
  <c r="AI59" i="60"/>
  <c r="AI58" i="60"/>
  <c r="AI67" i="60"/>
  <c r="AI57" i="60"/>
  <c r="AI35" i="60"/>
  <c r="AE405" i="60"/>
  <c r="AE404" i="60"/>
  <c r="AE402" i="60"/>
  <c r="AE403" i="60"/>
  <c r="AE372" i="60"/>
  <c r="AE371" i="60"/>
  <c r="AE370" i="60"/>
  <c r="AE348" i="60"/>
  <c r="AE169" i="60"/>
  <c r="AE168" i="60"/>
  <c r="AE177" i="60"/>
  <c r="AE167" i="60"/>
  <c r="AE145" i="60"/>
  <c r="AE67" i="60"/>
  <c r="AE59" i="60"/>
  <c r="AE57" i="60"/>
  <c r="AE35" i="60"/>
  <c r="AE58" i="60"/>
  <c r="AM402" i="60" l="1"/>
  <c r="AI162" i="60"/>
  <c r="AI160" i="60"/>
  <c r="AI120" i="60"/>
  <c r="AI121" i="60"/>
  <c r="AI155" i="60"/>
  <c r="AE146" i="60"/>
  <c r="AE127" i="60"/>
  <c r="AE164" i="60"/>
  <c r="AE126" i="60"/>
  <c r="AE130" i="60"/>
  <c r="AE148" i="60"/>
  <c r="AE121" i="60"/>
  <c r="AE157" i="60"/>
  <c r="AE118" i="60"/>
  <c r="AE129" i="60"/>
  <c r="AE161" i="60"/>
  <c r="AI152" i="60"/>
  <c r="AI163" i="60"/>
  <c r="AI143" i="60"/>
  <c r="AI129" i="60"/>
  <c r="AI156" i="60"/>
  <c r="AE147" i="60"/>
  <c r="AE160" i="60"/>
  <c r="AE140" i="60"/>
  <c r="AE124" i="60"/>
  <c r="AE131" i="60"/>
  <c r="AI140" i="60"/>
  <c r="AI132" i="60"/>
  <c r="AE165" i="60"/>
  <c r="AE123" i="60"/>
  <c r="AE163" i="60"/>
  <c r="AE125" i="60"/>
  <c r="AI134" i="60"/>
  <c r="AI128" i="60"/>
  <c r="AI126" i="60"/>
  <c r="AI127" i="60"/>
  <c r="AI137" i="60"/>
  <c r="AI133" i="60"/>
  <c r="AI136" i="60"/>
  <c r="AI153" i="60"/>
  <c r="AE119" i="60"/>
  <c r="AE152" i="60"/>
  <c r="AE142" i="60"/>
  <c r="AE141" i="60"/>
  <c r="AE155" i="60"/>
  <c r="AE139" i="60"/>
  <c r="AE162" i="60"/>
  <c r="AI148" i="60"/>
  <c r="AI141" i="60"/>
  <c r="AI138" i="60"/>
  <c r="AI146" i="60"/>
  <c r="AI118" i="60"/>
  <c r="AI144" i="60"/>
  <c r="AI119" i="60"/>
  <c r="AI159" i="60"/>
  <c r="AI122" i="60"/>
  <c r="AI150" i="60"/>
  <c r="AI130" i="60"/>
  <c r="AE120" i="60"/>
  <c r="AE151" i="60"/>
  <c r="AE137" i="60"/>
  <c r="AE135" i="60"/>
  <c r="AE136" i="60"/>
  <c r="AE128" i="60"/>
  <c r="AE133" i="60"/>
  <c r="AE134" i="60"/>
  <c r="AI149" i="60"/>
  <c r="AI139" i="60"/>
  <c r="AI165" i="60"/>
  <c r="AI142" i="60"/>
  <c r="AI124" i="60"/>
  <c r="AI151" i="60"/>
  <c r="AI157" i="60"/>
  <c r="AI125" i="60"/>
  <c r="AE143" i="60"/>
  <c r="AE150" i="60"/>
  <c r="AE159" i="60"/>
  <c r="AE132" i="60"/>
  <c r="AE158" i="60"/>
  <c r="AI164" i="60"/>
  <c r="AE138" i="60"/>
  <c r="AE156" i="60"/>
  <c r="AE122" i="60"/>
  <c r="AI161" i="60"/>
  <c r="AI131" i="60"/>
  <c r="AI147" i="60"/>
  <c r="AI135" i="60"/>
  <c r="AI158" i="60"/>
  <c r="AI123" i="60"/>
  <c r="AE200" i="60"/>
  <c r="AE149" i="60"/>
  <c r="AE144" i="60"/>
  <c r="AE153" i="60"/>
  <c r="AM177" i="60" l="1"/>
  <c r="AM403" i="60"/>
  <c r="AM59" i="60"/>
  <c r="AM168" i="60"/>
  <c r="AM404" i="60"/>
  <c r="AM35" i="60"/>
  <c r="AM169" i="60"/>
  <c r="AM405" i="60"/>
  <c r="AM57" i="60"/>
  <c r="AM348" i="60"/>
  <c r="AM58" i="60"/>
  <c r="AM370" i="60"/>
  <c r="AM67" i="60"/>
  <c r="AM371" i="60"/>
  <c r="AM145" i="60"/>
  <c r="AM372" i="60"/>
  <c r="AM167" i="60"/>
  <c r="AE91" i="60"/>
  <c r="AE90" i="60"/>
  <c r="AI406" i="60"/>
  <c r="AI202" i="60" s="1"/>
  <c r="AE201" i="60"/>
  <c r="AQ370" i="60"/>
  <c r="AI91" i="60"/>
  <c r="AI201" i="60"/>
  <c r="AE406" i="60"/>
  <c r="AE202" i="60" s="1"/>
  <c r="AM125" i="60"/>
  <c r="AI200" i="60"/>
  <c r="AE154" i="60"/>
  <c r="AE89" i="60"/>
  <c r="AE88" i="60" s="1"/>
  <c r="AM137" i="60"/>
  <c r="AM130" i="60"/>
  <c r="AM128" i="60"/>
  <c r="AM150" i="60"/>
  <c r="AM146" i="60"/>
  <c r="AM144" i="60"/>
  <c r="AQ59" i="60"/>
  <c r="AM126" i="60"/>
  <c r="AM157" i="60"/>
  <c r="AM129" i="60"/>
  <c r="AM153" i="60"/>
  <c r="AM135" i="60"/>
  <c r="AM152" i="60"/>
  <c r="AM159" i="60"/>
  <c r="AM139" i="60"/>
  <c r="AM158" i="60"/>
  <c r="AM148" i="60"/>
  <c r="AM123" i="60"/>
  <c r="AM120" i="60"/>
  <c r="AM134" i="60"/>
  <c r="AI198" i="60"/>
  <c r="AE198" i="60"/>
  <c r="AM140" i="60"/>
  <c r="AM141" i="60"/>
  <c r="AM136" i="60"/>
  <c r="AE401" i="60"/>
  <c r="AE92" i="60" s="1"/>
  <c r="AM149" i="60"/>
  <c r="AM142" i="60"/>
  <c r="AM118" i="60"/>
  <c r="AM119" i="60"/>
  <c r="AM162" i="60"/>
  <c r="AM143" i="60"/>
  <c r="AM124" i="60"/>
  <c r="AI154" i="60"/>
  <c r="AI89" i="60"/>
  <c r="AI88" i="60" s="1"/>
  <c r="AM163" i="60"/>
  <c r="AM127" i="60"/>
  <c r="AM122" i="60"/>
  <c r="AM132" i="60"/>
  <c r="AM164" i="60"/>
  <c r="AM151" i="60"/>
  <c r="AM138" i="60"/>
  <c r="AM147" i="60"/>
  <c r="AI401" i="60"/>
  <c r="AI92" i="60" s="1"/>
  <c r="AM121" i="60"/>
  <c r="AM155" i="60"/>
  <c r="AM156" i="60"/>
  <c r="AM161" i="60"/>
  <c r="AM165" i="60"/>
  <c r="AM133" i="60"/>
  <c r="AM131" i="60"/>
  <c r="AM160" i="60"/>
  <c r="AI90" i="60"/>
  <c r="AQ371" i="60" l="1"/>
  <c r="AM201" i="60"/>
  <c r="AQ145" i="60"/>
  <c r="AQ372" i="60"/>
  <c r="AQ177" i="60"/>
  <c r="AQ402" i="60"/>
  <c r="AQ167" i="60"/>
  <c r="AQ403" i="60"/>
  <c r="AQ35" i="60"/>
  <c r="AQ168" i="60"/>
  <c r="AQ404" i="60"/>
  <c r="AQ57" i="60"/>
  <c r="AQ169" i="60"/>
  <c r="AQ405" i="60"/>
  <c r="AQ67" i="60"/>
  <c r="AQ348" i="60"/>
  <c r="AQ58" i="60"/>
  <c r="AE227" i="60"/>
  <c r="AI227" i="60"/>
  <c r="AU403" i="60"/>
  <c r="AM406" i="60"/>
  <c r="AM202" i="60" s="1"/>
  <c r="AM91" i="60"/>
  <c r="AQ153" i="60"/>
  <c r="AQ136" i="60"/>
  <c r="AQ139" i="60"/>
  <c r="AQ149" i="60"/>
  <c r="AQ125" i="60"/>
  <c r="AQ163" i="60"/>
  <c r="AQ131" i="60"/>
  <c r="AQ127" i="60"/>
  <c r="AQ155" i="60"/>
  <c r="AM154" i="60"/>
  <c r="AM89" i="60"/>
  <c r="AM88" i="60" s="1"/>
  <c r="AE116" i="60"/>
  <c r="AQ134" i="60"/>
  <c r="AQ159" i="60"/>
  <c r="AQ128" i="60"/>
  <c r="AQ160" i="60"/>
  <c r="AQ140" i="60"/>
  <c r="AQ121" i="60"/>
  <c r="AU405" i="60"/>
  <c r="AQ126" i="60"/>
  <c r="AQ161" i="60"/>
  <c r="AQ135" i="60"/>
  <c r="AQ133" i="60"/>
  <c r="AQ144" i="60"/>
  <c r="AQ120" i="60"/>
  <c r="AQ158" i="60"/>
  <c r="AQ151" i="60"/>
  <c r="AQ138" i="60"/>
  <c r="AQ137" i="60"/>
  <c r="AQ124" i="60"/>
  <c r="AQ130" i="60"/>
  <c r="AI116" i="60"/>
  <c r="AQ152" i="60"/>
  <c r="AQ165" i="60"/>
  <c r="AQ142" i="60"/>
  <c r="AQ143" i="60"/>
  <c r="AM200" i="60"/>
  <c r="AQ162" i="60"/>
  <c r="AQ122" i="60"/>
  <c r="AQ123" i="60"/>
  <c r="AQ164" i="60"/>
  <c r="AQ157" i="60"/>
  <c r="AM90" i="60"/>
  <c r="AM401" i="60"/>
  <c r="AM92" i="60" s="1"/>
  <c r="AQ148" i="60"/>
  <c r="AQ119" i="60"/>
  <c r="AQ129" i="60"/>
  <c r="AQ156" i="60"/>
  <c r="AQ118" i="60"/>
  <c r="AQ132" i="60"/>
  <c r="AQ150" i="60"/>
  <c r="AQ146" i="60"/>
  <c r="AQ147" i="60"/>
  <c r="AQ141" i="60"/>
  <c r="AM198" i="60"/>
  <c r="AU59" i="60" l="1"/>
  <c r="AU169" i="60"/>
  <c r="AU35" i="60"/>
  <c r="AU168" i="60"/>
  <c r="AU404" i="60"/>
  <c r="AU58" i="60"/>
  <c r="AU348" i="60"/>
  <c r="AU57" i="60"/>
  <c r="AU370" i="60"/>
  <c r="AU67" i="60"/>
  <c r="AU371" i="60"/>
  <c r="AU145" i="60"/>
  <c r="AU372" i="60"/>
  <c r="AU167" i="60"/>
  <c r="AU402" i="60"/>
  <c r="AU177" i="60"/>
  <c r="AM227" i="60"/>
  <c r="AQ91" i="60"/>
  <c r="AQ406" i="60"/>
  <c r="AQ202" i="60" s="1"/>
  <c r="AQ201" i="60"/>
  <c r="AQ401" i="60"/>
  <c r="AQ92" i="60" s="1"/>
  <c r="AU156" i="60"/>
  <c r="AU157" i="60"/>
  <c r="AU159" i="60"/>
  <c r="AU158" i="60"/>
  <c r="AU148" i="60"/>
  <c r="AU140" i="60"/>
  <c r="AU136" i="60"/>
  <c r="AU137" i="60"/>
  <c r="AU151" i="60"/>
  <c r="AU163" i="60"/>
  <c r="AU123" i="60"/>
  <c r="AU135" i="60"/>
  <c r="AU150" i="60"/>
  <c r="AU119" i="60"/>
  <c r="AU161" i="60"/>
  <c r="AU146" i="60"/>
  <c r="AU131" i="60"/>
  <c r="AU125" i="60"/>
  <c r="AU130" i="60"/>
  <c r="AU124" i="60"/>
  <c r="AU139" i="60"/>
  <c r="AU141" i="60"/>
  <c r="AU134" i="60"/>
  <c r="AU160" i="60"/>
  <c r="AU164" i="60"/>
  <c r="AU155" i="60"/>
  <c r="AU162" i="60"/>
  <c r="AU144" i="60"/>
  <c r="AU138" i="60"/>
  <c r="AU165" i="60"/>
  <c r="AQ154" i="60"/>
  <c r="AQ89" i="60"/>
  <c r="AQ88" i="60" s="1"/>
  <c r="AU147" i="60"/>
  <c r="AU120" i="60"/>
  <c r="AU129" i="60"/>
  <c r="AU142" i="60"/>
  <c r="AM116" i="60"/>
  <c r="AU149" i="60"/>
  <c r="AU121" i="60"/>
  <c r="AU132" i="60"/>
  <c r="AU143" i="60"/>
  <c r="AU126" i="60"/>
  <c r="AU153" i="60"/>
  <c r="AU128" i="60"/>
  <c r="AU127" i="60"/>
  <c r="AU122" i="60"/>
  <c r="AQ90" i="60"/>
  <c r="AU118" i="60"/>
  <c r="AU152" i="60"/>
  <c r="AU133" i="60"/>
  <c r="AQ198" i="60"/>
  <c r="AQ200" i="60"/>
  <c r="AU201" i="60" l="1"/>
  <c r="AQ227" i="60"/>
  <c r="BC370" i="60"/>
  <c r="AU198" i="60"/>
  <c r="AU406" i="60"/>
  <c r="AU202" i="60" s="1"/>
  <c r="AU91" i="60"/>
  <c r="AY158" i="60"/>
  <c r="AY152" i="60"/>
  <c r="AY120" i="60"/>
  <c r="AY164" i="60"/>
  <c r="AY137" i="60"/>
  <c r="AY128" i="60"/>
  <c r="AY149" i="60"/>
  <c r="AY126" i="60"/>
  <c r="BC402" i="60"/>
  <c r="BC372" i="60"/>
  <c r="BC167" i="60"/>
  <c r="BC145" i="60"/>
  <c r="AY148" i="60"/>
  <c r="AY150" i="60"/>
  <c r="AY156" i="60"/>
  <c r="AY157" i="60"/>
  <c r="AU90" i="60"/>
  <c r="AY163" i="60"/>
  <c r="AY130" i="60"/>
  <c r="AU200" i="60"/>
  <c r="AY129" i="60"/>
  <c r="AY143" i="60"/>
  <c r="AY159" i="60"/>
  <c r="AY138" i="60"/>
  <c r="AY160" i="60"/>
  <c r="AY151" i="60"/>
  <c r="AY405" i="60"/>
  <c r="AY404" i="60"/>
  <c r="AY403" i="60"/>
  <c r="AY402" i="60"/>
  <c r="AY372" i="60"/>
  <c r="AY371" i="60"/>
  <c r="AY370" i="60"/>
  <c r="AY348" i="60"/>
  <c r="AY169" i="60"/>
  <c r="AY168" i="60"/>
  <c r="AY167" i="60"/>
  <c r="AY177" i="60"/>
  <c r="AY145" i="60"/>
  <c r="AY59" i="60"/>
  <c r="AY58" i="60"/>
  <c r="AY67" i="60"/>
  <c r="AY57" i="60"/>
  <c r="AY35" i="60"/>
  <c r="AY141" i="60"/>
  <c r="AY122" i="60"/>
  <c r="AY125" i="60"/>
  <c r="AY133" i="60"/>
  <c r="AY121" i="60"/>
  <c r="AY144" i="60"/>
  <c r="AY155" i="60"/>
  <c r="AY135" i="60"/>
  <c r="AY140" i="60"/>
  <c r="AY161" i="60"/>
  <c r="AQ116" i="60"/>
  <c r="AY134" i="60"/>
  <c r="AY131" i="60"/>
  <c r="AY142" i="60"/>
  <c r="AY162" i="60"/>
  <c r="AY147" i="60"/>
  <c r="AU154" i="60"/>
  <c r="AU89" i="60"/>
  <c r="AU88" i="60" s="1"/>
  <c r="AY146" i="60"/>
  <c r="AY118" i="60"/>
  <c r="AY132" i="60"/>
  <c r="AY123" i="60"/>
  <c r="AY165" i="60"/>
  <c r="AY153" i="60"/>
  <c r="AU401" i="60"/>
  <c r="AU92" i="60" s="1"/>
  <c r="AY136" i="60"/>
  <c r="AY139" i="60"/>
  <c r="AY124" i="60"/>
  <c r="AY127" i="60"/>
  <c r="AY119" i="60"/>
  <c r="BC67" i="60" l="1"/>
  <c r="BC371" i="60"/>
  <c r="BC177" i="60"/>
  <c r="BC403" i="60"/>
  <c r="BC57" i="60"/>
  <c r="BC168" i="60"/>
  <c r="BC404" i="60"/>
  <c r="BC35" i="60"/>
  <c r="BC169" i="60"/>
  <c r="BC405" i="60"/>
  <c r="BC58" i="60"/>
  <c r="BC348" i="60"/>
  <c r="BC59" i="60"/>
  <c r="AU227" i="60"/>
  <c r="BG370" i="60"/>
  <c r="AY406" i="60"/>
  <c r="AY202" i="60" s="1"/>
  <c r="BC128" i="60"/>
  <c r="BC131" i="60"/>
  <c r="BC160" i="60"/>
  <c r="BC127" i="60"/>
  <c r="BC156" i="60"/>
  <c r="AY201" i="60"/>
  <c r="AY401" i="60"/>
  <c r="AY92" i="60" s="1"/>
  <c r="BC163" i="60"/>
  <c r="BC139" i="60"/>
  <c r="BC164" i="60"/>
  <c r="BC157" i="60"/>
  <c r="BC125" i="60"/>
  <c r="BC158" i="60"/>
  <c r="AU116" i="60"/>
  <c r="BC142" i="60"/>
  <c r="BC123" i="60"/>
  <c r="BC129" i="60"/>
  <c r="BC124" i="60"/>
  <c r="BC138" i="60"/>
  <c r="BC134" i="60"/>
  <c r="BC153" i="60"/>
  <c r="BC144" i="60"/>
  <c r="BC120" i="60"/>
  <c r="BC149" i="60"/>
  <c r="BC122" i="60"/>
  <c r="BC146" i="60"/>
  <c r="BC143" i="60"/>
  <c r="AY90" i="60"/>
  <c r="BC151" i="60"/>
  <c r="BC159" i="60"/>
  <c r="BC162" i="60"/>
  <c r="BC140" i="60"/>
  <c r="BC126" i="60"/>
  <c r="BC121" i="60"/>
  <c r="BC130" i="60"/>
  <c r="BC118" i="60"/>
  <c r="AY91" i="60"/>
  <c r="AY200" i="60"/>
  <c r="BC132" i="60"/>
  <c r="BC147" i="60"/>
  <c r="BC161" i="60"/>
  <c r="AY198" i="60"/>
  <c r="BC155" i="60"/>
  <c r="BC152" i="60"/>
  <c r="BC148" i="60"/>
  <c r="BC135" i="60"/>
  <c r="BC137" i="60"/>
  <c r="BC133" i="60"/>
  <c r="BC150" i="60"/>
  <c r="BC119" i="60"/>
  <c r="BC136" i="60"/>
  <c r="BC165" i="60"/>
  <c r="BC141" i="60"/>
  <c r="AY154" i="60"/>
  <c r="AY89" i="60"/>
  <c r="AY88" i="60" s="1"/>
  <c r="BG145" i="60" l="1"/>
  <c r="BG372" i="60"/>
  <c r="BG59" i="60"/>
  <c r="BG371" i="60"/>
  <c r="BG177" i="60"/>
  <c r="BG402" i="60"/>
  <c r="BG167" i="60"/>
  <c r="BG403" i="60"/>
  <c r="BG35" i="60"/>
  <c r="BG168" i="60"/>
  <c r="BG404" i="60"/>
  <c r="BG57" i="60"/>
  <c r="BG169" i="60"/>
  <c r="BG405" i="60"/>
  <c r="BG67" i="60"/>
  <c r="BG348" i="60"/>
  <c r="AY227" i="60"/>
  <c r="BG58" i="60"/>
  <c r="BC91" i="60"/>
  <c r="AY116" i="60"/>
  <c r="BC201" i="60"/>
  <c r="BG144" i="60"/>
  <c r="BG164" i="60"/>
  <c r="BG126" i="60"/>
  <c r="BG165" i="60"/>
  <c r="BG160" i="60"/>
  <c r="BG158" i="60"/>
  <c r="BG146" i="60"/>
  <c r="BG123" i="60"/>
  <c r="BC154" i="60"/>
  <c r="BC89" i="60"/>
  <c r="BC88" i="60" s="1"/>
  <c r="BG133" i="60"/>
  <c r="BG132" i="60"/>
  <c r="BG143" i="60"/>
  <c r="BG161" i="60"/>
  <c r="BG125" i="60"/>
  <c r="BG129" i="60"/>
  <c r="BG140" i="60"/>
  <c r="BG152" i="60"/>
  <c r="BG130" i="60"/>
  <c r="BG163" i="60"/>
  <c r="BG119" i="60"/>
  <c r="BG131" i="60"/>
  <c r="BG151" i="60"/>
  <c r="BG120" i="60"/>
  <c r="BG153" i="60"/>
  <c r="BG150" i="60"/>
  <c r="BG122" i="60"/>
  <c r="BC198" i="60"/>
  <c r="BG134" i="60"/>
  <c r="BG127" i="60"/>
  <c r="BG121" i="60"/>
  <c r="BG136" i="60"/>
  <c r="BC406" i="60"/>
  <c r="BC202" i="60" s="1"/>
  <c r="BC401" i="60"/>
  <c r="BC92" i="60" s="1"/>
  <c r="BC90" i="60"/>
  <c r="BG157" i="60"/>
  <c r="BG142" i="60"/>
  <c r="BG159" i="60"/>
  <c r="BC200" i="60"/>
  <c r="BG128" i="60"/>
  <c r="BG147" i="60"/>
  <c r="BG156" i="60"/>
  <c r="BG141" i="60"/>
  <c r="BG139" i="60"/>
  <c r="BG137" i="60"/>
  <c r="BG149" i="60"/>
  <c r="BG162" i="60"/>
  <c r="BG148" i="60"/>
  <c r="BG124" i="60"/>
  <c r="BG155" i="60"/>
  <c r="BG135" i="60"/>
  <c r="BG138" i="60"/>
  <c r="BG118" i="60"/>
  <c r="BG201" i="60" l="1"/>
  <c r="BG91" i="60"/>
  <c r="BG198" i="60"/>
  <c r="BK130" i="60"/>
  <c r="BK118" i="60"/>
  <c r="BK165" i="60"/>
  <c r="BK125" i="60"/>
  <c r="BK162" i="60"/>
  <c r="BK140" i="60"/>
  <c r="BK128" i="60"/>
  <c r="BK163" i="60"/>
  <c r="BK120" i="60"/>
  <c r="BK138" i="60"/>
  <c r="BK144" i="60"/>
  <c r="BK127" i="60"/>
  <c r="BK137" i="60"/>
  <c r="BK123" i="60"/>
  <c r="BK158" i="60"/>
  <c r="BK124" i="60"/>
  <c r="BC116" i="60"/>
  <c r="BK122" i="60"/>
  <c r="BK149" i="60"/>
  <c r="BK152" i="60"/>
  <c r="BK121" i="60"/>
  <c r="BK134" i="60"/>
  <c r="BK135" i="60"/>
  <c r="BG90" i="60"/>
  <c r="BC227" i="60"/>
  <c r="BG154" i="60"/>
  <c r="BG89" i="60"/>
  <c r="BG88" i="60" s="1"/>
  <c r="BK126" i="60"/>
  <c r="BK141" i="60"/>
  <c r="BK161" i="60"/>
  <c r="BK129" i="60"/>
  <c r="BK147" i="60"/>
  <c r="BK136" i="60"/>
  <c r="BG200" i="60"/>
  <c r="BK405" i="60"/>
  <c r="BK404" i="60"/>
  <c r="BK403" i="60"/>
  <c r="BK402" i="60"/>
  <c r="BK372" i="60"/>
  <c r="BK371" i="60"/>
  <c r="BK370" i="60"/>
  <c r="BK348" i="60"/>
  <c r="BK169" i="60"/>
  <c r="BK168" i="60"/>
  <c r="BK177" i="60"/>
  <c r="BK167" i="60"/>
  <c r="BK145" i="60"/>
  <c r="BK67" i="60"/>
  <c r="BK58" i="60"/>
  <c r="BK59" i="60"/>
  <c r="BK57" i="60"/>
  <c r="BK35" i="60"/>
  <c r="BG406" i="60"/>
  <c r="BG202" i="60" s="1"/>
  <c r="BG401" i="60"/>
  <c r="BG92" i="60" s="1"/>
  <c r="BK156" i="60"/>
  <c r="BK151" i="60"/>
  <c r="BK157" i="60"/>
  <c r="BK119" i="60"/>
  <c r="BK146" i="60"/>
  <c r="BK159" i="60"/>
  <c r="BK133" i="60"/>
  <c r="BK150" i="60"/>
  <c r="BK153" i="60"/>
  <c r="BK160" i="60"/>
  <c r="BK142" i="60"/>
  <c r="BK143" i="60"/>
  <c r="BK132" i="60"/>
  <c r="BK155" i="60"/>
  <c r="BK139" i="60"/>
  <c r="BK131" i="60"/>
  <c r="BK164" i="60"/>
  <c r="BK148" i="60"/>
  <c r="BG227" i="60" l="1"/>
  <c r="BK401" i="60"/>
  <c r="BK92" i="60" s="1"/>
  <c r="BK201" i="60"/>
  <c r="BK90" i="60"/>
  <c r="BK406" i="60"/>
  <c r="BK202" i="60" s="1"/>
  <c r="BK154" i="60"/>
  <c r="BK89" i="60"/>
  <c r="BK88" i="60" s="1"/>
  <c r="BK200" i="60"/>
  <c r="BK198" i="60"/>
  <c r="BG116" i="60"/>
  <c r="BK91" i="60"/>
  <c r="BK116" i="60" l="1"/>
  <c r="BK227" i="60"/>
  <c r="BO146" i="60"/>
  <c r="BO152" i="60"/>
  <c r="BO121" i="60"/>
  <c r="BO159" i="60"/>
  <c r="BO157" i="60"/>
  <c r="BO131" i="60"/>
  <c r="BO149" i="60"/>
  <c r="BO136" i="60"/>
  <c r="BO134" i="60"/>
  <c r="BO120" i="60"/>
  <c r="BO127" i="60"/>
  <c r="BO162" i="60"/>
  <c r="BO132" i="60"/>
  <c r="BO128" i="60"/>
  <c r="BO139" i="60"/>
  <c r="BO165" i="60"/>
  <c r="BO163" i="60"/>
  <c r="BO158" i="60"/>
  <c r="BO160" i="60"/>
  <c r="BO148" i="60"/>
  <c r="BO156" i="60"/>
  <c r="BO144" i="60"/>
  <c r="BO126" i="60"/>
  <c r="BO133" i="60"/>
  <c r="BO153" i="60"/>
  <c r="BO147" i="60"/>
  <c r="BO119" i="60"/>
  <c r="BO142" i="60"/>
  <c r="BO140" i="60"/>
  <c r="BO135" i="60"/>
  <c r="BO122" i="60"/>
  <c r="BO405" i="60"/>
  <c r="BO404" i="60"/>
  <c r="BO403" i="60"/>
  <c r="BO402" i="60"/>
  <c r="BO372" i="60"/>
  <c r="BO371" i="60"/>
  <c r="BO370" i="60"/>
  <c r="BO348" i="60"/>
  <c r="BO169" i="60"/>
  <c r="BO168" i="60"/>
  <c r="BO167" i="60"/>
  <c r="BO177" i="60"/>
  <c r="BO145" i="60"/>
  <c r="BO59" i="60"/>
  <c r="BO58" i="60"/>
  <c r="BO67" i="60"/>
  <c r="BO35" i="60"/>
  <c r="BO57" i="60"/>
  <c r="BO141" i="60"/>
  <c r="BO137" i="60"/>
  <c r="BO123" i="60"/>
  <c r="BO138" i="60"/>
  <c r="BO151" i="60"/>
  <c r="BO124" i="60"/>
  <c r="BO161" i="60"/>
  <c r="BO118" i="60"/>
  <c r="BO155" i="60"/>
  <c r="BO143" i="60"/>
  <c r="BO150" i="60"/>
  <c r="BO130" i="60"/>
  <c r="BO164" i="60"/>
  <c r="BO125" i="60"/>
  <c r="BO129" i="60"/>
  <c r="W118" i="60" l="1"/>
  <c r="BO406" i="60"/>
  <c r="BO202" i="60" s="1"/>
  <c r="W132" i="60"/>
  <c r="W143" i="60"/>
  <c r="W165" i="60"/>
  <c r="W140" i="60"/>
  <c r="W152" i="60"/>
  <c r="W122" i="60"/>
  <c r="BO90" i="60"/>
  <c r="W141" i="60"/>
  <c r="W147" i="60"/>
  <c r="W127" i="60"/>
  <c r="W144" i="60"/>
  <c r="W119" i="60"/>
  <c r="W151" i="60"/>
  <c r="W160" i="60"/>
  <c r="W120" i="60"/>
  <c r="W155" i="60"/>
  <c r="BO91" i="60"/>
  <c r="W149" i="60"/>
  <c r="W142" i="60"/>
  <c r="W161" i="60"/>
  <c r="W137" i="60"/>
  <c r="W131" i="60"/>
  <c r="W158" i="60"/>
  <c r="W150" i="60"/>
  <c r="W133" i="60"/>
  <c r="W159" i="60"/>
  <c r="W129" i="60"/>
  <c r="W156" i="60"/>
  <c r="W123" i="60"/>
  <c r="W162" i="60"/>
  <c r="W139" i="60"/>
  <c r="BO401" i="60"/>
  <c r="BO92" i="60" s="1"/>
  <c r="W136" i="60"/>
  <c r="W146" i="60"/>
  <c r="W135" i="60"/>
  <c r="W157" i="60"/>
  <c r="BO198" i="60"/>
  <c r="BO201" i="60"/>
  <c r="W121" i="60"/>
  <c r="W148" i="60"/>
  <c r="W126" i="60"/>
  <c r="W164" i="60"/>
  <c r="W124" i="60"/>
  <c r="W163" i="60"/>
  <c r="W153" i="60"/>
  <c r="W125" i="60"/>
  <c r="W134" i="60"/>
  <c r="W138" i="60"/>
  <c r="W130" i="60"/>
  <c r="W128" i="60"/>
  <c r="W90" i="60"/>
  <c r="W115" i="60" s="1"/>
  <c r="BO200" i="60"/>
  <c r="BO154" i="60"/>
  <c r="BO89" i="60"/>
  <c r="BO88" i="60" s="1"/>
  <c r="BO116" i="60" l="1"/>
  <c r="W200" i="60"/>
  <c r="W226" i="60" s="1"/>
  <c r="O118" i="60"/>
  <c r="W198" i="60"/>
  <c r="O133" i="60"/>
  <c r="O147" i="60"/>
  <c r="O165" i="60"/>
  <c r="O152" i="60"/>
  <c r="O139" i="60"/>
  <c r="O140" i="60"/>
  <c r="O122" i="60"/>
  <c r="W201" i="60"/>
  <c r="W225" i="60" s="1"/>
  <c r="W91" i="60"/>
  <c r="W114" i="60" s="1"/>
  <c r="O156" i="60"/>
  <c r="O128" i="60"/>
  <c r="O132" i="60"/>
  <c r="O119" i="60"/>
  <c r="O160" i="60"/>
  <c r="O153" i="60"/>
  <c r="O124" i="60"/>
  <c r="O130" i="60"/>
  <c r="O138" i="60"/>
  <c r="O159" i="60"/>
  <c r="O155" i="60"/>
  <c r="O143" i="60"/>
  <c r="W406" i="60"/>
  <c r="W202" i="60" s="1"/>
  <c r="W401" i="60"/>
  <c r="W92" i="60" s="1"/>
  <c r="O129" i="60"/>
  <c r="O150" i="60"/>
  <c r="O125" i="60"/>
  <c r="O157" i="60"/>
  <c r="O142" i="60"/>
  <c r="O134" i="60"/>
  <c r="O161" i="60"/>
  <c r="O148" i="60"/>
  <c r="O136" i="60"/>
  <c r="O158" i="60"/>
  <c r="O141" i="60"/>
  <c r="O144" i="60"/>
  <c r="O146" i="60"/>
  <c r="O163" i="60"/>
  <c r="O123" i="60"/>
  <c r="BO227" i="60"/>
  <c r="W154" i="60"/>
  <c r="W89" i="60"/>
  <c r="W88" i="60" s="1"/>
  <c r="O121" i="60"/>
  <c r="O149" i="60"/>
  <c r="O164" i="60"/>
  <c r="O137" i="60"/>
  <c r="O127" i="60"/>
  <c r="O126" i="60"/>
  <c r="O120" i="60"/>
  <c r="O162" i="60"/>
  <c r="O151" i="60"/>
  <c r="O135" i="60"/>
  <c r="O131" i="60"/>
  <c r="O201" i="60"/>
  <c r="O225" i="60" s="1"/>
  <c r="O91" i="60" l="1"/>
  <c r="O114" i="60" s="1"/>
  <c r="W116" i="60"/>
  <c r="HI15" i="55" s="1"/>
  <c r="O198" i="60"/>
  <c r="O200" i="60"/>
  <c r="O226" i="60" s="1"/>
  <c r="O406" i="60"/>
  <c r="O202" i="60" s="1"/>
  <c r="O401" i="60"/>
  <c r="O92" i="60" s="1"/>
  <c r="O154" i="60"/>
  <c r="O89" i="60"/>
  <c r="O88" i="60" s="1"/>
  <c r="O90" i="60"/>
  <c r="O115" i="60" s="1"/>
  <c r="W227" i="60"/>
  <c r="O116" i="60" l="1"/>
  <c r="HE15" i="55" s="1"/>
  <c r="O227" i="6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<sst xmlns="http://schemas.openxmlformats.org/spreadsheetml/2006/main" count="13368" uniqueCount="4946">
  <si>
    <t>年度ごとの排出量原単位の推移</t>
    <rPh sb="5" eb="7">
      <t>ハイシュツ</t>
    </rPh>
    <rPh sb="7" eb="8">
      <t>リョウ</t>
    </rPh>
    <phoneticPr fontId="3"/>
  </si>
  <si>
    <t xml:space="preserve">                                                        　　 </t>
  </si>
  <si>
    <t>年度</t>
    <rPh sb="0" eb="2">
      <t>ネンド</t>
    </rPh>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</si>
  <si>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</si>
  <si>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</si>
  <si>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</si>
  <si>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</si>
  <si>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</si>
  <si>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</si>
  <si>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</si>
  <si>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</si>
  <si>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</si>
  <si>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実施状況</t>
    <rPh sb="0" eb="2">
      <t>ジッシ</t>
    </rPh>
    <rPh sb="2" eb="4">
      <t>ジョウキョウ</t>
    </rPh>
    <phoneticPr fontId="3"/>
  </si>
  <si>
    <t>未実施の理由</t>
    <rPh sb="0" eb="3">
      <t>ミジッシ</t>
    </rPh>
    <rPh sb="4" eb="6">
      <t>リユウ</t>
    </rPh>
    <phoneticPr fontId="3"/>
  </si>
  <si>
    <t>□実施</t>
    <rPh sb="1" eb="3">
      <t>ジッシ</t>
    </rPh>
    <phoneticPr fontId="3"/>
  </si>
  <si>
    <t>□未実施</t>
    <rPh sb="1" eb="4">
      <t>ミジッシ</t>
    </rPh>
    <phoneticPr fontId="3"/>
  </si>
  <si>
    <t>工場等の名称</t>
    <rPh sb="0" eb="3">
      <t>コウジョウトウ</t>
    </rPh>
    <phoneticPr fontId="3"/>
  </si>
  <si>
    <t>使用台数</t>
    <rPh sb="0" eb="2">
      <t>シヨウ</t>
    </rPh>
    <rPh sb="2" eb="4">
      <t>ダイスウ</t>
    </rPh>
    <phoneticPr fontId="3"/>
  </si>
  <si>
    <t>実施の結果</t>
    <rPh sb="0" eb="2">
      <t>ジッシ</t>
    </rPh>
    <rPh sb="3" eb="5">
      <t>ケッカ</t>
    </rPh>
    <phoneticPr fontId="3"/>
  </si>
  <si>
    <t>工場等の名称</t>
    <rPh sb="0" eb="3">
      <t>コウジョウトウ</t>
    </rPh>
    <rPh sb="4" eb="6">
      <t>メイショウ</t>
    </rPh>
    <phoneticPr fontId="3"/>
  </si>
  <si>
    <t>対策の内容</t>
    <rPh sb="0" eb="2">
      <t>タイサク</t>
    </rPh>
    <rPh sb="3" eb="5">
      <t>ナイヨウ</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</si>
  <si>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</si>
  <si>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</si>
  <si>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</si>
  <si>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</si>
  <si>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</si>
  <si>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</si>
  <si>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</si>
  <si>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</si>
  <si>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</si>
  <si>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</si>
  <si>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</si>
  <si>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</si>
  <si>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</si>
  <si>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</si>
  <si>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</si>
  <si>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</si>
  <si>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</si>
  <si>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</si>
  <si>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</si>
  <si>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</si>
  <si>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</si>
  <si>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</si>
  <si>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</si>
  <si>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基準年度</t>
    <rPh sb="0" eb="2">
      <t>キジュン</t>
    </rPh>
    <rPh sb="2" eb="4">
      <t>ネンド</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</si>
  <si>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</si>
  <si>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</si>
  <si>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</si>
  <si>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</si>
  <si>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（第６面）</t>
    <rPh sb="1" eb="2">
      <t>ダイ</t>
    </rPh>
    <rPh sb="3" eb="4">
      <t>メン</t>
    </rPh>
    <phoneticPr fontId="3"/>
  </si>
  <si>
    <t>工場等の規模</t>
    <rPh sb="0" eb="2">
      <t>コウジョウ</t>
    </rPh>
    <rPh sb="2" eb="3">
      <t>トウ</t>
    </rPh>
    <rPh sb="4" eb="6">
      <t>キボ</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</si>
  <si>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</si>
  <si>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</si>
  <si>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</si>
  <si>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対策の区分</t>
    <rPh sb="0" eb="2">
      <t>タイサク</t>
    </rPh>
    <rPh sb="3" eb="5">
      <t>クブン</t>
    </rPh>
    <phoneticPr fontId="3"/>
  </si>
  <si>
    <t>番号</t>
    <rPh sb="0" eb="2">
      <t>バンゴウ</t>
    </rPh>
    <phoneticPr fontId="3"/>
  </si>
  <si>
    <t>名称</t>
    <rPh sb="0" eb="2">
      <t>メイショウ</t>
    </rPh>
    <phoneticPr fontId="3"/>
  </si>
  <si>
    <t>使用
台数</t>
    <rPh sb="0" eb="2">
      <t>シヨウ</t>
    </rPh>
    <rPh sb="3" eb="4">
      <t>ダイ</t>
    </rPh>
    <rPh sb="4" eb="5">
      <t>スウ</t>
    </rPh>
    <phoneticPr fontId="3"/>
  </si>
  <si>
    <t>特定大規模事業者の区分</t>
    <rPh sb="0" eb="2">
      <t>トクテイ</t>
    </rPh>
    <rPh sb="2" eb="5">
      <t>ダイキボ</t>
    </rPh>
    <rPh sb="5" eb="7">
      <t>ジギョウ</t>
    </rPh>
    <rPh sb="7" eb="8">
      <t>シャ</t>
    </rPh>
    <rPh sb="9" eb="11">
      <t>クブン</t>
    </rPh>
    <phoneticPr fontId="3"/>
  </si>
  <si>
    <t xml:space="preserve"> （総括票）                                                      　　 </t>
    <rPh sb="4" eb="5">
      <t>ヒョウ</t>
    </rPh>
    <phoneticPr fontId="3"/>
  </si>
  <si>
    <t>年度ごとの排出量の推移</t>
    <rPh sb="0" eb="2">
      <t>ネンド</t>
    </rPh>
    <rPh sb="5" eb="7">
      <t>ハイシュツ</t>
    </rPh>
    <rPh sb="7" eb="8">
      <t>リョウ</t>
    </rPh>
    <rPh sb="9" eb="11">
      <t>スイイ</t>
    </rPh>
    <phoneticPr fontId="3"/>
  </si>
  <si>
    <t>（個別票）</t>
    <rPh sb="1" eb="3">
      <t>コベツ</t>
    </rPh>
    <rPh sb="3" eb="4">
      <t>ヒョウ</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</si>
  <si>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</si>
  <si>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</si>
  <si>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</si>
  <si>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８　エネルギー管理指定工場等の一覧表</t>
    <rPh sb="7" eb="9">
      <t>カンリ</t>
    </rPh>
    <rPh sb="9" eb="11">
      <t>シテイ</t>
    </rPh>
    <rPh sb="11" eb="13">
      <t>コウジョウ</t>
    </rPh>
    <rPh sb="13" eb="14">
      <t>トウ</t>
    </rPh>
    <rPh sb="15" eb="17">
      <t>イチラン</t>
    </rPh>
    <rPh sb="17" eb="18">
      <t>ヒョウ</t>
    </rPh>
    <phoneticPr fontId="3"/>
  </si>
  <si>
    <t>実施する事業の名称</t>
    <rPh sb="0" eb="2">
      <t>ジッシ</t>
    </rPh>
    <rPh sb="4" eb="6">
      <t>ジギョウ</t>
    </rPh>
    <rPh sb="7" eb="9">
      <t>メイショウ</t>
    </rPh>
    <phoneticPr fontId="3"/>
  </si>
  <si>
    <t>（第８面）</t>
    <rPh sb="1" eb="2">
      <t>ダイ</t>
    </rPh>
    <rPh sb="3" eb="4">
      <t>メン</t>
    </rPh>
    <phoneticPr fontId="3"/>
  </si>
  <si>
    <t>（第７面）</t>
    <rPh sb="1" eb="2">
      <t>ダイ</t>
    </rPh>
    <rPh sb="3" eb="4">
      <t>メン</t>
    </rPh>
    <phoneticPr fontId="3"/>
  </si>
  <si>
    <t>年度ごとの排出量原単位の推移</t>
    <rPh sb="0" eb="2">
      <t>ネンド</t>
    </rPh>
    <rPh sb="5" eb="7">
      <t>ハイシュツ</t>
    </rPh>
    <rPh sb="7" eb="8">
      <t>リョウ</t>
    </rPh>
    <rPh sb="8" eb="11">
      <t>ゲンタンイ</t>
    </rPh>
    <rPh sb="12" eb="14">
      <t>スイイ</t>
    </rPh>
    <phoneticPr fontId="3"/>
  </si>
  <si>
    <t>４</t>
  </si>
  <si>
    <t>５</t>
  </si>
  <si>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</si>
  <si>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</si>
  <si>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</si>
  <si>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</si>
  <si>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</si>
  <si>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</si>
  <si>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</si>
  <si>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</si>
  <si>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原単位の指標の種類</t>
    <rPh sb="0" eb="3">
      <t>ゲンタンイ</t>
    </rPh>
    <rPh sb="4" eb="6">
      <t>シヒョウ</t>
    </rPh>
    <rPh sb="7" eb="9">
      <t>シュルイ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</si>
  <si>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</si>
  <si>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</si>
  <si>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</si>
  <si>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基準排出量の合計量</t>
    <rPh sb="0" eb="2">
      <t>キジュン</t>
    </rPh>
    <rPh sb="2" eb="4">
      <t>ハイシュツ</t>
    </rPh>
    <rPh sb="4" eb="5">
      <t>リョウ</t>
    </rPh>
    <rPh sb="6" eb="8">
      <t>ゴウケイ</t>
    </rPh>
    <rPh sb="8" eb="9">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</si>
  <si>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</si>
  <si>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</si>
  <si>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</si>
  <si>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</si>
  <si>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</si>
  <si>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</si>
  <si>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</si>
  <si>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原単位削減率</t>
    <rPh sb="0" eb="3">
      <t>ゲンタンイ</t>
    </rPh>
    <rPh sb="3" eb="6">
      <t>サクゲンリツ</t>
    </rPh>
    <phoneticPr fontId="3"/>
  </si>
  <si>
    <t>基準年度の排出量原単位</t>
    <rPh sb="0" eb="2">
      <t>キジュン</t>
    </rPh>
    <rPh sb="2" eb="3">
      <t>ネン</t>
    </rPh>
    <rPh sb="3" eb="4">
      <t>ド</t>
    </rPh>
    <rPh sb="5" eb="7">
      <t>ハイシュツ</t>
    </rPh>
    <rPh sb="7" eb="8">
      <t>リョウ</t>
    </rPh>
    <rPh sb="8" eb="11">
      <t>ゲンタンイ</t>
    </rPh>
    <phoneticPr fontId="3"/>
  </si>
  <si>
    <t>対象自動車の使用状況</t>
    <rPh sb="0" eb="2">
      <t>タイショウ</t>
    </rPh>
    <rPh sb="2" eb="5">
      <t>ジドウシャ</t>
    </rPh>
    <rPh sb="6" eb="8">
      <t>シヨウ</t>
    </rPh>
    <rPh sb="8" eb="10">
      <t>ジョウキョウ</t>
    </rPh>
    <phoneticPr fontId="3"/>
  </si>
  <si>
    <t>割合</t>
    <rPh sb="0" eb="2">
      <t>ワリアイ</t>
    </rPh>
    <phoneticPr fontId="3"/>
  </si>
  <si>
    <t>建築物の延べ面積</t>
    <rPh sb="0" eb="3">
      <t>ケンチクブツ</t>
    </rPh>
    <rPh sb="4" eb="5">
      <t>ノベ</t>
    </rPh>
    <rPh sb="6" eb="8">
      <t>メンセキ</t>
    </rPh>
    <phoneticPr fontId="3"/>
  </si>
  <si>
    <t>削減率</t>
    <rPh sb="0" eb="1">
      <t>ケズ</t>
    </rPh>
    <rPh sb="1" eb="2">
      <t>ゲン</t>
    </rPh>
    <rPh sb="2" eb="3">
      <t>リツ</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</si>
  <si>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</si>
  <si>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t>
    <phoneticPr fontId="3"/>
  </si>
  <si>
    <t>（</t>
    <phoneticPr fontId="3"/>
  </si>
  <si>
    <t>年度～</t>
    <phoneticPr fontId="3"/>
  </si>
  <si>
    <r>
      <t>年度</t>
    </r>
    <r>
      <rPr>
        <sz val="9"/>
        <rFont val="ＭＳ Ｐ明朝"/>
        <family val="1"/>
        <charset val="128"/>
      </rPr>
      <t>）</t>
    </r>
    <rPh sb="0" eb="2">
      <t>ネンド</t>
    </rPh>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</si>
  <si>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</si>
  <si>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</si>
  <si>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</si>
  <si>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</si>
  <si>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t>
    <phoneticPr fontId="3"/>
  </si>
  <si>
    <r>
      <t>ｍ</t>
    </r>
    <r>
      <rPr>
        <vertAlign val="superscript"/>
        <sz val="9"/>
        <rFont val="ＭＳ 明朝"/>
        <family val="1"/>
        <charset val="128"/>
      </rPr>
      <t>２</t>
    </r>
  </si>
  <si>
    <t>２</t>
    <phoneticPr fontId="3"/>
  </si>
  <si>
    <t>３</t>
    <phoneticPr fontId="3"/>
  </si>
  <si>
    <t>　第５面の６の欄には､中小企業への省エネルギー技術の普及・移転、環境教育の実施､森林の保全・緑化の推進などの分野をはじめとする具体的な取組の計画及び実施の結果を記載してください。</t>
    <rPh sb="1" eb="2">
      <t>ダイ</t>
    </rPh>
    <rPh sb="3" eb="4">
      <t>メン</t>
    </rPh>
    <rPh sb="7" eb="8">
      <t>ラン</t>
    </rPh>
    <rPh sb="11" eb="13">
      <t>チュウショウ</t>
    </rPh>
    <rPh sb="13" eb="15">
      <t>キギョウ</t>
    </rPh>
    <rPh sb="17" eb="18">
      <t>ショウ</t>
    </rPh>
    <rPh sb="23" eb="25">
      <t>ギジュツ</t>
    </rPh>
    <rPh sb="26" eb="28">
      <t>フキュウ</t>
    </rPh>
    <rPh sb="29" eb="31">
      <t>イテン</t>
    </rPh>
    <rPh sb="32" eb="34">
      <t>カンキョウ</t>
    </rPh>
    <rPh sb="34" eb="36">
      <t>キョウイク</t>
    </rPh>
    <rPh sb="37" eb="39">
      <t>ジッシ</t>
    </rPh>
    <rPh sb="40" eb="42">
      <t>シンリン</t>
    </rPh>
    <rPh sb="43" eb="45">
      <t>ホゼン</t>
    </rPh>
    <rPh sb="46" eb="48">
      <t>リョッカ</t>
    </rPh>
    <rPh sb="49" eb="51">
      <t>スイシン</t>
    </rPh>
    <rPh sb="54" eb="56">
      <t>ブンヤ</t>
    </rPh>
    <rPh sb="63" eb="66">
      <t>グタイテキ</t>
    </rPh>
    <rPh sb="67" eb="69">
      <t>トリクミ</t>
    </rPh>
    <rPh sb="70" eb="72">
      <t>ケイカク</t>
    </rPh>
    <rPh sb="72" eb="73">
      <t>オヨ</t>
    </rPh>
    <rPh sb="74" eb="76">
      <t>ジッシ</t>
    </rPh>
    <rPh sb="77" eb="79">
      <t>ケッカ</t>
    </rPh>
    <rPh sb="80" eb="82">
      <t>キサイ</t>
    </rPh>
    <phoneticPr fontId="3"/>
  </si>
  <si>
    <t>S 公務（他に分類されるものを除く）</t>
    <rPh sb="2" eb="4">
      <t>コウム</t>
    </rPh>
    <rPh sb="5" eb="6">
      <t>タ</t>
    </rPh>
    <rPh sb="7" eb="9">
      <t>ブンルイ</t>
    </rPh>
    <rPh sb="15" eb="16">
      <t>ノゾ</t>
    </rPh>
    <phoneticPr fontId="3"/>
  </si>
  <si>
    <t>年</t>
    <rPh sb="0" eb="1">
      <t>ネン</t>
    </rPh>
    <phoneticPr fontId="3"/>
  </si>
  <si>
    <t>月</t>
    <rPh sb="0" eb="1">
      <t>ゲツ</t>
    </rPh>
    <phoneticPr fontId="3"/>
  </si>
  <si>
    <t>日</t>
    <rPh sb="0" eb="1">
      <t>ニチ</t>
    </rPh>
    <phoneticPr fontId="3"/>
  </si>
  <si>
    <t xml:space="preserve">郵便番号 </t>
    <rPh sb="0" eb="4">
      <t>ユウビンバンゴウ</t>
    </rPh>
    <phoneticPr fontId="3"/>
  </si>
  <si>
    <t xml:space="preserve">住　　所 </t>
    <rPh sb="0" eb="1">
      <t>ジュウ</t>
    </rPh>
    <rPh sb="3" eb="4">
      <t>ショ</t>
    </rPh>
    <phoneticPr fontId="3"/>
  </si>
  <si>
    <t xml:space="preserve">氏　　名 </t>
    <rPh sb="0" eb="1">
      <t>シ</t>
    </rPh>
    <rPh sb="3" eb="4">
      <t>メイ</t>
    </rPh>
    <phoneticPr fontId="3"/>
  </si>
  <si>
    <t>事業者の住所又は主たる事務所の所在地</t>
    <rPh sb="4" eb="6">
      <t>ジュウショ</t>
    </rPh>
    <rPh sb="6" eb="7">
      <t>マタ</t>
    </rPh>
    <rPh sb="8" eb="9">
      <t>シュ</t>
    </rPh>
    <rPh sb="11" eb="13">
      <t>ジム</t>
    </rPh>
    <rPh sb="13" eb="14">
      <t>ショ</t>
    </rPh>
    <phoneticPr fontId="3"/>
  </si>
  <si>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3"/>
  </si>
  <si>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3"/>
  </si>
  <si>
    <t>－</t>
    <phoneticPr fontId="3"/>
  </si>
  <si>
    <t>うち</t>
    <phoneticPr fontId="3"/>
  </si>
  <si>
    <t>連絡先</t>
    <phoneticPr fontId="3"/>
  </si>
  <si>
    <t>－</t>
    <phoneticPr fontId="3"/>
  </si>
  <si>
    <t>結果報告書（特定大規模事業者用）</t>
    <rPh sb="0" eb="2">
      <t>ケッカ</t>
    </rPh>
    <rPh sb="2" eb="5">
      <t>ホウコクショ</t>
    </rPh>
    <rPh sb="6" eb="8">
      <t>トクテイ</t>
    </rPh>
    <rPh sb="8" eb="11">
      <t>ダイキボ</t>
    </rPh>
    <rPh sb="11" eb="13">
      <t>ジギョウ</t>
    </rPh>
    <rPh sb="13" eb="14">
      <t>シャ</t>
    </rPh>
    <rPh sb="14" eb="15">
      <t>ヨウ</t>
    </rPh>
    <phoneticPr fontId="3"/>
  </si>
  <si>
    <t>（</t>
    <phoneticPr fontId="3"/>
  </si>
  <si>
    <t>年度～</t>
    <phoneticPr fontId="3"/>
  </si>
  <si>
    <t>％</t>
    <phoneticPr fontId="3"/>
  </si>
  <si>
    <t>％</t>
    <phoneticPr fontId="3"/>
  </si>
  <si>
    <t>計画期間内におけるエネルギー起源二酸化炭素の排出の状況に関する説明</t>
    <phoneticPr fontId="3"/>
  </si>
  <si>
    <t>％</t>
    <phoneticPr fontId="3"/>
  </si>
  <si>
    <t>（１）　工場等の名称等</t>
    <rPh sb="4" eb="7">
      <t>コウジョウトウ</t>
    </rPh>
    <rPh sb="8" eb="10">
      <t>メイショウ</t>
    </rPh>
    <rPh sb="10" eb="11">
      <t>トウ</t>
    </rPh>
    <phoneticPr fontId="3"/>
  </si>
  <si>
    <t>連　　絡　  先</t>
    <phoneticPr fontId="3"/>
  </si>
  <si>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3"/>
  </si>
  <si>
    <t>基準排出量</t>
    <phoneticPr fontId="3"/>
  </si>
  <si>
    <t>計画の初年度の排出量</t>
    <phoneticPr fontId="3"/>
  </si>
  <si>
    <t>２年度目の排出量</t>
    <phoneticPr fontId="3"/>
  </si>
  <si>
    <t>３年度目の排出量</t>
    <phoneticPr fontId="3"/>
  </si>
  <si>
    <t>４年度目の排出量</t>
    <phoneticPr fontId="3"/>
  </si>
  <si>
    <t>５年度目の排出量</t>
    <phoneticPr fontId="3"/>
  </si>
  <si>
    <t>目標とした最終年度の排出量</t>
    <phoneticPr fontId="3"/>
  </si>
  <si>
    <t>削減率</t>
    <phoneticPr fontId="3"/>
  </si>
  <si>
    <t>年度ごとの排出量の推移</t>
    <phoneticPr fontId="3"/>
  </si>
  <si>
    <t>工場等におけるエネルギー起源二酸化炭素の排出の状況等</t>
    <phoneticPr fontId="3"/>
  </si>
  <si>
    <t>排出量原単位の単位</t>
    <phoneticPr fontId="3"/>
  </si>
  <si>
    <t>基準年度の排出量原単位</t>
    <phoneticPr fontId="3"/>
  </si>
  <si>
    <t>計画の初年度の排出量原単位</t>
    <phoneticPr fontId="3"/>
  </si>
  <si>
    <t>３年度目の排出量原単位</t>
    <phoneticPr fontId="3"/>
  </si>
  <si>
    <t>４年度目の排出量原単位</t>
    <phoneticPr fontId="3"/>
  </si>
  <si>
    <t>５年度目の排出量原単位</t>
    <phoneticPr fontId="3"/>
  </si>
  <si>
    <t>目標とした最終年度の排出量原単位</t>
    <phoneticPr fontId="3"/>
  </si>
  <si>
    <t>原単位削減率</t>
    <phoneticPr fontId="3"/>
  </si>
  <si>
    <t>原単位の指標の種類</t>
    <phoneticPr fontId="3"/>
  </si>
  <si>
    <t>工場等における排出量原単位によるエネルギー起源二酸化炭素の排出の状況等</t>
    <phoneticPr fontId="3"/>
  </si>
  <si>
    <t>％</t>
  </si>
  <si>
    <t>備考　１</t>
    <rPh sb="0" eb="2">
      <t>ビコウ</t>
    </rPh>
    <phoneticPr fontId="3"/>
  </si>
  <si>
    <t>■実施</t>
    <rPh sb="1" eb="3">
      <t>ジッシ</t>
    </rPh>
    <phoneticPr fontId="3"/>
  </si>
  <si>
    <t>■未実施</t>
    <rPh sb="1" eb="4">
      <t>ミジッシ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</si>
  <si>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</si>
  <si>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</si>
  <si>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</si>
  <si>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別紙のとおり。</t>
    <rPh sb="0" eb="2">
      <t>ベッシ</t>
    </rPh>
    <phoneticPr fontId="3"/>
  </si>
  <si>
    <t>第1種</t>
    <rPh sb="0" eb="1">
      <t>ダイ</t>
    </rPh>
    <rPh sb="2" eb="3">
      <t>シュ</t>
    </rPh>
    <phoneticPr fontId="3"/>
  </si>
  <si>
    <t>第2種</t>
    <rPh sb="0" eb="1">
      <t>ダイ</t>
    </rPh>
    <rPh sb="2" eb="3">
      <t>シュ</t>
    </rPh>
    <phoneticPr fontId="3"/>
  </si>
  <si>
    <t>２年度目の排出量原単位</t>
    <rPh sb="1" eb="3">
      <t>ネンド</t>
    </rPh>
    <rPh sb="3" eb="4">
      <t>メ</t>
    </rPh>
    <phoneticPr fontId="3"/>
  </si>
  <si>
    <t>推進体制の整備</t>
  </si>
  <si>
    <t>管理基準の作成・変更</t>
  </si>
  <si>
    <t>主要設備等の保全管理対策</t>
  </si>
  <si>
    <t>定期的な計測、記録対策</t>
  </si>
  <si>
    <t>エネルギー使用量の管理対策</t>
  </si>
  <si>
    <t>空気調和設備対策</t>
  </si>
  <si>
    <t>冷凍機対策</t>
  </si>
  <si>
    <t>冷却塔対策</t>
  </si>
  <si>
    <t>換気設備対策</t>
  </si>
  <si>
    <t>ボイラー対策</t>
  </si>
  <si>
    <t>給湯設備対策</t>
  </si>
  <si>
    <t>照明設備対策</t>
  </si>
  <si>
    <t>昇降機対策</t>
  </si>
  <si>
    <t>受変電設備対策</t>
  </si>
  <si>
    <t>ＢＥＭＳ対策</t>
  </si>
  <si>
    <t>発電専用設備対策</t>
  </si>
  <si>
    <t>コｰジェネレｰション設備対策</t>
  </si>
  <si>
    <t>事務用機器対策</t>
  </si>
  <si>
    <t>業務用機器対策</t>
  </si>
  <si>
    <t>建物対策</t>
  </si>
  <si>
    <t>燃料の燃焼管理対策</t>
  </si>
  <si>
    <t>加熱設備対策</t>
  </si>
  <si>
    <t>加熱工程のスケジュール管理対策</t>
  </si>
  <si>
    <t>蒸気供給の管理対策</t>
  </si>
  <si>
    <t>排ガスの廃熱回収の管理対策</t>
  </si>
  <si>
    <t>蒸気ドレンの廃熱回収の管理対策</t>
  </si>
  <si>
    <t>その他の廃熱回収の管理対策</t>
  </si>
  <si>
    <t>配管の管理対策</t>
  </si>
  <si>
    <t>変圧器対策</t>
  </si>
  <si>
    <t>電力負荷の管理対策</t>
  </si>
  <si>
    <t>熱搬送設備対策</t>
  </si>
  <si>
    <t>ポンプ対策</t>
  </si>
  <si>
    <t>ファン及びブロワー対策</t>
  </si>
  <si>
    <t>コンプレッサー対策</t>
  </si>
  <si>
    <t>電動機対策</t>
  </si>
  <si>
    <t>電気炉対策</t>
  </si>
  <si>
    <t>電解設備対策</t>
  </si>
  <si>
    <t>計画期間内におけるエネルギー起源二酸化炭素の排出の状況に関する説明</t>
    <phoneticPr fontId="3"/>
  </si>
  <si>
    <t>　うち天然ガス自動車</t>
    <phoneticPr fontId="3"/>
  </si>
  <si>
    <t>　うちハイブリッド自動車</t>
    <phoneticPr fontId="3"/>
  </si>
  <si>
    <r>
      <t>　</t>
    </r>
    <r>
      <rPr>
        <sz val="8"/>
        <rFont val="ＭＳ 明朝"/>
        <family val="1"/>
        <charset val="128"/>
      </rPr>
      <t>うちディーゼル代替ＬＰガス自動車</t>
    </r>
    <rPh sb="8" eb="10">
      <t>ダイタイ</t>
    </rPh>
    <rPh sb="14" eb="17">
      <t>ジドウシャ</t>
    </rPh>
    <phoneticPr fontId="3"/>
  </si>
  <si>
    <t>E 30 情報通信機械器具製造業</t>
    <phoneticPr fontId="3"/>
  </si>
  <si>
    <t>F 35 熱供給業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</si>
  <si>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</si>
  <si>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</si>
  <si>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設置している全ての工場等におけるエネルギー起源二酸化炭素の排出の状況等</t>
    <rPh sb="0" eb="2">
      <t>セッチ</t>
    </rPh>
    <rPh sb="6" eb="7">
      <t>スベ</t>
    </rPh>
    <rPh sb="9" eb="12">
      <t>コウジョウナド</t>
    </rPh>
    <rPh sb="21" eb="23">
      <t>キゲン</t>
    </rPh>
    <rPh sb="23" eb="26">
      <t>ニサンカ</t>
    </rPh>
    <rPh sb="26" eb="28">
      <t>タンソ</t>
    </rPh>
    <rPh sb="29" eb="31">
      <t>ハイシュツ</t>
    </rPh>
    <rPh sb="32" eb="34">
      <t>ジョウキョウ</t>
    </rPh>
    <rPh sb="34" eb="35">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</si>
  <si>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</si>
  <si>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</si>
  <si>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使用している全ての自動車におけるエネルギー起源二酸化炭素の排出に関する状況等</t>
    <rPh sb="0" eb="2">
      <t>シヨウ</t>
    </rPh>
    <rPh sb="6" eb="7">
      <t>スベ</t>
    </rPh>
    <rPh sb="9" eb="12">
      <t>ジドウシャ</t>
    </rPh>
    <rPh sb="21" eb="23">
      <t>キゲン</t>
    </rPh>
    <rPh sb="23" eb="26">
      <t>ニサンカ</t>
    </rPh>
    <rPh sb="26" eb="28">
      <t>タンソ</t>
    </rPh>
    <rPh sb="29" eb="31">
      <t>ハイシュツ</t>
    </rPh>
    <rPh sb="32" eb="33">
      <t>カン</t>
    </rPh>
    <rPh sb="35" eb="37">
      <t>ジョウキョウ</t>
    </rPh>
    <rPh sb="37" eb="38">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</si>
  <si>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</si>
  <si>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第７号様式</t>
    </r>
    <r>
      <rPr>
        <sz val="9"/>
        <rFont val="ＭＳ 明朝"/>
        <family val="1"/>
        <charset val="128"/>
      </rPr>
      <t>(第５条関係）（第１面）（用紙　日本産業規格Ａ４縦長型）</t>
    </r>
    <rPh sb="23" eb="25">
      <t>サンギョウ</t>
    </rPh>
    <phoneticPr fontId="3"/>
  </si>
  <si>
    <t>〇〇ビル</t>
    <phoneticPr fontId="3"/>
  </si>
  <si>
    <t>■</t>
  </si>
  <si>
    <t>E 18 プラスチック製品製造業</t>
  </si>
  <si>
    <t>xxx</t>
    <phoneticPr fontId="3"/>
  </si>
  <si>
    <t>xxxx</t>
    <phoneticPr fontId="3"/>
  </si>
  <si>
    <t>****</t>
    <phoneticPr fontId="3"/>
  </si>
  <si>
    <t>㎡×時間</t>
    <rPh sb="2" eb="4">
      <t>ジカン</t>
    </rPh>
    <phoneticPr fontId="3"/>
  </si>
  <si>
    <t>走行距離</t>
    <rPh sb="0" eb="2">
      <t>ソウコウ</t>
    </rPh>
    <rPh sb="2" eb="4">
      <t>キョリ</t>
    </rPh>
    <phoneticPr fontId="3"/>
  </si>
  <si>
    <t>千km</t>
    <rPh sb="0" eb="1">
      <t>セン</t>
    </rPh>
    <phoneticPr fontId="3"/>
  </si>
  <si>
    <t>走行距離</t>
    <rPh sb="0" eb="4">
      <t>ソウコウキョリ</t>
    </rPh>
    <phoneticPr fontId="3"/>
  </si>
  <si>
    <t>生産数量</t>
    <rPh sb="0" eb="2">
      <t>セイサン</t>
    </rPh>
    <rPh sb="2" eb="4">
      <t>スウリョウ</t>
    </rPh>
    <phoneticPr fontId="3"/>
  </si>
  <si>
    <t>トン</t>
    <phoneticPr fontId="3"/>
  </si>
  <si>
    <t>○他の対策を優先したため、延期することになった。</t>
    <phoneticPr fontId="3"/>
  </si>
  <si>
    <t>厚木工場</t>
    <phoneticPr fontId="3"/>
  </si>
  <si>
    <t>神奈川県厚木市○○1234</t>
    <phoneticPr fontId="3"/>
  </si>
  <si>
    <t>電気機械器具用プラスチック製品製造業</t>
    <phoneticPr fontId="3"/>
  </si>
  <si>
    <t>製造部製造第１課</t>
    <phoneticPr fontId="3"/>
  </si>
  <si>
    <t>046</t>
    <phoneticPr fontId="3"/>
  </si>
  <si>
    <t>－</t>
    <phoneticPr fontId="3"/>
  </si>
  <si>
    <t>xxx</t>
    <phoneticPr fontId="3"/>
  </si>
  <si>
    <t>***</t>
    <phoneticPr fontId="3"/>
  </si>
  <si>
    <t>def@○○○○.jp</t>
    <phoneticPr fontId="3"/>
  </si>
  <si>
    <t>生産量</t>
    <rPh sb="0" eb="2">
      <t>セイサン</t>
    </rPh>
    <rPh sb="2" eb="3">
      <t>リョウ</t>
    </rPh>
    <phoneticPr fontId="3"/>
  </si>
  <si>
    <t>トン</t>
    <phoneticPr fontId="3"/>
  </si>
  <si>
    <t>他の対策を優先したため、延期となった。</t>
    <rPh sb="0" eb="1">
      <t>タ</t>
    </rPh>
    <rPh sb="2" eb="4">
      <t>タイサク</t>
    </rPh>
    <rPh sb="5" eb="7">
      <t>ユウセン</t>
    </rPh>
    <rPh sb="12" eb="14">
      <t>エンキ</t>
    </rPh>
    <phoneticPr fontId="3"/>
  </si>
  <si>
    <t>原油換算
エネルギー
使用量の
合計量</t>
    <rPh sb="0" eb="2">
      <t>ゲンユ</t>
    </rPh>
    <rPh sb="2" eb="4">
      <t>カンサン</t>
    </rPh>
    <rPh sb="11" eb="13">
      <t>シヨウ</t>
    </rPh>
    <rPh sb="13" eb="14">
      <t>リョウ</t>
    </rPh>
    <rPh sb="16" eb="18">
      <t>ゴウケイ</t>
    </rPh>
    <rPh sb="18" eb="19">
      <t>リョウ</t>
    </rPh>
    <phoneticPr fontId="3"/>
  </si>
  <si>
    <t>kl</t>
    <phoneticPr fontId="3"/>
  </si>
  <si>
    <t>計画
対象</t>
    <rPh sb="0" eb="2">
      <t>ケイカク</t>
    </rPh>
    <rPh sb="3" eb="5">
      <t>タイショウ</t>
    </rPh>
    <phoneticPr fontId="3"/>
  </si>
  <si>
    <t>○</t>
  </si>
  <si>
    <t>その他</t>
    <rPh sb="2" eb="3">
      <t>タ</t>
    </rPh>
    <phoneticPr fontId="3"/>
  </si>
  <si>
    <t>６</t>
    <phoneticPr fontId="3"/>
  </si>
  <si>
    <t>■</t>
    <phoneticPr fontId="3"/>
  </si>
  <si>
    <t>A 01 農業</t>
    <phoneticPr fontId="3"/>
  </si>
  <si>
    <t>□</t>
    <phoneticPr fontId="3"/>
  </si>
  <si>
    <t>A 02 林業</t>
    <phoneticPr fontId="3"/>
  </si>
  <si>
    <t>B 03 漁業</t>
    <phoneticPr fontId="3"/>
  </si>
  <si>
    <t>B 04 水産養殖業</t>
    <phoneticPr fontId="3"/>
  </si>
  <si>
    <t>C 05 鉱業，採石業，砂利採取業</t>
    <phoneticPr fontId="3"/>
  </si>
  <si>
    <t>月</t>
    <rPh sb="0" eb="1">
      <t>ツキ</t>
    </rPh>
    <phoneticPr fontId="3"/>
  </si>
  <si>
    <t>D 06 総合工事業</t>
    <phoneticPr fontId="3"/>
  </si>
  <si>
    <t>D 07 職別工事業</t>
    <phoneticPr fontId="3"/>
  </si>
  <si>
    <t>－</t>
    <phoneticPr fontId="3"/>
  </si>
  <si>
    <t>123</t>
    <phoneticPr fontId="3"/>
  </si>
  <si>
    <t>－</t>
    <phoneticPr fontId="3"/>
  </si>
  <si>
    <t>4567</t>
    <phoneticPr fontId="3"/>
  </si>
  <si>
    <t>D 08 設備工事業</t>
    <phoneticPr fontId="3"/>
  </si>
  <si>
    <t>神奈川県厚木市○○9999</t>
    <rPh sb="0" eb="4">
      <t>カナガワケン</t>
    </rPh>
    <rPh sb="4" eb="7">
      <t>アツギシ</t>
    </rPh>
    <phoneticPr fontId="3"/>
  </si>
  <si>
    <t>E 09 食料品製造業</t>
    <phoneticPr fontId="3"/>
  </si>
  <si>
    <t>E 10 飲料・たばこ・飼料製造業</t>
    <phoneticPr fontId="3"/>
  </si>
  <si>
    <t>株式会社〇〇産業</t>
    <rPh sb="0" eb="4">
      <t>カブシキガイシャ</t>
    </rPh>
    <rPh sb="6" eb="8">
      <t>サンギョウ</t>
    </rPh>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</si>
  <si>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</si>
  <si>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</si>
  <si>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</si>
  <si>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</si>
  <si>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</si>
  <si>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3"/>
  </si>
  <si>
    <t>E 16 化学工業</t>
    <phoneticPr fontId="3"/>
  </si>
  <si>
    <t>事業者の住所又は
主たる事務所の所在地</t>
    <rPh sb="4" eb="6">
      <t>ジュウショ</t>
    </rPh>
    <rPh sb="6" eb="7">
      <t>マタ</t>
    </rPh>
    <rPh sb="9" eb="10">
      <t>シュ</t>
    </rPh>
    <rPh sb="12" eb="14">
      <t>ジム</t>
    </rPh>
    <rPh sb="14" eb="15">
      <t>ショ</t>
    </rPh>
    <phoneticPr fontId="3"/>
  </si>
  <si>
    <t>E 17 石油製品・石炭製品製造業</t>
    <phoneticPr fontId="3"/>
  </si>
  <si>
    <t>特定大規模事業者の
区分</t>
    <rPh sb="0" eb="2">
      <t>トクテイ</t>
    </rPh>
    <rPh sb="2" eb="5">
      <t>ダイキボ</t>
    </rPh>
    <rPh sb="5" eb="7">
      <t>ジギョウ</t>
    </rPh>
    <rPh sb="7" eb="8">
      <t>シャ</t>
    </rPh>
    <rPh sb="10" eb="12">
      <t>クブン</t>
    </rPh>
    <phoneticPr fontId="3"/>
  </si>
  <si>
    <t>原油換算エネルギー
使用量の合計量　</t>
    <rPh sb="0" eb="2">
      <t>ゲンユ</t>
    </rPh>
    <rPh sb="2" eb="4">
      <t>カンサン</t>
    </rPh>
    <rPh sb="10" eb="12">
      <t>シヨウ</t>
    </rPh>
    <rPh sb="12" eb="13">
      <t>リョウ</t>
    </rPh>
    <rPh sb="14" eb="16">
      <t>ゴウケイ</t>
    </rPh>
    <rPh sb="16" eb="17">
      <t>リョウ</t>
    </rPh>
    <phoneticPr fontId="3"/>
  </si>
  <si>
    <t>ｋｌ</t>
    <phoneticPr fontId="3"/>
  </si>
  <si>
    <t>E 18 プラスチック製品製造業</t>
    <phoneticPr fontId="3"/>
  </si>
  <si>
    <t>うち</t>
    <phoneticPr fontId="3"/>
  </si>
  <si>
    <t>kl</t>
    <phoneticPr fontId="3"/>
  </si>
  <si>
    <t>うち</t>
    <phoneticPr fontId="3"/>
  </si>
  <si>
    <t>E 19 ゴム製品製造業</t>
    <phoneticPr fontId="3"/>
  </si>
  <si>
    <t>ｋｌ</t>
    <phoneticPr fontId="3"/>
  </si>
  <si>
    <t>E 20 なめし革・同製品・毛皮製造業</t>
    <phoneticPr fontId="3"/>
  </si>
  <si>
    <t>E 21 窯業・土石製品製造業</t>
    <phoneticPr fontId="3"/>
  </si>
  <si>
    <t>E 22 鉄鋼業</t>
    <phoneticPr fontId="3"/>
  </si>
  <si>
    <t>うち</t>
    <phoneticPr fontId="3"/>
  </si>
  <si>
    <t>E 23 非鉄金属製造業</t>
    <phoneticPr fontId="3"/>
  </si>
  <si>
    <t>□</t>
    <phoneticPr fontId="3"/>
  </si>
  <si>
    <t>□</t>
    <phoneticPr fontId="3"/>
  </si>
  <si>
    <t>E 24 金属製品製造業</t>
    <phoneticPr fontId="3"/>
  </si>
  <si>
    <t>E 25 はん用機械器具製造業</t>
    <phoneticPr fontId="3"/>
  </si>
  <si>
    <t>E 26 生産用機械器具製造業</t>
    <phoneticPr fontId="3"/>
  </si>
  <si>
    <t>□</t>
    <phoneticPr fontId="3"/>
  </si>
  <si>
    <t>E 27 業務用機械器具製造業</t>
    <phoneticPr fontId="3"/>
  </si>
  <si>
    <t>E 28 電子部品・デバイス・電子回路製造業</t>
    <phoneticPr fontId="3"/>
  </si>
  <si>
    <t>E 29 電気機械器具製造業</t>
    <phoneticPr fontId="3"/>
  </si>
  <si>
    <t>E 31 輸送用機械器具製造業</t>
    <phoneticPr fontId="3"/>
  </si>
  <si>
    <t>E 32 その他の製造業</t>
    <phoneticPr fontId="3"/>
  </si>
  <si>
    <t>F 33 電気業</t>
    <phoneticPr fontId="3"/>
  </si>
  <si>
    <t>F 34 ガス業</t>
    <phoneticPr fontId="3"/>
  </si>
  <si>
    <t>連絡先</t>
    <phoneticPr fontId="3"/>
  </si>
  <si>
    <t>総務部総務課(担当 ****)</t>
    <rPh sb="0" eb="2">
      <t>ソウム</t>
    </rPh>
    <rPh sb="2" eb="3">
      <t>ブ</t>
    </rPh>
    <rPh sb="3" eb="6">
      <t>ソウムカ</t>
    </rPh>
    <phoneticPr fontId="3"/>
  </si>
  <si>
    <t>－</t>
    <phoneticPr fontId="3"/>
  </si>
  <si>
    <t>xxx</t>
    <phoneticPr fontId="3"/>
  </si>
  <si>
    <t>－</t>
    <phoneticPr fontId="3"/>
  </si>
  <si>
    <t>xxxx</t>
    <phoneticPr fontId="3"/>
  </si>
  <si>
    <t>F 36 水道業</t>
    <phoneticPr fontId="3"/>
  </si>
  <si>
    <t>***</t>
    <phoneticPr fontId="3"/>
  </si>
  <si>
    <t>***</t>
    <phoneticPr fontId="3"/>
  </si>
  <si>
    <t>****</t>
    <phoneticPr fontId="3"/>
  </si>
  <si>
    <t>G 37 通信業</t>
    <phoneticPr fontId="3"/>
  </si>
  <si>
    <t>abc@〇〇〇〇.jp</t>
    <phoneticPr fontId="3"/>
  </si>
  <si>
    <t>G 38 放送業</t>
    <phoneticPr fontId="3"/>
  </si>
  <si>
    <t>G 39 情報サービス業</t>
    <phoneticPr fontId="3"/>
  </si>
  <si>
    <r>
      <rPr>
        <sz val="9"/>
        <color indexed="10"/>
        <rFont val="ＭＳ 明朝"/>
        <family val="1"/>
        <charset val="128"/>
      </rPr>
      <t>　　　　　　　    　　　　</t>
    </r>
    <r>
      <rPr>
        <u/>
        <sz val="9"/>
        <color indexed="10"/>
        <rFont val="ＭＳ 明朝"/>
        <family val="1"/>
        <charset val="128"/>
      </rPr>
      <t/>
    </r>
    <phoneticPr fontId="3"/>
  </si>
  <si>
    <r>
      <rPr>
        <sz val="9"/>
        <color indexed="10"/>
        <rFont val="ＭＳ 明朝"/>
        <family val="1"/>
        <charset val="128"/>
      </rPr>
      <t>　　　　　　　    　　　　</t>
    </r>
    <r>
      <rPr>
        <u/>
        <sz val="9"/>
        <color indexed="10"/>
        <rFont val="ＭＳ 明朝"/>
        <family val="1"/>
        <charset val="128"/>
      </rPr>
      <t/>
    </r>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</si>
  <si>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</si>
  <si>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</si>
  <si>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</si>
  <si>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</si>
  <si>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</si>
  <si>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</si>
  <si>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</si>
  <si>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</si>
  <si>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</si>
  <si>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</si>
  <si>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</si>
  <si>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</si>
  <si>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</si>
  <si>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</si>
  <si>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</si>
  <si>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</si>
  <si>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</si>
  <si>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</si>
  <si>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</si>
  <si>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</si>
  <si>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</si>
  <si>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</si>
  <si>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</si>
  <si>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</si>
  <si>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</si>
  <si>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</si>
  <si>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</si>
  <si>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</si>
  <si>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</si>
  <si>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</si>
  <si>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</si>
  <si>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</si>
  <si>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</si>
  <si>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</si>
  <si>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</si>
  <si>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</si>
  <si>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</si>
  <si>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</si>
  <si>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</si>
  <si>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</si>
  <si>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</si>
  <si>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</si>
  <si>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</si>
  <si>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</si>
  <si>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</si>
  <si>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</si>
  <si>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</si>
  <si>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</si>
  <si>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</si>
  <si>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</si>
  <si>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</si>
  <si>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</si>
  <si>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</si>
  <si>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</si>
  <si>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</si>
  <si>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</si>
  <si>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</si>
  <si>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</si>
  <si>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</si>
  <si>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</si>
  <si>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９　エネルギー管理指定工場等の一覧表</t>
    <rPh sb="7" eb="9">
      <t>カンリ</t>
    </rPh>
    <rPh sb="9" eb="11">
      <t>シテイ</t>
    </rPh>
    <rPh sb="11" eb="13">
      <t>コウジョウ</t>
    </rPh>
    <rPh sb="13" eb="14">
      <t>トウ</t>
    </rPh>
    <rPh sb="15" eb="17">
      <t>イチラン</t>
    </rPh>
    <rPh sb="17" eb="18">
      <t>ヒョウ</t>
    </rPh>
    <phoneticPr fontId="3"/>
  </si>
  <si>
    <t>指定の区分　</t>
    <rPh sb="0" eb="2">
      <t>シテイ</t>
    </rPh>
    <rPh sb="3" eb="5">
      <t>クブン</t>
    </rPh>
    <phoneticPr fontId="3"/>
  </si>
  <si>
    <t>指定 の区分　</t>
    <rPh sb="0" eb="2">
      <t>シテイ</t>
    </rPh>
    <rPh sb="4" eb="6">
      <t>クブン</t>
    </rPh>
    <phoneticPr fontId="3"/>
  </si>
  <si>
    <t>厚木工場</t>
    <rPh sb="0" eb="4">
      <t>アツギコウジョウ</t>
    </rPh>
    <phoneticPr fontId="3"/>
  </si>
  <si>
    <t>神奈川県厚木市○○1234</t>
    <phoneticPr fontId="3"/>
  </si>
  <si>
    <t>1831</t>
    <phoneticPr fontId="3"/>
  </si>
  <si>
    <t>電気機械器具用プラスチック製品製造業</t>
    <phoneticPr fontId="3"/>
  </si>
  <si>
    <t>　エネルギー管理指定工場等以外の工場等の一覧表（基準年度における原油換算エネルギー使用量が1,000kl以上のものに限る。）</t>
    <rPh sb="24" eb="26">
      <t>キジュン</t>
    </rPh>
    <rPh sb="26" eb="28">
      <t>ネンド</t>
    </rPh>
    <rPh sb="32" eb="34">
      <t>ゲンユ</t>
    </rPh>
    <rPh sb="34" eb="36">
      <t>カンサン</t>
    </rPh>
    <phoneticPr fontId="3"/>
  </si>
  <si>
    <t>10</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</si>
  <si>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</si>
  <si>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</si>
  <si>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</si>
  <si>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1831</t>
    <phoneticPr fontId="3"/>
  </si>
  <si>
    <t>細分類コード</t>
  </si>
  <si>
    <t>大分類名</t>
    <rPh sb="0" eb="1">
      <t>ダイ</t>
    </rPh>
    <rPh sb="1" eb="3">
      <t>ブンルイ</t>
    </rPh>
    <rPh sb="3" eb="4">
      <t>メイ</t>
    </rPh>
    <phoneticPr fontId="30"/>
  </si>
  <si>
    <t>中分類名</t>
    <rPh sb="0" eb="1">
      <t>チュウ</t>
    </rPh>
    <rPh sb="1" eb="3">
      <t>ブンルイ</t>
    </rPh>
    <rPh sb="3" eb="4">
      <t>メイ</t>
    </rPh>
    <phoneticPr fontId="30"/>
  </si>
  <si>
    <t>小分類名</t>
    <rPh sb="0" eb="1">
      <t>ショウ</t>
    </rPh>
    <rPh sb="1" eb="3">
      <t>ブンルイ</t>
    </rPh>
    <rPh sb="3" eb="4">
      <t>メイ</t>
    </rPh>
    <phoneticPr fontId="30"/>
  </si>
  <si>
    <t>細分類名</t>
    <rPh sb="0" eb="3">
      <t>サイブンルイ</t>
    </rPh>
    <rPh sb="1" eb="3">
      <t>ブンルイ</t>
    </rPh>
    <rPh sb="3" eb="4">
      <t>メイ</t>
    </rPh>
    <phoneticPr fontId="30"/>
  </si>
  <si>
    <t>農業，林業</t>
  </si>
  <si>
    <t>農業</t>
  </si>
  <si>
    <t>管理，補助的経済活動を行う事業所（01農業）</t>
  </si>
  <si>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</si>
  <si>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</si>
  <si>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</si>
  <si>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</si>
  <si>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</si>
  <si>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</si>
  <si>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</si>
  <si>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</si>
  <si>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</si>
  <si>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</si>
  <si>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</si>
  <si>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</si>
  <si>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</si>
  <si>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</si>
  <si>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</si>
  <si>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</si>
  <si>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</si>
  <si>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</si>
  <si>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</si>
  <si>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</si>
  <si>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</si>
  <si>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</si>
  <si>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</si>
  <si>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</si>
  <si>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</si>
  <si>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</si>
  <si>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</si>
  <si>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</si>
  <si>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</si>
  <si>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</si>
  <si>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</si>
  <si>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</si>
  <si>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</si>
  <si>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</si>
  <si>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</si>
  <si>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</si>
  <si>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</si>
  <si>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</si>
  <si>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</si>
  <si>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</si>
  <si>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</si>
  <si>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</si>
  <si>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</si>
  <si>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</si>
  <si>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</si>
  <si>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</si>
  <si>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</si>
  <si>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</si>
  <si>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</si>
  <si>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</si>
  <si>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</si>
  <si>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</si>
  <si>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</si>
  <si>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</si>
  <si>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</si>
  <si>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</si>
  <si>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</si>
  <si>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</si>
  <si>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</si>
  <si>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</si>
  <si>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</si>
  <si>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</si>
  <si>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</si>
  <si>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</si>
  <si>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</si>
  <si>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</si>
  <si>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</si>
  <si>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</si>
  <si>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</si>
  <si>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</si>
  <si>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</si>
  <si>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</si>
  <si>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</si>
  <si>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</si>
  <si>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</si>
  <si>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</si>
  <si>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</si>
  <si>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</si>
  <si>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</si>
  <si>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</si>
  <si>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</si>
  <si>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</si>
  <si>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</si>
  <si>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</si>
  <si>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</si>
  <si>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</si>
  <si>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</si>
  <si>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</si>
  <si>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</si>
  <si>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</si>
  <si>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</si>
  <si>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</si>
  <si>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</si>
  <si>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</si>
  <si>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</si>
  <si>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</si>
  <si>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</si>
  <si>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</si>
  <si>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</si>
  <si>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</si>
  <si>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</si>
  <si>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</si>
  <si>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</si>
  <si>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</si>
  <si>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</si>
  <si>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</si>
  <si>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</si>
  <si>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</si>
  <si>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</si>
  <si>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</si>
  <si>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</si>
  <si>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</si>
  <si>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</si>
  <si>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</si>
  <si>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</si>
  <si>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</si>
  <si>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</si>
  <si>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</si>
  <si>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</si>
  <si>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</si>
  <si>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</si>
  <si>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</si>
  <si>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</si>
  <si>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</si>
  <si>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</si>
  <si>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</si>
  <si>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</si>
  <si>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</si>
  <si>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</si>
  <si>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</si>
  <si>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</si>
  <si>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</si>
  <si>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</si>
  <si>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</si>
  <si>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</si>
  <si>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</si>
  <si>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</si>
  <si>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</si>
  <si>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</si>
  <si>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</si>
  <si>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</si>
  <si>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</si>
  <si>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</si>
  <si>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</si>
  <si>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</si>
  <si>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</si>
  <si>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</si>
  <si>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</si>
  <si>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</si>
  <si>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</si>
  <si>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</si>
  <si>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</si>
  <si>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</si>
  <si>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</si>
  <si>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</si>
  <si>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</si>
  <si>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</si>
  <si>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</si>
  <si>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</si>
  <si>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</si>
  <si>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</si>
  <si>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</si>
  <si>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</si>
  <si>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</si>
  <si>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</si>
  <si>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</si>
  <si>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</si>
  <si>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</si>
  <si>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</si>
  <si>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</si>
  <si>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</si>
  <si>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</si>
  <si>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</si>
  <si>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</si>
  <si>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</si>
  <si>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</si>
  <si>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</si>
  <si>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</si>
  <si>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</si>
  <si>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</si>
  <si>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</si>
  <si>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</si>
  <si>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</si>
  <si>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</si>
  <si>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</si>
  <si>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</si>
  <si>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</si>
  <si>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</si>
  <si>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</si>
  <si>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</si>
  <si>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</si>
  <si>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</si>
  <si>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</si>
  <si>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</si>
  <si>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</si>
  <si>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</si>
  <si>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</si>
  <si>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</si>
  <si>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</si>
  <si>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</si>
  <si>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</si>
  <si>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</si>
  <si>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</si>
  <si>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</si>
  <si>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</si>
  <si>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</si>
  <si>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</si>
  <si>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</si>
  <si>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</si>
  <si>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</si>
  <si>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</si>
  <si>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</si>
  <si>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</si>
  <si>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</si>
  <si>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</si>
  <si>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</si>
  <si>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</si>
  <si>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</si>
  <si>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</si>
  <si>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</si>
  <si>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</si>
  <si>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</si>
  <si>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</si>
  <si>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</si>
  <si>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</si>
  <si>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</si>
  <si>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</si>
  <si>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</si>
  <si>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</si>
  <si>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</si>
  <si>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</si>
  <si>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</si>
  <si>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</si>
  <si>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</si>
  <si>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</si>
  <si>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</si>
  <si>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</si>
  <si>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</si>
  <si>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</si>
  <si>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</si>
  <si>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</si>
  <si>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</si>
  <si>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</si>
  <si>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</si>
  <si>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</si>
  <si>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</si>
  <si>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</si>
  <si>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</si>
  <si>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</si>
  <si>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</si>
  <si>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</si>
  <si>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</si>
  <si>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</si>
  <si>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</si>
  <si>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</si>
  <si>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</si>
  <si>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</si>
  <si>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</si>
  <si>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</si>
  <si>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</si>
  <si>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</si>
  <si>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</si>
  <si>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</si>
  <si>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</si>
  <si>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</si>
  <si>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</si>
  <si>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</si>
  <si>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</si>
  <si>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</si>
  <si>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</si>
  <si>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</si>
  <si>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</si>
  <si>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</si>
  <si>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</si>
  <si>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</si>
  <si>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</si>
  <si>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</si>
  <si>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</si>
  <si>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</si>
  <si>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</si>
  <si>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</si>
  <si>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</si>
  <si>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</si>
  <si>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</si>
  <si>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</si>
  <si>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</si>
  <si>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</si>
  <si>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</si>
  <si>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</si>
  <si>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</si>
  <si>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</si>
  <si>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</si>
  <si>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</si>
  <si>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</si>
  <si>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</si>
  <si>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</si>
  <si>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</si>
  <si>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</si>
  <si>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</si>
  <si>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</si>
  <si>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</si>
  <si>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</si>
  <si>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</si>
  <si>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</si>
  <si>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</si>
  <si>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</si>
  <si>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</si>
  <si>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</si>
  <si>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</si>
  <si>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</si>
  <si>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</si>
  <si>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</si>
  <si>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</si>
  <si>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</si>
  <si>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</si>
  <si>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</si>
  <si>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</si>
  <si>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</si>
  <si>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</si>
  <si>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</si>
  <si>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</si>
  <si>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</si>
  <si>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</si>
  <si>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</si>
  <si>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</si>
  <si>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</si>
  <si>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</si>
  <si>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</si>
  <si>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</si>
  <si>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</si>
  <si>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</si>
  <si>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</si>
  <si>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</si>
  <si>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</si>
  <si>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</si>
  <si>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</si>
  <si>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</si>
  <si>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</si>
  <si>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</si>
  <si>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</si>
  <si>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</si>
  <si>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</si>
  <si>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</si>
  <si>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</si>
  <si>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</si>
  <si>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</si>
  <si>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</si>
  <si>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</si>
  <si>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</si>
  <si>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</si>
  <si>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</si>
  <si>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</si>
  <si>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</si>
  <si>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</si>
  <si>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</si>
  <si>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</si>
  <si>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</si>
  <si>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</si>
  <si>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</si>
  <si>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</si>
  <si>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</si>
  <si>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</si>
  <si>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</si>
  <si>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</si>
  <si>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</si>
  <si>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</si>
  <si>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</si>
  <si>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</si>
  <si>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</si>
  <si>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</si>
  <si>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</si>
  <si>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</si>
  <si>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</si>
  <si>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</si>
  <si>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</si>
  <si>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</si>
  <si>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</si>
  <si>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</si>
  <si>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</si>
  <si>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</si>
  <si>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</si>
  <si>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</si>
  <si>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</si>
  <si>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</si>
  <si>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</si>
  <si>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</si>
  <si>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</si>
  <si>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</si>
  <si>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</si>
  <si>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</si>
  <si>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</si>
  <si>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</si>
  <si>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</si>
  <si>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</si>
  <si>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</si>
  <si>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</si>
  <si>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</si>
  <si>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</si>
  <si>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</si>
  <si>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</si>
  <si>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</si>
  <si>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</si>
  <si>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</si>
  <si>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</si>
  <si>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</si>
  <si>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清涼飲料製造業</t>
  </si>
  <si>
    <t>酒類製造業</t>
  </si>
  <si>
    <t>果実酒製造業</t>
  </si>
  <si>
    <t>清酒製造業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</si>
  <si>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</si>
  <si>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</si>
  <si>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</si>
  <si>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</si>
  <si>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</si>
  <si>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</si>
  <si>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</si>
  <si>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</si>
  <si>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</si>
  <si>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</si>
  <si>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</si>
  <si>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</si>
  <si>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</si>
  <si>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</si>
  <si>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</si>
  <si>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</si>
  <si>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</si>
  <si>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</si>
  <si>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</si>
  <si>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</si>
  <si>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</si>
  <si>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</si>
  <si>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</si>
  <si>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</si>
  <si>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</si>
  <si>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</si>
  <si>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</si>
  <si>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</si>
  <si>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</si>
  <si>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</si>
  <si>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</si>
  <si>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</si>
  <si>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</si>
  <si>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</si>
  <si>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</si>
  <si>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</si>
  <si>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</si>
  <si>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</si>
  <si>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</si>
  <si>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</si>
  <si>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</si>
  <si>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</si>
  <si>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</si>
  <si>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</si>
  <si>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</si>
  <si>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</si>
  <si>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</si>
  <si>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</si>
  <si>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</si>
  <si>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</si>
  <si>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</si>
  <si>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</si>
  <si>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</si>
  <si>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</si>
  <si>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</si>
  <si>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</si>
  <si>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</si>
  <si>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</si>
  <si>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</si>
  <si>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</si>
  <si>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</si>
  <si>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</si>
  <si>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</si>
  <si>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</si>
  <si>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</si>
  <si>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</si>
  <si>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</si>
  <si>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</si>
  <si>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</si>
  <si>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</si>
  <si>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</si>
  <si>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</si>
  <si>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</si>
  <si>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</si>
  <si>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</si>
  <si>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</si>
  <si>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</si>
  <si>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</si>
  <si>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</si>
  <si>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</si>
  <si>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</si>
  <si>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</si>
  <si>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</si>
  <si>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</si>
  <si>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</si>
  <si>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</si>
  <si>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</si>
  <si>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</si>
  <si>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</si>
  <si>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</si>
  <si>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</si>
  <si>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</si>
  <si>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</si>
  <si>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</si>
  <si>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</si>
  <si>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</si>
  <si>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</si>
  <si>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</si>
  <si>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</si>
  <si>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</si>
  <si>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</si>
  <si>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</si>
  <si>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</si>
  <si>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</si>
  <si>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</si>
  <si>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</si>
  <si>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</si>
  <si>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</si>
  <si>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</si>
  <si>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</si>
  <si>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</si>
  <si>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</si>
  <si>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</si>
  <si>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</si>
  <si>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</si>
  <si>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</si>
  <si>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</si>
  <si>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</si>
  <si>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</si>
  <si>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</si>
  <si>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</si>
  <si>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</si>
  <si>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</si>
  <si>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</si>
  <si>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</si>
  <si>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</si>
  <si>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</si>
  <si>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</si>
  <si>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</si>
  <si>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</si>
  <si>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</si>
  <si>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</si>
  <si>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</si>
  <si>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</si>
  <si>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</si>
  <si>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</si>
  <si>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</si>
  <si>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</si>
  <si>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</si>
  <si>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</si>
  <si>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</si>
  <si>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</si>
  <si>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</si>
  <si>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</si>
  <si>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</si>
  <si>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</si>
  <si>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</si>
  <si>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</si>
  <si>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</si>
  <si>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</si>
  <si>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</si>
  <si>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</si>
  <si>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</si>
  <si>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</si>
  <si>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</si>
  <si>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</si>
  <si>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</si>
  <si>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</si>
  <si>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</si>
  <si>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</si>
  <si>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</si>
  <si>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</si>
  <si>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</si>
  <si>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</si>
  <si>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</si>
  <si>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</si>
  <si>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</si>
  <si>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</si>
  <si>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</si>
  <si>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</si>
  <si>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</si>
  <si>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</si>
  <si>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</si>
  <si>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</si>
  <si>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</si>
  <si>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</si>
  <si>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</si>
  <si>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</si>
  <si>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</si>
  <si>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</si>
  <si>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</si>
  <si>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</si>
  <si>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</si>
  <si>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</si>
  <si>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</si>
  <si>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</si>
  <si>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</si>
  <si>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</si>
  <si>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</si>
  <si>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</si>
  <si>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</si>
  <si>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</si>
  <si>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</si>
  <si>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</si>
  <si>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</si>
  <si>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</si>
  <si>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</si>
  <si>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</si>
  <si>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</si>
  <si>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</si>
  <si>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</si>
  <si>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</si>
  <si>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</si>
  <si>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</si>
  <si>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</si>
  <si>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</si>
  <si>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</si>
  <si>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</si>
  <si>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</si>
  <si>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</si>
  <si>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</si>
  <si>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</si>
  <si>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</si>
  <si>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</si>
  <si>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</si>
  <si>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</si>
  <si>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</si>
  <si>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</si>
  <si>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</si>
  <si>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</si>
  <si>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</si>
  <si>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</si>
  <si>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</si>
  <si>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</si>
  <si>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</si>
  <si>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</si>
  <si>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</si>
  <si>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</si>
  <si>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</si>
  <si>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</si>
  <si>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</si>
  <si>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</si>
  <si>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</si>
  <si>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</si>
  <si>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</si>
  <si>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</si>
  <si>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</si>
  <si>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</si>
  <si>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</si>
  <si>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</si>
  <si>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</si>
  <si>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</si>
  <si>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</si>
  <si>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</si>
  <si>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</si>
  <si>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</si>
  <si>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</si>
  <si>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</si>
  <si>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</si>
  <si>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</si>
  <si>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</si>
  <si>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</si>
  <si>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</si>
  <si>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</si>
  <si>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</si>
  <si>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</si>
  <si>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</si>
  <si>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</si>
  <si>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</si>
  <si>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</si>
  <si>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</si>
  <si>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</si>
  <si>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</si>
  <si>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</si>
  <si>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</si>
  <si>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</si>
  <si>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</si>
  <si>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</si>
  <si>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</si>
  <si>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</si>
  <si>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</si>
  <si>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</si>
  <si>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</si>
  <si>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</si>
  <si>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</si>
  <si>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</si>
  <si>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</si>
  <si>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</si>
  <si>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</si>
  <si>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</si>
  <si>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</si>
  <si>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</si>
  <si>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</si>
  <si>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</si>
  <si>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</si>
  <si>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</si>
  <si>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</si>
  <si>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</si>
  <si>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</si>
  <si>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</si>
  <si>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</si>
  <si>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</si>
  <si>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</si>
  <si>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</si>
  <si>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</si>
  <si>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</si>
  <si>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</si>
  <si>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</si>
  <si>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</si>
  <si>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</si>
  <si>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</si>
  <si>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</si>
  <si>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</si>
  <si>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</si>
  <si>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</si>
  <si>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</si>
  <si>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</si>
  <si>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</si>
  <si>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</si>
  <si>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</si>
  <si>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</si>
  <si>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</si>
  <si>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</si>
  <si>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</si>
  <si>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</si>
  <si>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</si>
  <si>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</si>
  <si>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</si>
  <si>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</si>
  <si>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</si>
  <si>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</si>
  <si>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</si>
  <si>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</si>
  <si>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</si>
  <si>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</si>
  <si>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</si>
  <si>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</si>
  <si>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</si>
  <si>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</si>
  <si>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</si>
  <si>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</si>
  <si>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</si>
  <si>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</si>
  <si>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</si>
  <si>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</si>
  <si>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</si>
  <si>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</si>
  <si>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</si>
  <si>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</si>
  <si>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</si>
  <si>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</si>
  <si>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</si>
  <si>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</si>
  <si>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</si>
  <si>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</si>
  <si>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</si>
  <si>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</si>
  <si>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</si>
  <si>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</si>
  <si>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</si>
  <si>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</si>
  <si>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</si>
  <si>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</si>
  <si>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</si>
  <si>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</si>
  <si>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</si>
  <si>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</si>
  <si>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</si>
  <si>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</si>
  <si>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</si>
  <si>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</si>
  <si>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</si>
  <si>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</si>
  <si>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</si>
  <si>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</si>
  <si>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</si>
  <si>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</si>
  <si>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</si>
  <si>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</si>
  <si>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</si>
  <si>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</si>
  <si>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</si>
  <si>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</si>
  <si>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</si>
  <si>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</si>
  <si>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</si>
  <si>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</si>
  <si>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</si>
  <si>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</si>
  <si>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</si>
  <si>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</si>
  <si>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</si>
  <si>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</si>
  <si>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</si>
  <si>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</si>
  <si>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</si>
  <si>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</si>
  <si>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</si>
  <si>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</si>
  <si>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</si>
  <si>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</si>
  <si>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</si>
  <si>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</si>
  <si>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</si>
  <si>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</si>
  <si>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</si>
  <si>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</si>
  <si>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</si>
  <si>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</si>
  <si>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</si>
  <si>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</si>
  <si>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</si>
  <si>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</si>
  <si>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</si>
  <si>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</si>
  <si>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</si>
  <si>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</si>
  <si>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</si>
  <si>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</si>
  <si>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</si>
  <si>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</si>
  <si>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</si>
  <si>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</si>
  <si>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</si>
  <si>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</si>
  <si>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</si>
  <si>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</si>
  <si>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</si>
  <si>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</si>
  <si>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</si>
  <si>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</si>
  <si>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</si>
  <si>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</si>
  <si>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</si>
  <si>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</si>
  <si>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</si>
  <si>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</si>
  <si>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</si>
  <si>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</si>
  <si>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</si>
  <si>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</si>
  <si>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</si>
  <si>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</si>
  <si>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</si>
  <si>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</si>
  <si>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</si>
  <si>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</si>
  <si>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</si>
  <si>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</si>
  <si>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</si>
  <si>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</si>
  <si>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</si>
  <si>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</si>
  <si>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</si>
  <si>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</si>
  <si>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</si>
  <si>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</si>
  <si>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</si>
  <si>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</si>
  <si>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</si>
  <si>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</si>
  <si>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</si>
  <si>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</si>
  <si>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</si>
  <si>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</si>
  <si>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</si>
  <si>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</si>
  <si>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</si>
  <si>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</si>
  <si>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</si>
  <si>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</si>
  <si>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</si>
  <si>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</si>
  <si>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</si>
  <si>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</si>
  <si>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</si>
  <si>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</si>
  <si>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</si>
  <si>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</si>
  <si>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</si>
  <si>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</si>
  <si>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</si>
  <si>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</si>
  <si>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</si>
  <si>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</si>
  <si>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</si>
  <si>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</si>
  <si>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</si>
  <si>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</si>
  <si>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</si>
  <si>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</si>
  <si>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</si>
  <si>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</si>
  <si>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</si>
  <si>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</si>
  <si>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</si>
  <si>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</si>
  <si>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</si>
  <si>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</si>
  <si>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</si>
  <si>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</si>
  <si>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</si>
  <si>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</si>
  <si>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</si>
  <si>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</si>
  <si>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</si>
  <si>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</si>
  <si>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</si>
  <si>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</si>
  <si>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</si>
  <si>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</si>
  <si>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</si>
  <si>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</si>
  <si>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</si>
  <si>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</si>
  <si>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</si>
  <si>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</si>
  <si>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</si>
  <si>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</si>
  <si>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</si>
  <si>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</si>
  <si>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</si>
  <si>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</si>
  <si>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</si>
  <si>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</si>
  <si>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</si>
  <si>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</si>
  <si>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</si>
  <si>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</si>
  <si>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</si>
  <si>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</si>
  <si>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</si>
  <si>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</si>
  <si>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</si>
  <si>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</si>
  <si>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</si>
  <si>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</si>
  <si>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</si>
  <si>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</si>
  <si>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</si>
  <si>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</si>
  <si>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</si>
  <si>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</si>
  <si>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</si>
  <si>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</si>
  <si>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</si>
  <si>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</si>
  <si>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</si>
  <si>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</si>
  <si>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</si>
  <si>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</si>
  <si>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</si>
  <si>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</si>
  <si>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</si>
  <si>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</si>
  <si>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</si>
  <si>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</si>
  <si>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</si>
  <si>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</si>
  <si>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</si>
  <si>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</si>
  <si>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</si>
  <si>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</si>
  <si>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</si>
  <si>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</si>
  <si>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</si>
  <si>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</si>
  <si>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</si>
  <si>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</si>
  <si>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</si>
  <si>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</si>
  <si>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</si>
  <si>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</si>
  <si>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</si>
  <si>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</si>
  <si>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</si>
  <si>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</si>
  <si>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</si>
  <si>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</si>
  <si>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</si>
  <si>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</si>
  <si>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</si>
  <si>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</si>
  <si>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</si>
  <si>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</si>
  <si>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</si>
  <si>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</si>
  <si>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</si>
  <si>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</si>
  <si>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</si>
  <si>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</si>
  <si>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</si>
  <si>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</si>
  <si>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</si>
  <si>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</si>
  <si>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</si>
  <si>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</si>
  <si>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</si>
  <si>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</si>
  <si>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</si>
  <si>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</si>
  <si>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</si>
  <si>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</si>
  <si>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</si>
  <si>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</si>
  <si>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</si>
  <si>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</si>
  <si>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</si>
  <si>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</si>
  <si>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</si>
  <si>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</si>
  <si>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</si>
  <si>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</si>
  <si>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</si>
  <si>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</si>
  <si>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</si>
  <si>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</si>
  <si>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</si>
  <si>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</si>
  <si>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</si>
  <si>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</si>
  <si>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</si>
  <si>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</si>
  <si>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</si>
  <si>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</si>
  <si>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</si>
  <si>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</si>
  <si>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</si>
  <si>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</si>
  <si>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</si>
  <si>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</si>
  <si>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</si>
  <si>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</si>
  <si>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</si>
  <si>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</si>
  <si>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</si>
  <si>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</si>
  <si>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</si>
  <si>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</si>
  <si>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</si>
  <si>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</si>
  <si>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</si>
  <si>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</si>
  <si>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</si>
  <si>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</si>
  <si>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</si>
  <si>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</si>
  <si>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</si>
  <si>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</si>
  <si>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</si>
  <si>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</si>
  <si>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</si>
  <si>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</si>
  <si>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</si>
  <si>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</si>
  <si>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</si>
  <si>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</si>
  <si>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</si>
  <si>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</si>
  <si>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</si>
  <si>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</si>
  <si>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電気・ガス・熱供給・水道業</t>
  </si>
  <si>
    <t>電気業</t>
  </si>
  <si>
    <t>管理，補助的経済活動を行う事業所（33電気業）</t>
  </si>
  <si>
    <t>ガス業</t>
  </si>
  <si>
    <t>管理，補助的経済活動を行う事業所（34ガス業）</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</si>
  <si>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</si>
  <si>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</si>
  <si>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</si>
  <si>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</si>
  <si>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</si>
  <si>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</si>
  <si>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</si>
  <si>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</si>
  <si>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</si>
  <si>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</si>
  <si>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</si>
  <si>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</si>
  <si>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</si>
  <si>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</si>
  <si>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</si>
  <si>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</si>
  <si>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</si>
  <si>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</si>
  <si>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</si>
  <si>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</si>
  <si>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</si>
  <si>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</si>
  <si>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</si>
  <si>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</si>
  <si>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</si>
  <si>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</si>
  <si>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</si>
  <si>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</si>
  <si>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</si>
  <si>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</si>
  <si>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</si>
  <si>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</si>
  <si>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</si>
  <si>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</si>
  <si>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</si>
  <si>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</si>
  <si>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</si>
  <si>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</si>
  <si>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</si>
  <si>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</si>
  <si>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</si>
  <si>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</si>
  <si>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</si>
  <si>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</si>
  <si>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</si>
  <si>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</si>
  <si>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</si>
  <si>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</si>
  <si>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</si>
  <si>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</si>
  <si>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</si>
  <si>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</si>
  <si>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</si>
  <si>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</si>
  <si>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</si>
  <si>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</si>
  <si>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</si>
  <si>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</si>
  <si>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</si>
  <si>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</si>
  <si>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</si>
  <si>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</si>
  <si>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</si>
  <si>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</si>
  <si>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</si>
  <si>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</si>
  <si>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</si>
  <si>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</si>
  <si>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</si>
  <si>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</si>
  <si>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</si>
  <si>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</si>
  <si>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</si>
  <si>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</si>
  <si>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</si>
  <si>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</si>
  <si>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</si>
  <si>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</si>
  <si>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</si>
  <si>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</si>
  <si>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</si>
  <si>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</si>
  <si>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</si>
  <si>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</si>
  <si>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</si>
  <si>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</si>
  <si>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</si>
  <si>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</si>
  <si>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</si>
  <si>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</si>
  <si>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</si>
  <si>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</si>
  <si>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</si>
  <si>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</si>
  <si>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</si>
  <si>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</si>
  <si>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</si>
  <si>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</si>
  <si>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</si>
  <si>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</si>
  <si>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</si>
  <si>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</si>
  <si>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</si>
  <si>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</si>
  <si>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</si>
  <si>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</si>
  <si>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</si>
  <si>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</si>
  <si>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</si>
  <si>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</si>
  <si>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</si>
  <si>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</si>
  <si>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</si>
  <si>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</si>
  <si>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</si>
  <si>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</si>
  <si>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</si>
  <si>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</si>
  <si>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</si>
  <si>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</si>
  <si>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</si>
  <si>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</si>
  <si>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</si>
  <si>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</si>
  <si>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</si>
  <si>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</si>
  <si>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</si>
  <si>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</si>
  <si>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</si>
  <si>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</si>
  <si>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</si>
  <si>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</si>
  <si>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</si>
  <si>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</si>
  <si>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</si>
  <si>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</si>
  <si>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</si>
  <si>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卸売業，小売業</t>
  </si>
  <si>
    <t>各種商品卸売業</t>
  </si>
  <si>
    <t>管理，補助的経済活動を行う事業所（50各種商品卸売業）</t>
  </si>
  <si>
    <t>自家用倉庫</t>
  </si>
  <si>
    <t>各種商品卸売業（従業者が常時100人以上のもの）</t>
  </si>
  <si>
    <t>その他の各種商品卸売業</t>
  </si>
  <si>
    <t>繊維・衣服等卸売業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</si>
  <si>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</si>
  <si>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</si>
  <si>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</si>
  <si>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</si>
  <si>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</si>
  <si>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</si>
  <si>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</si>
  <si>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</si>
  <si>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</si>
  <si>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</si>
  <si>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</si>
  <si>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</si>
  <si>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</si>
  <si>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</si>
  <si>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</si>
  <si>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飲食料品卸売業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</si>
  <si>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</si>
  <si>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</si>
  <si>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</si>
  <si>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</si>
  <si>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</si>
  <si>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</si>
  <si>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</si>
  <si>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</si>
  <si>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</si>
  <si>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</si>
  <si>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</si>
  <si>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</si>
  <si>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</si>
  <si>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</si>
  <si>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</si>
  <si>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</si>
  <si>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</si>
  <si>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</si>
  <si>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</si>
  <si>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</si>
  <si>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</si>
  <si>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</si>
  <si>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</si>
  <si>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</si>
  <si>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</si>
  <si>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</si>
  <si>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</si>
  <si>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</si>
  <si>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</si>
  <si>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</si>
  <si>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</si>
  <si>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</si>
  <si>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</si>
  <si>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</si>
  <si>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</si>
  <si>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</si>
  <si>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</si>
  <si>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</si>
  <si>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</si>
  <si>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</si>
  <si>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</si>
  <si>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</si>
  <si>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</si>
  <si>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</si>
  <si>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</si>
  <si>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</si>
  <si>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機械器具卸売業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</si>
  <si>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</si>
  <si>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</si>
  <si>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</si>
  <si>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</si>
  <si>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</si>
  <si>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</si>
  <si>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</si>
  <si>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</si>
  <si>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</si>
  <si>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</si>
  <si>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</si>
  <si>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</si>
  <si>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</si>
  <si>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</si>
  <si>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</si>
  <si>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</si>
  <si>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</si>
  <si>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</si>
  <si>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その他の卸売業</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</si>
  <si>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</si>
  <si>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</si>
  <si>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</si>
  <si>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</si>
  <si>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</si>
  <si>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</si>
  <si>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</si>
  <si>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</si>
  <si>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</si>
  <si>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</si>
  <si>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</si>
  <si>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</si>
  <si>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</si>
  <si>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</si>
  <si>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</si>
  <si>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</si>
  <si>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</si>
  <si>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</si>
  <si>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</si>
  <si>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</si>
  <si>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</si>
  <si>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</si>
  <si>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</si>
  <si>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</si>
  <si>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</si>
  <si>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</si>
  <si>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各種商品小売業</t>
  </si>
  <si>
    <t>管理，補助的経済活動を行う事業所（56各種商品小売業）</t>
  </si>
  <si>
    <t>織物・衣服・身の回り品小売業</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</si>
  <si>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</si>
  <si>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</si>
  <si>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</si>
  <si>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</si>
  <si>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</si>
  <si>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</si>
  <si>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</si>
  <si>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</si>
  <si>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</si>
  <si>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</si>
  <si>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</si>
  <si>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</si>
  <si>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</si>
  <si>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</si>
  <si>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</si>
  <si>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</si>
  <si>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飲食料品小売業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</si>
  <si>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</si>
  <si>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</si>
  <si>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</si>
  <si>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</si>
  <si>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</si>
  <si>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</si>
  <si>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</si>
  <si>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</si>
  <si>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</si>
  <si>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</si>
  <si>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</si>
  <si>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</si>
  <si>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</si>
  <si>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</si>
  <si>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</si>
  <si>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</si>
  <si>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</si>
  <si>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</si>
  <si>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</si>
  <si>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</si>
  <si>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</si>
  <si>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</si>
  <si>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</si>
  <si>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</si>
  <si>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</si>
  <si>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</si>
  <si>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</si>
  <si>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</si>
  <si>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</si>
  <si>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</si>
  <si>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</si>
  <si>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</si>
  <si>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</si>
  <si>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</si>
  <si>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</si>
  <si>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</si>
  <si>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</si>
  <si>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その他の小売業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</si>
  <si>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</si>
  <si>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</si>
  <si>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</si>
  <si>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</si>
  <si>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</si>
  <si>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</si>
  <si>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</si>
  <si>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</si>
  <si>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</si>
  <si>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</si>
  <si>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</si>
  <si>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</si>
  <si>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</si>
  <si>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</si>
  <si>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</si>
  <si>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</si>
  <si>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</si>
  <si>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</si>
  <si>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</si>
  <si>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</si>
  <si>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</si>
  <si>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</si>
  <si>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</si>
  <si>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</si>
  <si>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</si>
  <si>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</si>
  <si>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</si>
  <si>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</si>
  <si>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</si>
  <si>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</si>
  <si>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</si>
  <si>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</si>
  <si>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</si>
  <si>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</si>
  <si>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</si>
  <si>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</si>
  <si>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</si>
  <si>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</si>
  <si>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</si>
  <si>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</si>
  <si>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</si>
  <si>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</si>
  <si>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</si>
  <si>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</si>
  <si>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</si>
  <si>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</si>
  <si>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</si>
  <si>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</si>
  <si>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</si>
  <si>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</si>
  <si>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</si>
  <si>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</si>
  <si>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</si>
  <si>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</si>
  <si>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</si>
  <si>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</si>
  <si>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</si>
  <si>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</si>
  <si>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</si>
  <si>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</si>
  <si>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</si>
  <si>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</si>
  <si>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</si>
  <si>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</si>
  <si>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</si>
  <si>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</si>
  <si>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</si>
  <si>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</si>
  <si>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</si>
  <si>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</si>
  <si>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</si>
  <si>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</si>
  <si>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</si>
  <si>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</si>
  <si>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</si>
  <si>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</si>
  <si>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</si>
  <si>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</si>
  <si>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</si>
  <si>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</si>
  <si>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</si>
  <si>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</si>
  <si>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</si>
  <si>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</si>
  <si>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</si>
  <si>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</si>
  <si>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</si>
  <si>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</si>
  <si>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</si>
  <si>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</si>
  <si>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</si>
  <si>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</si>
  <si>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</si>
  <si>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</si>
  <si>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</si>
  <si>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</si>
  <si>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</si>
  <si>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</si>
  <si>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</si>
  <si>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</si>
  <si>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</si>
  <si>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</si>
  <si>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</si>
  <si>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</si>
  <si>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</si>
  <si>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</si>
  <si>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</si>
  <si>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</si>
  <si>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</si>
  <si>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</si>
  <si>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</si>
  <si>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</si>
  <si>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</si>
  <si>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</si>
  <si>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</si>
  <si>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</si>
  <si>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</si>
  <si>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</si>
  <si>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</si>
  <si>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</si>
  <si>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</si>
  <si>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</si>
  <si>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</si>
  <si>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</si>
  <si>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</si>
  <si>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</si>
  <si>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</si>
  <si>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</si>
  <si>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</si>
  <si>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</si>
  <si>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</si>
  <si>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</si>
  <si>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</si>
  <si>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</si>
  <si>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</si>
  <si>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</si>
  <si>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</si>
  <si>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</si>
  <si>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</si>
  <si>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</si>
  <si>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</si>
  <si>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</si>
  <si>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</si>
  <si>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</si>
  <si>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</si>
  <si>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</si>
  <si>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</si>
  <si>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</si>
  <si>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</si>
  <si>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</si>
  <si>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</si>
  <si>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</si>
  <si>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</si>
  <si>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</si>
  <si>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</si>
  <si>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</si>
  <si>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</si>
  <si>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</si>
  <si>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</si>
  <si>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</si>
  <si>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</si>
  <si>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</si>
  <si>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</si>
  <si>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</si>
  <si>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</si>
  <si>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</si>
  <si>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</si>
  <si>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</si>
  <si>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</si>
  <si>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</si>
  <si>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</si>
  <si>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</si>
  <si>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</si>
  <si>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</si>
  <si>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</si>
  <si>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</si>
  <si>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</si>
  <si>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</si>
  <si>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</si>
  <si>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</si>
  <si>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</si>
  <si>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</si>
  <si>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</si>
  <si>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</si>
  <si>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</si>
  <si>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</si>
  <si>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</si>
  <si>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</si>
  <si>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</si>
  <si>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</si>
  <si>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</si>
  <si>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</si>
  <si>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</si>
  <si>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</si>
  <si>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</si>
  <si>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</si>
  <si>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</si>
  <si>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</si>
  <si>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</si>
  <si>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</si>
  <si>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</si>
  <si>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</si>
  <si>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</si>
  <si>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</si>
  <si>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</si>
  <si>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</si>
  <si>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</si>
  <si>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</si>
  <si>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</si>
  <si>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</si>
  <si>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</si>
  <si>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</si>
  <si>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</si>
  <si>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</si>
  <si>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</si>
  <si>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</si>
  <si>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</si>
  <si>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</si>
  <si>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</si>
  <si>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</si>
  <si>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</si>
  <si>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</si>
  <si>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</si>
  <si>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</si>
  <si>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</si>
  <si>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</si>
  <si>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</si>
  <si>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</si>
  <si>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</si>
  <si>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</si>
  <si>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</si>
  <si>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</si>
  <si>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</si>
  <si>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</si>
  <si>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</si>
  <si>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</si>
  <si>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</si>
  <si>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</si>
  <si>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</si>
  <si>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</si>
  <si>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</si>
  <si>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</si>
  <si>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</si>
  <si>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</si>
  <si>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</si>
  <si>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</si>
  <si>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</si>
  <si>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</si>
  <si>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</si>
  <si>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</si>
  <si>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</si>
  <si>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</si>
  <si>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</si>
  <si>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</si>
  <si>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</si>
  <si>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</si>
  <si>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</si>
  <si>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</si>
  <si>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</si>
  <si>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</si>
  <si>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</si>
  <si>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</si>
  <si>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</si>
  <si>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持ち帰り・配達飲食サービス業</t>
  </si>
  <si>
    <t>管理，補助的経済活動を行う事業所（77持ち帰り・配達飲食サービス業）</t>
  </si>
  <si>
    <t>持ち帰り飲食サービス業</t>
  </si>
  <si>
    <t>配達飲食サービス業</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</si>
  <si>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</si>
  <si>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</si>
  <si>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</si>
  <si>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</si>
  <si>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</si>
  <si>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</si>
  <si>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</si>
  <si>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</si>
  <si>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</si>
  <si>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</si>
  <si>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</si>
  <si>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</si>
  <si>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</si>
  <si>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</si>
  <si>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</si>
  <si>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</si>
  <si>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</si>
  <si>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</si>
  <si>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</si>
  <si>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</si>
  <si>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</si>
  <si>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</si>
  <si>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</si>
  <si>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</si>
  <si>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</si>
  <si>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</si>
  <si>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</si>
  <si>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</si>
  <si>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</si>
  <si>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</si>
  <si>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</si>
  <si>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</si>
  <si>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</si>
  <si>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</si>
  <si>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</si>
  <si>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</si>
  <si>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</si>
  <si>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</si>
  <si>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</si>
  <si>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</si>
  <si>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</si>
  <si>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</si>
  <si>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</si>
  <si>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</si>
  <si>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</si>
  <si>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</si>
  <si>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</si>
  <si>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</si>
  <si>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</si>
  <si>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</si>
  <si>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競輪競技団</t>
  </si>
  <si>
    <t>競馬競技団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</si>
  <si>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</si>
  <si>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</si>
  <si>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</si>
  <si>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</si>
  <si>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</si>
  <si>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</si>
  <si>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</si>
  <si>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</si>
  <si>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</si>
  <si>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</si>
  <si>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</si>
  <si>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</si>
  <si>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</si>
  <si>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</si>
  <si>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</si>
  <si>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</si>
  <si>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</si>
  <si>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</si>
  <si>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</si>
  <si>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</si>
  <si>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</si>
  <si>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</si>
  <si>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</si>
  <si>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</si>
  <si>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</si>
  <si>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</si>
  <si>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</si>
  <si>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</si>
  <si>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</si>
  <si>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</si>
  <si>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</si>
  <si>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</si>
  <si>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</si>
  <si>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</si>
  <si>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</si>
  <si>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</si>
  <si>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</si>
  <si>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</si>
  <si>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</si>
  <si>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</si>
  <si>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</si>
  <si>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</si>
  <si>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</si>
  <si>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</si>
  <si>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</si>
  <si>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</si>
  <si>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</si>
  <si>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</si>
  <si>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</si>
  <si>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</si>
  <si>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</si>
  <si>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</si>
  <si>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</si>
  <si>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</si>
  <si>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</si>
  <si>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</si>
  <si>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</si>
  <si>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</si>
  <si>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</si>
  <si>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</si>
  <si>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</si>
  <si>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</si>
  <si>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</si>
  <si>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</si>
  <si>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</si>
  <si>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</si>
  <si>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</si>
  <si>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</si>
  <si>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</si>
  <si>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</si>
  <si>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</si>
  <si>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</si>
  <si>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</si>
  <si>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</si>
  <si>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</si>
  <si>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</si>
  <si>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</si>
  <si>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</si>
  <si>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</si>
  <si>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</si>
  <si>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</si>
  <si>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</si>
  <si>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</si>
  <si>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</si>
  <si>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</si>
  <si>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</si>
  <si>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</si>
  <si>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</si>
  <si>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</si>
  <si>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</si>
  <si>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</si>
  <si>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</si>
  <si>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</si>
  <si>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</si>
  <si>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</si>
  <si>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</si>
  <si>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</si>
  <si>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</si>
  <si>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</si>
  <si>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</si>
  <si>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</si>
  <si>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</si>
  <si>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</si>
  <si>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</si>
  <si>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</si>
  <si>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</si>
  <si>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</si>
  <si>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</si>
  <si>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</si>
  <si>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</si>
  <si>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</si>
  <si>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</si>
  <si>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</si>
  <si>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</si>
  <si>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</si>
  <si>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</si>
  <si>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</si>
  <si>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</si>
  <si>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</si>
  <si>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</si>
  <si>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</si>
  <si>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</si>
  <si>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</si>
  <si>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</si>
  <si>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</si>
  <si>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</si>
  <si>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</si>
  <si>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</si>
  <si>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</si>
  <si>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</si>
  <si>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</si>
  <si>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</si>
  <si>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</si>
  <si>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</si>
  <si>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</si>
  <si>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</si>
  <si>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</si>
  <si>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</si>
  <si>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</si>
  <si>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</si>
  <si>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</si>
  <si>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</si>
  <si>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</si>
  <si>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</si>
  <si>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</si>
  <si>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</si>
  <si>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</si>
  <si>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</si>
  <si>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</si>
  <si>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</si>
  <si>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</si>
  <si>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</si>
  <si>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</si>
  <si>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</si>
  <si>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</si>
  <si>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</si>
  <si>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</si>
  <si>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</si>
  <si>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</si>
  <si>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</si>
  <si>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</si>
  <si>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</si>
  <si>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</si>
  <si>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</si>
  <si>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</si>
  <si>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</si>
  <si>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</si>
  <si>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</si>
  <si>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</si>
  <si>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</si>
  <si>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</si>
  <si>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</si>
  <si>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</si>
  <si>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</si>
  <si>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</si>
  <si>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</si>
  <si>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</si>
  <si>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</si>
  <si>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</si>
  <si>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</si>
  <si>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</si>
  <si>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ビルメンテナンス業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</si>
  <si>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</si>
  <si>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</si>
  <si>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</si>
  <si>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</si>
  <si>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</si>
  <si>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</si>
  <si>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</si>
  <si>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</si>
  <si>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</si>
  <si>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</si>
  <si>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</si>
  <si>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</si>
  <si>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</si>
  <si>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</si>
  <si>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</si>
  <si>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</si>
  <si>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</si>
  <si>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</si>
  <si>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</si>
  <si>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</si>
  <si>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</si>
  <si>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</si>
  <si>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</si>
  <si>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</si>
  <si>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</si>
  <si>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</si>
  <si>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</si>
  <si>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</si>
  <si>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</si>
  <si>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</si>
  <si>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</si>
  <si>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</si>
  <si>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</si>
  <si>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</si>
  <si>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</si>
  <si>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</si>
  <si>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</si>
  <si>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</si>
  <si>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公務（他に分類されるものを除く）</t>
  </si>
  <si>
    <t>国家公務</t>
  </si>
  <si>
    <t>立法機関</t>
  </si>
  <si>
    <t>司法機関</t>
  </si>
  <si>
    <t>行政機関</t>
  </si>
  <si>
    <t>地方公務</t>
  </si>
  <si>
    <t>分類不能の産業</t>
  </si>
  <si>
    <t>９</t>
    <phoneticPr fontId="3"/>
  </si>
  <si>
    <t>目標の
達成状況</t>
    <rPh sb="0" eb="2">
      <t>モクヒョウ</t>
    </rPh>
    <rPh sb="4" eb="6">
      <t>タッセイ</t>
    </rPh>
    <rPh sb="6" eb="8">
      <t>ジョウキョウ</t>
    </rPh>
    <phoneticPr fontId="3"/>
  </si>
  <si>
    <t>0.630</t>
    <phoneticPr fontId="3"/>
  </si>
  <si>
    <t>1119</t>
    <phoneticPr fontId="3"/>
  </si>
  <si>
    <t>1123</t>
    <phoneticPr fontId="3"/>
  </si>
  <si>
    <t>1129</t>
    <phoneticPr fontId="3"/>
  </si>
  <si>
    <t>1144</t>
    <phoneticPr fontId="3"/>
  </si>
  <si>
    <t>1157</t>
    <phoneticPr fontId="3"/>
  </si>
  <si>
    <t>1174</t>
    <phoneticPr fontId="3"/>
  </si>
  <si>
    <t>1184</t>
    <phoneticPr fontId="3"/>
  </si>
  <si>
    <t>1192</t>
    <phoneticPr fontId="3"/>
  </si>
  <si>
    <t>1200</t>
    <phoneticPr fontId="3"/>
  </si>
  <si>
    <t>1212</t>
    <phoneticPr fontId="3"/>
  </si>
  <si>
    <t>1228</t>
    <phoneticPr fontId="3"/>
  </si>
  <si>
    <t>1299</t>
    <phoneticPr fontId="3"/>
  </si>
  <si>
    <t>1312</t>
    <phoneticPr fontId="3"/>
  </si>
  <si>
    <t>1441</t>
    <phoneticPr fontId="3"/>
  </si>
  <si>
    <t>1454</t>
    <phoneticPr fontId="3"/>
  </si>
  <si>
    <t>1646</t>
    <phoneticPr fontId="3"/>
  </si>
  <si>
    <t>1653</t>
    <phoneticPr fontId="3"/>
  </si>
  <si>
    <t>1800</t>
    <phoneticPr fontId="3"/>
  </si>
  <si>
    <t>1824</t>
    <phoneticPr fontId="3"/>
  </si>
  <si>
    <t>1833</t>
    <phoneticPr fontId="3"/>
  </si>
  <si>
    <t>1845</t>
    <phoneticPr fontId="3"/>
  </si>
  <si>
    <t>1897</t>
    <phoneticPr fontId="3"/>
  </si>
  <si>
    <t>1919</t>
    <phoneticPr fontId="3"/>
  </si>
  <si>
    <t>2117</t>
    <phoneticPr fontId="3"/>
  </si>
  <si>
    <t>2172</t>
    <phoneticPr fontId="3"/>
  </si>
  <si>
    <t>2319</t>
    <phoneticPr fontId="3"/>
  </si>
  <si>
    <t>2523</t>
    <phoneticPr fontId="3"/>
  </si>
  <si>
    <t>2651</t>
    <phoneticPr fontId="3"/>
  </si>
  <si>
    <t>2700</t>
    <phoneticPr fontId="3"/>
  </si>
  <si>
    <t>2735</t>
    <phoneticPr fontId="3"/>
  </si>
  <si>
    <t>2815</t>
    <phoneticPr fontId="3"/>
  </si>
  <si>
    <t>2899</t>
    <phoneticPr fontId="3"/>
  </si>
  <si>
    <t>2912</t>
    <phoneticPr fontId="3"/>
  </si>
  <si>
    <t>3011</t>
    <phoneticPr fontId="3"/>
  </si>
  <si>
    <t>3021</t>
    <phoneticPr fontId="3"/>
  </si>
  <si>
    <t>3111</t>
    <phoneticPr fontId="3"/>
  </si>
  <si>
    <t>3409</t>
    <phoneticPr fontId="3"/>
  </si>
  <si>
    <t>3621</t>
    <phoneticPr fontId="3"/>
  </si>
  <si>
    <t>3821</t>
    <phoneticPr fontId="3"/>
  </si>
  <si>
    <t>4409</t>
    <phoneticPr fontId="3"/>
  </si>
  <si>
    <t>4412</t>
    <phoneticPr fontId="3"/>
  </si>
  <si>
    <t>4711</t>
    <phoneticPr fontId="3"/>
  </si>
  <si>
    <t>4822</t>
    <phoneticPr fontId="3"/>
  </si>
  <si>
    <t>4831</t>
    <phoneticPr fontId="3"/>
  </si>
  <si>
    <t>4841</t>
    <phoneticPr fontId="3"/>
  </si>
  <si>
    <t>4851</t>
    <phoneticPr fontId="3"/>
  </si>
  <si>
    <t>4854</t>
    <phoneticPr fontId="3"/>
  </si>
  <si>
    <t>4855</t>
    <phoneticPr fontId="3"/>
  </si>
  <si>
    <t>4901</t>
    <phoneticPr fontId="3"/>
  </si>
  <si>
    <t>5000</t>
    <phoneticPr fontId="3"/>
  </si>
  <si>
    <t>5112</t>
    <phoneticPr fontId="3"/>
  </si>
  <si>
    <t>5123</t>
    <phoneticPr fontId="3"/>
  </si>
  <si>
    <t>5229</t>
    <phoneticPr fontId="3"/>
  </si>
  <si>
    <t>5319</t>
    <phoneticPr fontId="3"/>
  </si>
  <si>
    <t>5400</t>
    <phoneticPr fontId="3"/>
  </si>
  <si>
    <t>5409</t>
    <phoneticPr fontId="3"/>
  </si>
  <si>
    <t>5413</t>
    <phoneticPr fontId="3"/>
  </si>
  <si>
    <t>5419</t>
    <phoneticPr fontId="3"/>
  </si>
  <si>
    <t>5423</t>
    <phoneticPr fontId="3"/>
  </si>
  <si>
    <t>5432</t>
    <phoneticPr fontId="3"/>
  </si>
  <si>
    <t>5500</t>
    <phoneticPr fontId="3"/>
  </si>
  <si>
    <t>5591</t>
    <phoneticPr fontId="3"/>
  </si>
  <si>
    <t>5699</t>
    <phoneticPr fontId="3"/>
  </si>
  <si>
    <t>5711</t>
    <phoneticPr fontId="3"/>
  </si>
  <si>
    <t>5721</t>
    <phoneticPr fontId="3"/>
  </si>
  <si>
    <t>5732</t>
    <phoneticPr fontId="3"/>
  </si>
  <si>
    <t>5851</t>
    <phoneticPr fontId="3"/>
  </si>
  <si>
    <t>5896</t>
    <phoneticPr fontId="3"/>
  </si>
  <si>
    <t>5900</t>
    <phoneticPr fontId="3"/>
  </si>
  <si>
    <t>5909</t>
    <phoneticPr fontId="3"/>
  </si>
  <si>
    <t>5921</t>
    <phoneticPr fontId="3"/>
  </si>
  <si>
    <t>5932</t>
    <phoneticPr fontId="3"/>
  </si>
  <si>
    <t>5939</t>
    <phoneticPr fontId="3"/>
  </si>
  <si>
    <t>6012</t>
    <phoneticPr fontId="3"/>
  </si>
  <si>
    <t>6029</t>
    <phoneticPr fontId="3"/>
  </si>
  <si>
    <t>6031</t>
    <phoneticPr fontId="3"/>
  </si>
  <si>
    <t>6071</t>
    <phoneticPr fontId="3"/>
  </si>
  <si>
    <t>6093</t>
    <phoneticPr fontId="3"/>
  </si>
  <si>
    <t>6099</t>
    <phoneticPr fontId="3"/>
  </si>
  <si>
    <t>6100</t>
    <phoneticPr fontId="3"/>
  </si>
  <si>
    <t>6111</t>
    <phoneticPr fontId="3"/>
  </si>
  <si>
    <t>6112</t>
    <phoneticPr fontId="3"/>
  </si>
  <si>
    <t>6313</t>
    <phoneticPr fontId="3"/>
  </si>
  <si>
    <t>6421</t>
    <phoneticPr fontId="3"/>
  </si>
  <si>
    <t>6432</t>
    <phoneticPr fontId="3"/>
  </si>
  <si>
    <t>6500</t>
    <phoneticPr fontId="3"/>
  </si>
  <si>
    <t>6529</t>
    <phoneticPr fontId="3"/>
  </si>
  <si>
    <t>6614</t>
    <phoneticPr fontId="3"/>
  </si>
  <si>
    <t>6729</t>
    <phoneticPr fontId="3"/>
  </si>
  <si>
    <t>6731</t>
    <phoneticPr fontId="3"/>
  </si>
  <si>
    <t>6741</t>
    <phoneticPr fontId="3"/>
  </si>
  <si>
    <t>6922</t>
    <phoneticPr fontId="3"/>
  </si>
  <si>
    <t>7019</t>
    <phoneticPr fontId="3"/>
  </si>
  <si>
    <t>7091</t>
    <phoneticPr fontId="3"/>
  </si>
  <si>
    <t>7201</t>
    <phoneticPr fontId="3"/>
  </si>
  <si>
    <t>7293</t>
    <phoneticPr fontId="3"/>
  </si>
  <si>
    <t>7299</t>
    <phoneticPr fontId="3"/>
  </si>
  <si>
    <t>7421</t>
    <phoneticPr fontId="3"/>
  </si>
  <si>
    <t>7422</t>
    <phoneticPr fontId="3"/>
  </si>
  <si>
    <t>7452</t>
    <phoneticPr fontId="3"/>
  </si>
  <si>
    <t>7461</t>
    <phoneticPr fontId="3"/>
  </si>
  <si>
    <t>7509</t>
    <phoneticPr fontId="3"/>
  </si>
  <si>
    <t>7531</t>
    <phoneticPr fontId="3"/>
  </si>
  <si>
    <t>7611</t>
    <phoneticPr fontId="3"/>
  </si>
  <si>
    <t>7621</t>
    <phoneticPr fontId="3"/>
  </si>
  <si>
    <t>7631</t>
    <phoneticPr fontId="3"/>
  </si>
  <si>
    <t>7651</t>
    <phoneticPr fontId="3"/>
  </si>
  <si>
    <t>7700</t>
    <phoneticPr fontId="3"/>
  </si>
  <si>
    <t>7721</t>
    <phoneticPr fontId="3"/>
  </si>
  <si>
    <t>7831</t>
    <phoneticPr fontId="3"/>
  </si>
  <si>
    <t>8021</t>
    <phoneticPr fontId="3"/>
  </si>
  <si>
    <t>8023</t>
    <phoneticPr fontId="3"/>
  </si>
  <si>
    <t>8031</t>
    <phoneticPr fontId="3"/>
  </si>
  <si>
    <t>8043</t>
    <phoneticPr fontId="3"/>
  </si>
  <si>
    <t>8044</t>
    <phoneticPr fontId="3"/>
  </si>
  <si>
    <t>8053</t>
    <phoneticPr fontId="3"/>
  </si>
  <si>
    <t>8209</t>
    <phoneticPr fontId="3"/>
  </si>
  <si>
    <t>8222</t>
    <phoneticPr fontId="3"/>
  </si>
  <si>
    <t>8241</t>
    <phoneticPr fontId="3"/>
  </si>
  <si>
    <t>8299</t>
    <phoneticPr fontId="3"/>
  </si>
  <si>
    <t>8311</t>
    <phoneticPr fontId="3"/>
  </si>
  <si>
    <t>8351</t>
    <phoneticPr fontId="3"/>
  </si>
  <si>
    <t>8423</t>
    <phoneticPr fontId="3"/>
  </si>
  <si>
    <t>8539</t>
    <phoneticPr fontId="3"/>
  </si>
  <si>
    <t>8813</t>
    <phoneticPr fontId="3"/>
  </si>
  <si>
    <t>8814</t>
    <phoneticPr fontId="3"/>
  </si>
  <si>
    <t>8815</t>
    <phoneticPr fontId="3"/>
  </si>
  <si>
    <t>9311</t>
    <phoneticPr fontId="3"/>
  </si>
  <si>
    <t>9399</t>
    <phoneticPr fontId="3"/>
  </si>
  <si>
    <t>9412</t>
    <phoneticPr fontId="3"/>
  </si>
  <si>
    <t>9421</t>
    <phoneticPr fontId="3"/>
  </si>
  <si>
    <t>5226</t>
    <phoneticPr fontId="3"/>
  </si>
  <si>
    <t>5519</t>
    <phoneticPr fontId="3"/>
  </si>
  <si>
    <t>5532</t>
    <phoneticPr fontId="3"/>
  </si>
  <si>
    <t>6222</t>
    <phoneticPr fontId="3"/>
  </si>
  <si>
    <t>6323</t>
    <phoneticPr fontId="3"/>
  </si>
  <si>
    <t>7892</t>
    <phoneticPr fontId="3"/>
  </si>
  <si>
    <t>7909</t>
    <phoneticPr fontId="3"/>
  </si>
  <si>
    <t>8061</t>
    <phoneticPr fontId="3"/>
  </si>
  <si>
    <t>8212</t>
    <phoneticPr fontId="3"/>
  </si>
  <si>
    <t>8231</t>
    <phoneticPr fontId="3"/>
  </si>
  <si>
    <t>8800</t>
    <phoneticPr fontId="3"/>
  </si>
  <si>
    <t>8899</t>
    <phoneticPr fontId="3"/>
  </si>
  <si>
    <t>9499</t>
    <phoneticPr fontId="3"/>
  </si>
  <si>
    <t>9599</t>
    <phoneticPr fontId="3"/>
  </si>
  <si>
    <t>0100</t>
    <phoneticPr fontId="3"/>
  </si>
  <si>
    <t>1000</t>
    <phoneticPr fontId="3"/>
  </si>
  <si>
    <t>1009</t>
    <phoneticPr fontId="3"/>
  </si>
  <si>
    <t>1011</t>
    <phoneticPr fontId="3"/>
  </si>
  <si>
    <t>1021</t>
    <phoneticPr fontId="3"/>
  </si>
  <si>
    <t>1022</t>
    <phoneticPr fontId="3"/>
  </si>
  <si>
    <t>1023</t>
    <phoneticPr fontId="3"/>
  </si>
  <si>
    <t>1024</t>
    <phoneticPr fontId="3"/>
  </si>
  <si>
    <t>1031</t>
    <phoneticPr fontId="3"/>
  </si>
  <si>
    <t>1032</t>
    <phoneticPr fontId="3"/>
  </si>
  <si>
    <t>1041</t>
    <phoneticPr fontId="3"/>
  </si>
  <si>
    <t>1051</t>
    <phoneticPr fontId="3"/>
  </si>
  <si>
    <t>1052</t>
    <phoneticPr fontId="3"/>
  </si>
  <si>
    <t>1061</t>
    <phoneticPr fontId="3"/>
  </si>
  <si>
    <t>1062</t>
    <phoneticPr fontId="3"/>
  </si>
  <si>
    <t>1063</t>
    <phoneticPr fontId="3"/>
  </si>
  <si>
    <t>1100</t>
    <phoneticPr fontId="3"/>
  </si>
  <si>
    <t>1109</t>
    <phoneticPr fontId="3"/>
  </si>
  <si>
    <t>1111</t>
    <phoneticPr fontId="3"/>
  </si>
  <si>
    <t>1112</t>
    <phoneticPr fontId="3"/>
  </si>
  <si>
    <t>1113</t>
    <phoneticPr fontId="3"/>
  </si>
  <si>
    <t>1114</t>
    <phoneticPr fontId="3"/>
  </si>
  <si>
    <t>1115</t>
    <phoneticPr fontId="3"/>
  </si>
  <si>
    <t>1116</t>
    <phoneticPr fontId="3"/>
  </si>
  <si>
    <t>1117</t>
    <phoneticPr fontId="3"/>
  </si>
  <si>
    <t>1118</t>
    <phoneticPr fontId="3"/>
  </si>
  <si>
    <t>1121</t>
    <phoneticPr fontId="3"/>
  </si>
  <si>
    <t>1122</t>
    <phoneticPr fontId="3"/>
  </si>
  <si>
    <t>1124</t>
    <phoneticPr fontId="3"/>
  </si>
  <si>
    <t>1125</t>
    <phoneticPr fontId="3"/>
  </si>
  <si>
    <t>1131</t>
    <phoneticPr fontId="3"/>
  </si>
  <si>
    <t>1132</t>
    <phoneticPr fontId="3"/>
  </si>
  <si>
    <t>1133</t>
    <phoneticPr fontId="3"/>
  </si>
  <si>
    <t>1141</t>
    <phoneticPr fontId="3"/>
  </si>
  <si>
    <t>1142</t>
    <phoneticPr fontId="3"/>
  </si>
  <si>
    <t>1143</t>
    <phoneticPr fontId="3"/>
  </si>
  <si>
    <t>1145</t>
    <phoneticPr fontId="3"/>
  </si>
  <si>
    <t>1146</t>
    <phoneticPr fontId="3"/>
  </si>
  <si>
    <t>1147</t>
    <phoneticPr fontId="3"/>
  </si>
  <si>
    <t>1148</t>
    <phoneticPr fontId="3"/>
  </si>
  <si>
    <t>1151</t>
    <phoneticPr fontId="3"/>
  </si>
  <si>
    <t>1152</t>
    <phoneticPr fontId="3"/>
  </si>
  <si>
    <t>1153</t>
    <phoneticPr fontId="3"/>
  </si>
  <si>
    <t>1154</t>
    <phoneticPr fontId="3"/>
  </si>
  <si>
    <t>1155</t>
    <phoneticPr fontId="3"/>
  </si>
  <si>
    <t>1156</t>
    <phoneticPr fontId="3"/>
  </si>
  <si>
    <t>1158</t>
    <phoneticPr fontId="3"/>
  </si>
  <si>
    <t>1159</t>
    <phoneticPr fontId="3"/>
  </si>
  <si>
    <t>1161</t>
    <phoneticPr fontId="3"/>
  </si>
  <si>
    <t>1162</t>
    <phoneticPr fontId="3"/>
  </si>
  <si>
    <t>1163</t>
    <phoneticPr fontId="3"/>
  </si>
  <si>
    <t>1164</t>
    <phoneticPr fontId="3"/>
  </si>
  <si>
    <t>1165</t>
    <phoneticPr fontId="3"/>
  </si>
  <si>
    <t>1166</t>
    <phoneticPr fontId="3"/>
  </si>
  <si>
    <t>1167</t>
    <phoneticPr fontId="3"/>
  </si>
  <si>
    <t>1168</t>
    <phoneticPr fontId="3"/>
  </si>
  <si>
    <t>1169</t>
    <phoneticPr fontId="3"/>
  </si>
  <si>
    <t>1171</t>
    <phoneticPr fontId="3"/>
  </si>
  <si>
    <t>1172</t>
    <phoneticPr fontId="3"/>
  </si>
  <si>
    <t>1173</t>
    <phoneticPr fontId="3"/>
  </si>
  <si>
    <t>1181</t>
    <phoneticPr fontId="3"/>
  </si>
  <si>
    <t>1182</t>
    <phoneticPr fontId="3"/>
  </si>
  <si>
    <t>1183</t>
    <phoneticPr fontId="3"/>
  </si>
  <si>
    <t>1185</t>
    <phoneticPr fontId="3"/>
  </si>
  <si>
    <t>1186</t>
    <phoneticPr fontId="3"/>
  </si>
  <si>
    <t>1189</t>
    <phoneticPr fontId="3"/>
  </si>
  <si>
    <t>1191</t>
    <phoneticPr fontId="3"/>
  </si>
  <si>
    <t>1193</t>
    <phoneticPr fontId="3"/>
  </si>
  <si>
    <t>1194</t>
    <phoneticPr fontId="3"/>
  </si>
  <si>
    <t>1195</t>
    <phoneticPr fontId="3"/>
  </si>
  <si>
    <t>1196</t>
    <phoneticPr fontId="3"/>
  </si>
  <si>
    <t>1197</t>
    <phoneticPr fontId="3"/>
  </si>
  <si>
    <t>1198</t>
    <phoneticPr fontId="3"/>
  </si>
  <si>
    <t>1199</t>
    <phoneticPr fontId="3"/>
  </si>
  <si>
    <t>1209</t>
    <phoneticPr fontId="3"/>
  </si>
  <si>
    <t>1211</t>
    <phoneticPr fontId="3"/>
  </si>
  <si>
    <t>1213</t>
    <phoneticPr fontId="3"/>
  </si>
  <si>
    <t>1219</t>
    <phoneticPr fontId="3"/>
  </si>
  <si>
    <t>1221</t>
    <phoneticPr fontId="3"/>
  </si>
  <si>
    <t>1222</t>
    <phoneticPr fontId="3"/>
  </si>
  <si>
    <t>1223</t>
    <phoneticPr fontId="3"/>
  </si>
  <si>
    <t>1224</t>
    <phoneticPr fontId="3"/>
  </si>
  <si>
    <t>1225</t>
    <phoneticPr fontId="3"/>
  </si>
  <si>
    <t>1226</t>
    <phoneticPr fontId="3"/>
  </si>
  <si>
    <t>1227</t>
    <phoneticPr fontId="3"/>
  </si>
  <si>
    <t>1231</t>
    <phoneticPr fontId="3"/>
  </si>
  <si>
    <t>1232</t>
    <phoneticPr fontId="3"/>
  </si>
  <si>
    <t>1233</t>
    <phoneticPr fontId="3"/>
  </si>
  <si>
    <t>1291</t>
    <phoneticPr fontId="3"/>
  </si>
  <si>
    <t>1292</t>
    <phoneticPr fontId="3"/>
  </si>
  <si>
    <t>1300</t>
    <phoneticPr fontId="3"/>
  </si>
  <si>
    <t>1309</t>
    <phoneticPr fontId="3"/>
  </si>
  <si>
    <t>1311</t>
    <phoneticPr fontId="3"/>
  </si>
  <si>
    <t>1313</t>
    <phoneticPr fontId="3"/>
  </si>
  <si>
    <t>1321</t>
    <phoneticPr fontId="3"/>
  </si>
  <si>
    <t>1331</t>
    <phoneticPr fontId="3"/>
  </si>
  <si>
    <t>1391</t>
    <phoneticPr fontId="3"/>
  </si>
  <si>
    <t>1392</t>
    <phoneticPr fontId="3"/>
  </si>
  <si>
    <t>1393</t>
    <phoneticPr fontId="3"/>
  </si>
  <si>
    <t>1399</t>
    <phoneticPr fontId="3"/>
  </si>
  <si>
    <t>1400</t>
    <phoneticPr fontId="3"/>
  </si>
  <si>
    <t>1409</t>
    <phoneticPr fontId="3"/>
  </si>
  <si>
    <t>1411</t>
    <phoneticPr fontId="3"/>
  </si>
  <si>
    <t>1421</t>
    <phoneticPr fontId="3"/>
  </si>
  <si>
    <t>1422</t>
    <phoneticPr fontId="3"/>
  </si>
  <si>
    <t>1423</t>
    <phoneticPr fontId="3"/>
  </si>
  <si>
    <t>1424</t>
    <phoneticPr fontId="3"/>
  </si>
  <si>
    <t>1431</t>
    <phoneticPr fontId="3"/>
  </si>
  <si>
    <t>1432</t>
    <phoneticPr fontId="3"/>
  </si>
  <si>
    <t>1433</t>
    <phoneticPr fontId="3"/>
  </si>
  <si>
    <t>1442</t>
    <phoneticPr fontId="3"/>
  </si>
  <si>
    <t>1449</t>
    <phoneticPr fontId="3"/>
  </si>
  <si>
    <t>1451</t>
    <phoneticPr fontId="3"/>
  </si>
  <si>
    <t>1452</t>
    <phoneticPr fontId="3"/>
  </si>
  <si>
    <t>1453</t>
    <phoneticPr fontId="3"/>
  </si>
  <si>
    <t>1499</t>
    <phoneticPr fontId="3"/>
  </si>
  <si>
    <t>1500</t>
    <phoneticPr fontId="3"/>
  </si>
  <si>
    <t>1509</t>
    <phoneticPr fontId="3"/>
  </si>
  <si>
    <t>1511</t>
    <phoneticPr fontId="3"/>
  </si>
  <si>
    <t>1512</t>
    <phoneticPr fontId="3"/>
  </si>
  <si>
    <t>1513</t>
    <phoneticPr fontId="3"/>
  </si>
  <si>
    <t>1521</t>
    <phoneticPr fontId="3"/>
  </si>
  <si>
    <t>1531</t>
    <phoneticPr fontId="3"/>
  </si>
  <si>
    <t>1532</t>
    <phoneticPr fontId="3"/>
  </si>
  <si>
    <t>1591</t>
    <phoneticPr fontId="3"/>
  </si>
  <si>
    <t>1600</t>
    <phoneticPr fontId="3"/>
  </si>
  <si>
    <t>1609</t>
    <phoneticPr fontId="3"/>
  </si>
  <si>
    <t>1611</t>
    <phoneticPr fontId="3"/>
  </si>
  <si>
    <t>1612</t>
    <phoneticPr fontId="3"/>
  </si>
  <si>
    <t>1619</t>
    <phoneticPr fontId="3"/>
  </si>
  <si>
    <t>1621</t>
    <phoneticPr fontId="3"/>
  </si>
  <si>
    <t>1622</t>
    <phoneticPr fontId="3"/>
  </si>
  <si>
    <t>1623</t>
    <phoneticPr fontId="3"/>
  </si>
  <si>
    <t>1624</t>
    <phoneticPr fontId="3"/>
  </si>
  <si>
    <t>1629</t>
    <phoneticPr fontId="3"/>
  </si>
  <si>
    <t>1631</t>
    <phoneticPr fontId="3"/>
  </si>
  <si>
    <t>1632</t>
    <phoneticPr fontId="3"/>
  </si>
  <si>
    <t>1633</t>
    <phoneticPr fontId="3"/>
  </si>
  <si>
    <t>1634</t>
    <phoneticPr fontId="3"/>
  </si>
  <si>
    <t>1635</t>
    <phoneticPr fontId="3"/>
  </si>
  <si>
    <t>1636</t>
    <phoneticPr fontId="3"/>
  </si>
  <si>
    <t>1639</t>
    <phoneticPr fontId="3"/>
  </si>
  <si>
    <t>1641</t>
    <phoneticPr fontId="3"/>
  </si>
  <si>
    <t>1642</t>
    <phoneticPr fontId="3"/>
  </si>
  <si>
    <t>1643</t>
    <phoneticPr fontId="3"/>
  </si>
  <si>
    <t>1644</t>
    <phoneticPr fontId="3"/>
  </si>
  <si>
    <t>1645</t>
    <phoneticPr fontId="3"/>
  </si>
  <si>
    <t>1647</t>
    <phoneticPr fontId="3"/>
  </si>
  <si>
    <t>1651</t>
    <phoneticPr fontId="3"/>
  </si>
  <si>
    <t>1652</t>
    <phoneticPr fontId="3"/>
  </si>
  <si>
    <t>1654</t>
    <phoneticPr fontId="3"/>
  </si>
  <si>
    <t>1655</t>
    <phoneticPr fontId="3"/>
  </si>
  <si>
    <t>1661</t>
    <phoneticPr fontId="3"/>
  </si>
  <si>
    <t>1662</t>
    <phoneticPr fontId="3"/>
  </si>
  <si>
    <t>1669</t>
    <phoneticPr fontId="3"/>
  </si>
  <si>
    <t>1691</t>
    <phoneticPr fontId="3"/>
  </si>
  <si>
    <t>1692</t>
    <phoneticPr fontId="3"/>
  </si>
  <si>
    <t>1693</t>
    <phoneticPr fontId="3"/>
  </si>
  <si>
    <t>1694</t>
    <phoneticPr fontId="3"/>
  </si>
  <si>
    <t>1695</t>
    <phoneticPr fontId="3"/>
  </si>
  <si>
    <t>1696</t>
    <phoneticPr fontId="3"/>
  </si>
  <si>
    <t>1697</t>
    <phoneticPr fontId="3"/>
  </si>
  <si>
    <t>1699</t>
    <phoneticPr fontId="3"/>
  </si>
  <si>
    <t>1700</t>
    <phoneticPr fontId="3"/>
  </si>
  <si>
    <t>1709</t>
    <phoneticPr fontId="3"/>
  </si>
  <si>
    <t>1711</t>
    <phoneticPr fontId="3"/>
  </si>
  <si>
    <t>1721</t>
    <phoneticPr fontId="3"/>
  </si>
  <si>
    <t>1731</t>
    <phoneticPr fontId="3"/>
  </si>
  <si>
    <t>1741</t>
    <phoneticPr fontId="3"/>
  </si>
  <si>
    <t>1799</t>
    <phoneticPr fontId="3"/>
  </si>
  <si>
    <t>1809</t>
    <phoneticPr fontId="3"/>
  </si>
  <si>
    <t>1811</t>
    <phoneticPr fontId="3"/>
  </si>
  <si>
    <t>1812</t>
    <phoneticPr fontId="3"/>
  </si>
  <si>
    <t>1813</t>
    <phoneticPr fontId="3"/>
  </si>
  <si>
    <t>1814</t>
    <phoneticPr fontId="3"/>
  </si>
  <si>
    <t>1815</t>
    <phoneticPr fontId="3"/>
  </si>
  <si>
    <t>1821</t>
    <phoneticPr fontId="3"/>
  </si>
  <si>
    <t>1822</t>
    <phoneticPr fontId="3"/>
  </si>
  <si>
    <t>1823</t>
    <phoneticPr fontId="3"/>
  </si>
  <si>
    <t>1825</t>
    <phoneticPr fontId="3"/>
  </si>
  <si>
    <t>1832</t>
    <phoneticPr fontId="3"/>
  </si>
  <si>
    <t>1834</t>
    <phoneticPr fontId="3"/>
  </si>
  <si>
    <t>1841</t>
    <phoneticPr fontId="3"/>
  </si>
  <si>
    <t>1842</t>
    <phoneticPr fontId="3"/>
  </si>
  <si>
    <t>1843</t>
    <phoneticPr fontId="3"/>
  </si>
  <si>
    <t>1844</t>
    <phoneticPr fontId="3"/>
  </si>
  <si>
    <t>1851</t>
    <phoneticPr fontId="3"/>
  </si>
  <si>
    <t>1891</t>
    <phoneticPr fontId="3"/>
  </si>
  <si>
    <t>1892</t>
    <phoneticPr fontId="3"/>
  </si>
  <si>
    <t>1898</t>
    <phoneticPr fontId="3"/>
  </si>
  <si>
    <t>1900</t>
    <phoneticPr fontId="3"/>
  </si>
  <si>
    <t>1909</t>
    <phoneticPr fontId="3"/>
  </si>
  <si>
    <t>1911</t>
    <phoneticPr fontId="3"/>
  </si>
  <si>
    <t>1921</t>
    <phoneticPr fontId="3"/>
  </si>
  <si>
    <t>1922</t>
    <phoneticPr fontId="3"/>
  </si>
  <si>
    <t>1931</t>
    <phoneticPr fontId="3"/>
  </si>
  <si>
    <t>1932</t>
    <phoneticPr fontId="3"/>
  </si>
  <si>
    <t>1933</t>
    <phoneticPr fontId="3"/>
  </si>
  <si>
    <t>1991</t>
    <phoneticPr fontId="3"/>
  </si>
  <si>
    <t>1992</t>
    <phoneticPr fontId="3"/>
  </si>
  <si>
    <t>1993</t>
    <phoneticPr fontId="3"/>
  </si>
  <si>
    <t>1994</t>
    <phoneticPr fontId="3"/>
  </si>
  <si>
    <t>1995</t>
    <phoneticPr fontId="3"/>
  </si>
  <si>
    <t>1999</t>
    <phoneticPr fontId="3"/>
  </si>
  <si>
    <t>2000</t>
    <phoneticPr fontId="3"/>
  </si>
  <si>
    <t>2009</t>
    <phoneticPr fontId="3"/>
  </si>
  <si>
    <t>2011</t>
    <phoneticPr fontId="3"/>
  </si>
  <si>
    <t>2021</t>
    <phoneticPr fontId="3"/>
  </si>
  <si>
    <t>2031</t>
    <phoneticPr fontId="3"/>
  </si>
  <si>
    <t>2041</t>
    <phoneticPr fontId="3"/>
  </si>
  <si>
    <t>2051</t>
    <phoneticPr fontId="3"/>
  </si>
  <si>
    <t>2061</t>
    <phoneticPr fontId="3"/>
  </si>
  <si>
    <t>2071</t>
    <phoneticPr fontId="3"/>
  </si>
  <si>
    <t>2072</t>
    <phoneticPr fontId="3"/>
  </si>
  <si>
    <t>2081</t>
    <phoneticPr fontId="3"/>
  </si>
  <si>
    <t>2099</t>
    <phoneticPr fontId="3"/>
  </si>
  <si>
    <t>2100</t>
    <phoneticPr fontId="3"/>
  </si>
  <si>
    <t>2109</t>
    <phoneticPr fontId="3"/>
  </si>
  <si>
    <t>2111</t>
    <phoneticPr fontId="3"/>
  </si>
  <si>
    <t>2112</t>
    <phoneticPr fontId="3"/>
  </si>
  <si>
    <t>2113</t>
    <phoneticPr fontId="3"/>
  </si>
  <si>
    <t>2114</t>
    <phoneticPr fontId="3"/>
  </si>
  <si>
    <t>2115</t>
    <phoneticPr fontId="3"/>
  </si>
  <si>
    <t>2116</t>
    <phoneticPr fontId="3"/>
  </si>
  <si>
    <t>2119</t>
    <phoneticPr fontId="3"/>
  </si>
  <si>
    <t>2121</t>
    <phoneticPr fontId="3"/>
  </si>
  <si>
    <t>2122</t>
    <phoneticPr fontId="3"/>
  </si>
  <si>
    <t>2123</t>
    <phoneticPr fontId="3"/>
  </si>
  <si>
    <t>2129</t>
    <phoneticPr fontId="3"/>
  </si>
  <si>
    <t>2131</t>
    <phoneticPr fontId="3"/>
  </si>
  <si>
    <t>2132</t>
    <phoneticPr fontId="3"/>
  </si>
  <si>
    <t>2139</t>
    <phoneticPr fontId="3"/>
  </si>
  <si>
    <t>2141</t>
    <phoneticPr fontId="3"/>
  </si>
  <si>
    <t>2142</t>
    <phoneticPr fontId="3"/>
  </si>
  <si>
    <t>2143</t>
    <phoneticPr fontId="3"/>
  </si>
  <si>
    <t>2144</t>
    <phoneticPr fontId="3"/>
  </si>
  <si>
    <t>2145</t>
    <phoneticPr fontId="3"/>
  </si>
  <si>
    <t>2146</t>
    <phoneticPr fontId="3"/>
  </si>
  <si>
    <t>2147</t>
    <phoneticPr fontId="3"/>
  </si>
  <si>
    <t>2148</t>
    <phoneticPr fontId="3"/>
  </si>
  <si>
    <t>2149</t>
    <phoneticPr fontId="3"/>
  </si>
  <si>
    <t>2151</t>
    <phoneticPr fontId="3"/>
  </si>
  <si>
    <t>2152</t>
    <phoneticPr fontId="3"/>
  </si>
  <si>
    <t>2159</t>
    <phoneticPr fontId="3"/>
  </si>
  <si>
    <t>2161</t>
    <phoneticPr fontId="3"/>
  </si>
  <si>
    <t>2169</t>
    <phoneticPr fontId="3"/>
  </si>
  <si>
    <t>2171</t>
    <phoneticPr fontId="3"/>
  </si>
  <si>
    <t>2173</t>
    <phoneticPr fontId="3"/>
  </si>
  <si>
    <t>2179</t>
    <phoneticPr fontId="3"/>
  </si>
  <si>
    <t>2181</t>
    <phoneticPr fontId="3"/>
  </si>
  <si>
    <t>2182</t>
    <phoneticPr fontId="3"/>
  </si>
  <si>
    <t>2183</t>
    <phoneticPr fontId="3"/>
  </si>
  <si>
    <t>2184</t>
    <phoneticPr fontId="3"/>
  </si>
  <si>
    <t>2185</t>
    <phoneticPr fontId="3"/>
  </si>
  <si>
    <t>2186</t>
    <phoneticPr fontId="3"/>
  </si>
  <si>
    <t>2191</t>
    <phoneticPr fontId="3"/>
  </si>
  <si>
    <t>2192</t>
    <phoneticPr fontId="3"/>
  </si>
  <si>
    <t>2193</t>
    <phoneticPr fontId="3"/>
  </si>
  <si>
    <t>2194</t>
    <phoneticPr fontId="3"/>
  </si>
  <si>
    <t>2199</t>
    <phoneticPr fontId="3"/>
  </si>
  <si>
    <t>2200</t>
    <phoneticPr fontId="3"/>
  </si>
  <si>
    <t>2209</t>
    <phoneticPr fontId="3"/>
  </si>
  <si>
    <t>2211</t>
    <phoneticPr fontId="3"/>
  </si>
  <si>
    <t>2212</t>
    <phoneticPr fontId="3"/>
  </si>
  <si>
    <t>2213</t>
    <phoneticPr fontId="3"/>
  </si>
  <si>
    <t>2221</t>
    <phoneticPr fontId="3"/>
  </si>
  <si>
    <t>2231</t>
    <phoneticPr fontId="3"/>
  </si>
  <si>
    <t>2232</t>
    <phoneticPr fontId="3"/>
  </si>
  <si>
    <t>2233</t>
    <phoneticPr fontId="3"/>
  </si>
  <si>
    <t>2234</t>
    <phoneticPr fontId="3"/>
  </si>
  <si>
    <t>2235</t>
    <phoneticPr fontId="3"/>
  </si>
  <si>
    <t>2236</t>
    <phoneticPr fontId="3"/>
  </si>
  <si>
    <t>2237</t>
    <phoneticPr fontId="3"/>
  </si>
  <si>
    <t>2238</t>
    <phoneticPr fontId="3"/>
  </si>
  <si>
    <t>2239</t>
    <phoneticPr fontId="3"/>
  </si>
  <si>
    <t>2241</t>
    <phoneticPr fontId="3"/>
  </si>
  <si>
    <t>2249</t>
    <phoneticPr fontId="3"/>
  </si>
  <si>
    <t>2251</t>
    <phoneticPr fontId="3"/>
  </si>
  <si>
    <t>2252</t>
    <phoneticPr fontId="3"/>
  </si>
  <si>
    <t>2253</t>
    <phoneticPr fontId="3"/>
  </si>
  <si>
    <t>2254</t>
    <phoneticPr fontId="3"/>
  </si>
  <si>
    <t>2255</t>
    <phoneticPr fontId="3"/>
  </si>
  <si>
    <t>2291</t>
    <phoneticPr fontId="3"/>
  </si>
  <si>
    <t>2292</t>
    <phoneticPr fontId="3"/>
  </si>
  <si>
    <t>2293</t>
    <phoneticPr fontId="3"/>
  </si>
  <si>
    <t>2299</t>
    <phoneticPr fontId="3"/>
  </si>
  <si>
    <t>2300</t>
    <phoneticPr fontId="3"/>
  </si>
  <si>
    <t>2309</t>
    <phoneticPr fontId="3"/>
  </si>
  <si>
    <t>2311</t>
    <phoneticPr fontId="3"/>
  </si>
  <si>
    <t>2312</t>
    <phoneticPr fontId="3"/>
  </si>
  <si>
    <t>2321</t>
    <phoneticPr fontId="3"/>
  </si>
  <si>
    <t>2322</t>
    <phoneticPr fontId="3"/>
  </si>
  <si>
    <t>2329</t>
    <phoneticPr fontId="3"/>
  </si>
  <si>
    <t>2331</t>
    <phoneticPr fontId="3"/>
  </si>
  <si>
    <t>2332</t>
    <phoneticPr fontId="3"/>
  </si>
  <si>
    <t>2339</t>
    <phoneticPr fontId="3"/>
  </si>
  <si>
    <t>2341</t>
    <phoneticPr fontId="3"/>
  </si>
  <si>
    <t>2342</t>
    <phoneticPr fontId="3"/>
  </si>
  <si>
    <t>2351</t>
    <phoneticPr fontId="3"/>
  </si>
  <si>
    <t>2352</t>
    <phoneticPr fontId="3"/>
  </si>
  <si>
    <t>2353</t>
    <phoneticPr fontId="3"/>
  </si>
  <si>
    <t>2354</t>
    <phoneticPr fontId="3"/>
  </si>
  <si>
    <t>2355</t>
    <phoneticPr fontId="3"/>
  </si>
  <si>
    <t>2391</t>
    <phoneticPr fontId="3"/>
  </si>
  <si>
    <t>2399</t>
    <phoneticPr fontId="3"/>
  </si>
  <si>
    <t>2400</t>
    <phoneticPr fontId="3"/>
  </si>
  <si>
    <t>2409</t>
    <phoneticPr fontId="3"/>
  </si>
  <si>
    <t>2411</t>
    <phoneticPr fontId="3"/>
  </si>
  <si>
    <t>2421</t>
    <phoneticPr fontId="3"/>
  </si>
  <si>
    <t>2422</t>
    <phoneticPr fontId="3"/>
  </si>
  <si>
    <t>2423</t>
    <phoneticPr fontId="3"/>
  </si>
  <si>
    <t>2424</t>
    <phoneticPr fontId="3"/>
  </si>
  <si>
    <t>2425</t>
    <phoneticPr fontId="3"/>
  </si>
  <si>
    <t>2426</t>
    <phoneticPr fontId="3"/>
  </si>
  <si>
    <t>2429</t>
    <phoneticPr fontId="3"/>
  </si>
  <si>
    <t>2431</t>
    <phoneticPr fontId="3"/>
  </si>
  <si>
    <t>2432</t>
    <phoneticPr fontId="3"/>
  </si>
  <si>
    <t>2433</t>
    <phoneticPr fontId="3"/>
  </si>
  <si>
    <t>2439</t>
    <phoneticPr fontId="3"/>
  </si>
  <si>
    <t>2441</t>
    <phoneticPr fontId="3"/>
  </si>
  <si>
    <t>2442</t>
    <phoneticPr fontId="3"/>
  </si>
  <si>
    <t>2443</t>
    <phoneticPr fontId="3"/>
  </si>
  <si>
    <t>2444</t>
    <phoneticPr fontId="3"/>
  </si>
  <si>
    <t>2445</t>
    <phoneticPr fontId="3"/>
  </si>
  <si>
    <t>2446</t>
    <phoneticPr fontId="3"/>
  </si>
  <si>
    <t>2451</t>
    <phoneticPr fontId="3"/>
  </si>
  <si>
    <t>2452</t>
    <phoneticPr fontId="3"/>
  </si>
  <si>
    <t>2453</t>
    <phoneticPr fontId="3"/>
  </si>
  <si>
    <t>2461</t>
    <phoneticPr fontId="3"/>
  </si>
  <si>
    <t>2462</t>
    <phoneticPr fontId="3"/>
  </si>
  <si>
    <t>2463</t>
    <phoneticPr fontId="3"/>
  </si>
  <si>
    <t>2464</t>
    <phoneticPr fontId="3"/>
  </si>
  <si>
    <t>2465</t>
    <phoneticPr fontId="3"/>
  </si>
  <si>
    <t>2469</t>
    <phoneticPr fontId="3"/>
  </si>
  <si>
    <t>2471</t>
    <phoneticPr fontId="3"/>
  </si>
  <si>
    <t>2479</t>
    <phoneticPr fontId="3"/>
  </si>
  <si>
    <t>2481</t>
    <phoneticPr fontId="3"/>
  </si>
  <si>
    <t>2491</t>
    <phoneticPr fontId="3"/>
  </si>
  <si>
    <t>2492</t>
    <phoneticPr fontId="3"/>
  </si>
  <si>
    <t>2499</t>
    <phoneticPr fontId="3"/>
  </si>
  <si>
    <t>2500</t>
    <phoneticPr fontId="3"/>
  </si>
  <si>
    <t>2509</t>
    <phoneticPr fontId="3"/>
  </si>
  <si>
    <t>2511</t>
    <phoneticPr fontId="3"/>
  </si>
  <si>
    <t>2512</t>
    <phoneticPr fontId="3"/>
  </si>
  <si>
    <t>2513</t>
    <phoneticPr fontId="3"/>
  </si>
  <si>
    <t>2519</t>
    <phoneticPr fontId="3"/>
  </si>
  <si>
    <t>2521</t>
    <phoneticPr fontId="3"/>
  </si>
  <si>
    <t>2522</t>
    <phoneticPr fontId="3"/>
  </si>
  <si>
    <t>2531</t>
    <phoneticPr fontId="3"/>
  </si>
  <si>
    <t>2532</t>
    <phoneticPr fontId="3"/>
  </si>
  <si>
    <t>2533</t>
    <phoneticPr fontId="3"/>
  </si>
  <si>
    <t>2534</t>
    <phoneticPr fontId="3"/>
  </si>
  <si>
    <t>2535</t>
    <phoneticPr fontId="3"/>
  </si>
  <si>
    <t>2591</t>
    <phoneticPr fontId="3"/>
  </si>
  <si>
    <t>2592</t>
    <phoneticPr fontId="3"/>
  </si>
  <si>
    <t>2593</t>
    <phoneticPr fontId="3"/>
  </si>
  <si>
    <t>2594</t>
    <phoneticPr fontId="3"/>
  </si>
  <si>
    <t>2595</t>
    <phoneticPr fontId="3"/>
  </si>
  <si>
    <t>2596</t>
    <phoneticPr fontId="3"/>
  </si>
  <si>
    <t>2599</t>
    <phoneticPr fontId="3"/>
  </si>
  <si>
    <t>2600</t>
    <phoneticPr fontId="3"/>
  </si>
  <si>
    <t>2609</t>
    <phoneticPr fontId="3"/>
  </si>
  <si>
    <t>2611</t>
    <phoneticPr fontId="3"/>
  </si>
  <si>
    <t>2621</t>
    <phoneticPr fontId="3"/>
  </si>
  <si>
    <t>2631</t>
    <phoneticPr fontId="3"/>
  </si>
  <si>
    <t>2632</t>
    <phoneticPr fontId="3"/>
  </si>
  <si>
    <t>2633</t>
    <phoneticPr fontId="3"/>
  </si>
  <si>
    <t>2634</t>
    <phoneticPr fontId="3"/>
  </si>
  <si>
    <t>2635</t>
    <phoneticPr fontId="3"/>
  </si>
  <si>
    <t>2641</t>
    <phoneticPr fontId="3"/>
  </si>
  <si>
    <t>2642</t>
    <phoneticPr fontId="3"/>
  </si>
  <si>
    <t>2643</t>
    <phoneticPr fontId="3"/>
  </si>
  <si>
    <t>2644</t>
    <phoneticPr fontId="3"/>
  </si>
  <si>
    <t>2645</t>
    <phoneticPr fontId="3"/>
  </si>
  <si>
    <t>2652</t>
    <phoneticPr fontId="3"/>
  </si>
  <si>
    <t>2653</t>
    <phoneticPr fontId="3"/>
  </si>
  <si>
    <t>2661</t>
    <phoneticPr fontId="3"/>
  </si>
  <si>
    <t>2662</t>
    <phoneticPr fontId="3"/>
  </si>
  <si>
    <t>2663</t>
    <phoneticPr fontId="3"/>
  </si>
  <si>
    <t>2664</t>
    <phoneticPr fontId="3"/>
  </si>
  <si>
    <t>2671</t>
    <phoneticPr fontId="3"/>
  </si>
  <si>
    <t>2672</t>
    <phoneticPr fontId="3"/>
  </si>
  <si>
    <t>2691</t>
    <phoneticPr fontId="3"/>
  </si>
  <si>
    <t>2692</t>
    <phoneticPr fontId="3"/>
  </si>
  <si>
    <t>2693</t>
    <phoneticPr fontId="3"/>
  </si>
  <si>
    <t>2694</t>
    <phoneticPr fontId="3"/>
  </si>
  <si>
    <t>2699</t>
    <phoneticPr fontId="3"/>
  </si>
  <si>
    <t>2709</t>
    <phoneticPr fontId="3"/>
  </si>
  <si>
    <t>2711</t>
    <phoneticPr fontId="3"/>
  </si>
  <si>
    <t>2719</t>
    <phoneticPr fontId="3"/>
  </si>
  <si>
    <t>2721</t>
    <phoneticPr fontId="3"/>
  </si>
  <si>
    <t>2722</t>
    <phoneticPr fontId="3"/>
  </si>
  <si>
    <t>2723</t>
    <phoneticPr fontId="3"/>
  </si>
  <si>
    <t>2729</t>
    <phoneticPr fontId="3"/>
  </si>
  <si>
    <t>2731</t>
    <phoneticPr fontId="3"/>
  </si>
  <si>
    <t>2732</t>
    <phoneticPr fontId="3"/>
  </si>
  <si>
    <t>2733</t>
    <phoneticPr fontId="3"/>
  </si>
  <si>
    <t>2734</t>
    <phoneticPr fontId="3"/>
  </si>
  <si>
    <t>2736</t>
    <phoneticPr fontId="3"/>
  </si>
  <si>
    <t>2737</t>
    <phoneticPr fontId="3"/>
  </si>
  <si>
    <t>2738</t>
    <phoneticPr fontId="3"/>
  </si>
  <si>
    <t>2739</t>
    <phoneticPr fontId="3"/>
  </si>
  <si>
    <t>2741</t>
    <phoneticPr fontId="3"/>
  </si>
  <si>
    <t>2742</t>
    <phoneticPr fontId="3"/>
  </si>
  <si>
    <t>2743</t>
    <phoneticPr fontId="3"/>
  </si>
  <si>
    <t>2744</t>
    <phoneticPr fontId="3"/>
  </si>
  <si>
    <t>2751</t>
    <phoneticPr fontId="3"/>
  </si>
  <si>
    <t>2752</t>
    <phoneticPr fontId="3"/>
  </si>
  <si>
    <t>2753</t>
    <phoneticPr fontId="3"/>
  </si>
  <si>
    <t>2761</t>
    <phoneticPr fontId="3"/>
  </si>
  <si>
    <t>2800</t>
    <phoneticPr fontId="3"/>
  </si>
  <si>
    <t>2809</t>
    <phoneticPr fontId="3"/>
  </si>
  <si>
    <t>2811</t>
    <phoneticPr fontId="3"/>
  </si>
  <si>
    <t>2812</t>
    <phoneticPr fontId="3"/>
  </si>
  <si>
    <t>2813</t>
    <phoneticPr fontId="3"/>
  </si>
  <si>
    <t>2814</t>
    <phoneticPr fontId="3"/>
  </si>
  <si>
    <t>2821</t>
    <phoneticPr fontId="3"/>
  </si>
  <si>
    <t>2822</t>
    <phoneticPr fontId="3"/>
  </si>
  <si>
    <t>2823</t>
    <phoneticPr fontId="3"/>
  </si>
  <si>
    <t>2831</t>
    <phoneticPr fontId="3"/>
  </si>
  <si>
    <t>2832</t>
    <phoneticPr fontId="3"/>
  </si>
  <si>
    <t>2841</t>
    <phoneticPr fontId="3"/>
  </si>
  <si>
    <t>2842</t>
    <phoneticPr fontId="3"/>
  </si>
  <si>
    <t>2851</t>
    <phoneticPr fontId="3"/>
  </si>
  <si>
    <t>2859</t>
    <phoneticPr fontId="3"/>
  </si>
  <si>
    <t>2900</t>
    <phoneticPr fontId="3"/>
  </si>
  <si>
    <t>2909</t>
    <phoneticPr fontId="3"/>
  </si>
  <si>
    <t>2911</t>
    <phoneticPr fontId="3"/>
  </si>
  <si>
    <t>2913</t>
    <phoneticPr fontId="3"/>
  </si>
  <si>
    <t>2914</t>
    <phoneticPr fontId="3"/>
  </si>
  <si>
    <t>2915</t>
    <phoneticPr fontId="3"/>
  </si>
  <si>
    <t>2921</t>
    <phoneticPr fontId="3"/>
  </si>
  <si>
    <t>2922</t>
    <phoneticPr fontId="3"/>
  </si>
  <si>
    <t>2929</t>
    <phoneticPr fontId="3"/>
  </si>
  <si>
    <t>2931</t>
    <phoneticPr fontId="3"/>
  </si>
  <si>
    <t>2932</t>
    <phoneticPr fontId="3"/>
  </si>
  <si>
    <t>2933</t>
    <phoneticPr fontId="3"/>
  </si>
  <si>
    <t>2939</t>
    <phoneticPr fontId="3"/>
  </si>
  <si>
    <t>2941</t>
    <phoneticPr fontId="3"/>
  </si>
  <si>
    <t>2942</t>
    <phoneticPr fontId="3"/>
  </si>
  <si>
    <t>2951</t>
    <phoneticPr fontId="3"/>
  </si>
  <si>
    <t>2952</t>
    <phoneticPr fontId="3"/>
  </si>
  <si>
    <t>2961</t>
    <phoneticPr fontId="3"/>
  </si>
  <si>
    <t>2962</t>
    <phoneticPr fontId="3"/>
  </si>
  <si>
    <t>2969</t>
    <phoneticPr fontId="3"/>
  </si>
  <si>
    <t>2971</t>
    <phoneticPr fontId="3"/>
  </si>
  <si>
    <t>2972</t>
    <phoneticPr fontId="3"/>
  </si>
  <si>
    <t>2973</t>
    <phoneticPr fontId="3"/>
  </si>
  <si>
    <t>2999</t>
    <phoneticPr fontId="3"/>
  </si>
  <si>
    <t>3000</t>
    <phoneticPr fontId="3"/>
  </si>
  <si>
    <t>3009</t>
    <phoneticPr fontId="3"/>
  </si>
  <si>
    <t>3012</t>
    <phoneticPr fontId="3"/>
  </si>
  <si>
    <t>3013</t>
    <phoneticPr fontId="3"/>
  </si>
  <si>
    <t>3014</t>
    <phoneticPr fontId="3"/>
  </si>
  <si>
    <t>3015</t>
    <phoneticPr fontId="3"/>
  </si>
  <si>
    <t>3019</t>
    <phoneticPr fontId="3"/>
  </si>
  <si>
    <t>3022</t>
    <phoneticPr fontId="3"/>
  </si>
  <si>
    <t>3023</t>
    <phoneticPr fontId="3"/>
  </si>
  <si>
    <t>3031</t>
    <phoneticPr fontId="3"/>
  </si>
  <si>
    <t>3032</t>
    <phoneticPr fontId="3"/>
  </si>
  <si>
    <t>3033</t>
    <phoneticPr fontId="3"/>
  </si>
  <si>
    <t>3034</t>
    <phoneticPr fontId="3"/>
  </si>
  <si>
    <t>3035</t>
    <phoneticPr fontId="3"/>
  </si>
  <si>
    <t>3039</t>
    <phoneticPr fontId="3"/>
  </si>
  <si>
    <t>3100</t>
    <phoneticPr fontId="3"/>
  </si>
  <si>
    <t>3109</t>
    <phoneticPr fontId="3"/>
  </si>
  <si>
    <t>3112</t>
    <phoneticPr fontId="3"/>
  </si>
  <si>
    <t>3113</t>
    <phoneticPr fontId="3"/>
  </si>
  <si>
    <t>3121</t>
    <phoneticPr fontId="3"/>
  </si>
  <si>
    <t>3122</t>
    <phoneticPr fontId="3"/>
  </si>
  <si>
    <t>3131</t>
    <phoneticPr fontId="3"/>
  </si>
  <si>
    <t>3132</t>
    <phoneticPr fontId="3"/>
  </si>
  <si>
    <t>3133</t>
    <phoneticPr fontId="3"/>
  </si>
  <si>
    <t>3134</t>
    <phoneticPr fontId="3"/>
  </si>
  <si>
    <t>3141</t>
    <phoneticPr fontId="3"/>
  </si>
  <si>
    <t>3142</t>
    <phoneticPr fontId="3"/>
  </si>
  <si>
    <t>3149</t>
    <phoneticPr fontId="3"/>
  </si>
  <si>
    <t>3151</t>
    <phoneticPr fontId="3"/>
  </si>
  <si>
    <t>3159</t>
    <phoneticPr fontId="3"/>
  </si>
  <si>
    <t>3191</t>
    <phoneticPr fontId="3"/>
  </si>
  <si>
    <t>3199</t>
    <phoneticPr fontId="3"/>
  </si>
  <si>
    <t>3200</t>
    <phoneticPr fontId="3"/>
  </si>
  <si>
    <t>3209</t>
    <phoneticPr fontId="3"/>
  </si>
  <si>
    <t>3211</t>
    <phoneticPr fontId="3"/>
  </si>
  <si>
    <t>3212</t>
    <phoneticPr fontId="3"/>
  </si>
  <si>
    <t>3219</t>
    <phoneticPr fontId="3"/>
  </si>
  <si>
    <t>3221</t>
    <phoneticPr fontId="3"/>
  </si>
  <si>
    <t>3222</t>
    <phoneticPr fontId="3"/>
  </si>
  <si>
    <t>3223</t>
    <phoneticPr fontId="3"/>
  </si>
  <si>
    <t>3224</t>
    <phoneticPr fontId="3"/>
  </si>
  <si>
    <t>3229</t>
    <phoneticPr fontId="3"/>
  </si>
  <si>
    <t>3231</t>
    <phoneticPr fontId="3"/>
  </si>
  <si>
    <t>3241</t>
    <phoneticPr fontId="3"/>
  </si>
  <si>
    <t>3249</t>
    <phoneticPr fontId="3"/>
  </si>
  <si>
    <t>3251</t>
    <phoneticPr fontId="3"/>
  </si>
  <si>
    <t>3252</t>
    <phoneticPr fontId="3"/>
  </si>
  <si>
    <t>3253</t>
    <phoneticPr fontId="3"/>
  </si>
  <si>
    <t>3261</t>
    <phoneticPr fontId="3"/>
  </si>
  <si>
    <t>3262</t>
    <phoneticPr fontId="3"/>
  </si>
  <si>
    <t>3269</t>
    <phoneticPr fontId="3"/>
  </si>
  <si>
    <t>3271</t>
    <phoneticPr fontId="3"/>
  </si>
  <si>
    <t>3281</t>
    <phoneticPr fontId="3"/>
  </si>
  <si>
    <t>3282</t>
    <phoneticPr fontId="3"/>
  </si>
  <si>
    <t>3283</t>
    <phoneticPr fontId="3"/>
  </si>
  <si>
    <t>3284</t>
    <phoneticPr fontId="3"/>
  </si>
  <si>
    <t>3285</t>
    <phoneticPr fontId="3"/>
  </si>
  <si>
    <t>3289</t>
    <phoneticPr fontId="3"/>
  </si>
  <si>
    <t>3291</t>
    <phoneticPr fontId="3"/>
  </si>
  <si>
    <t>3292</t>
    <phoneticPr fontId="3"/>
  </si>
  <si>
    <t>3293</t>
    <phoneticPr fontId="3"/>
  </si>
  <si>
    <t>3294</t>
    <phoneticPr fontId="3"/>
  </si>
  <si>
    <t>3295</t>
    <phoneticPr fontId="3"/>
  </si>
  <si>
    <t>3296</t>
    <phoneticPr fontId="3"/>
  </si>
  <si>
    <t>3297</t>
    <phoneticPr fontId="3"/>
  </si>
  <si>
    <t>3299</t>
    <phoneticPr fontId="3"/>
  </si>
  <si>
    <t>3300</t>
    <phoneticPr fontId="3"/>
  </si>
  <si>
    <t>3309</t>
    <phoneticPr fontId="3"/>
  </si>
  <si>
    <t>3311</t>
    <phoneticPr fontId="3"/>
  </si>
  <si>
    <t>3312</t>
    <phoneticPr fontId="3"/>
  </si>
  <si>
    <t>3400</t>
    <phoneticPr fontId="3"/>
  </si>
  <si>
    <t>3411</t>
    <phoneticPr fontId="3"/>
  </si>
  <si>
    <t>3412</t>
    <phoneticPr fontId="3"/>
  </si>
  <si>
    <t>3500</t>
    <phoneticPr fontId="3"/>
  </si>
  <si>
    <t>3509</t>
    <phoneticPr fontId="3"/>
  </si>
  <si>
    <t>3511</t>
    <phoneticPr fontId="3"/>
  </si>
  <si>
    <t>3600</t>
    <phoneticPr fontId="3"/>
  </si>
  <si>
    <t>3609</t>
    <phoneticPr fontId="3"/>
  </si>
  <si>
    <t>3611</t>
    <phoneticPr fontId="3"/>
  </si>
  <si>
    <t>3631</t>
    <phoneticPr fontId="3"/>
  </si>
  <si>
    <t>3632</t>
    <phoneticPr fontId="3"/>
  </si>
  <si>
    <t>3700</t>
    <phoneticPr fontId="3"/>
  </si>
  <si>
    <t>3709</t>
    <phoneticPr fontId="3"/>
  </si>
  <si>
    <t>3711</t>
    <phoneticPr fontId="3"/>
  </si>
  <si>
    <t>3712</t>
    <phoneticPr fontId="3"/>
  </si>
  <si>
    <t>3713</t>
    <phoneticPr fontId="3"/>
  </si>
  <si>
    <t>3719</t>
    <phoneticPr fontId="3"/>
  </si>
  <si>
    <t>3721</t>
    <phoneticPr fontId="3"/>
  </si>
  <si>
    <t>3731</t>
    <phoneticPr fontId="3"/>
  </si>
  <si>
    <t>3800</t>
    <phoneticPr fontId="3"/>
  </si>
  <si>
    <t>3809</t>
    <phoneticPr fontId="3"/>
  </si>
  <si>
    <t>3811</t>
    <phoneticPr fontId="3"/>
  </si>
  <si>
    <t>3822</t>
    <phoneticPr fontId="3"/>
  </si>
  <si>
    <t>3823</t>
    <phoneticPr fontId="3"/>
  </si>
  <si>
    <t>3829</t>
    <phoneticPr fontId="3"/>
  </si>
  <si>
    <t>3831</t>
    <phoneticPr fontId="3"/>
  </si>
  <si>
    <t>3832</t>
    <phoneticPr fontId="3"/>
  </si>
  <si>
    <t>3900</t>
    <phoneticPr fontId="3"/>
  </si>
  <si>
    <t>3909</t>
    <phoneticPr fontId="3"/>
  </si>
  <si>
    <t>3911</t>
    <phoneticPr fontId="3"/>
  </si>
  <si>
    <t>3912</t>
    <phoneticPr fontId="3"/>
  </si>
  <si>
    <t>3913</t>
    <phoneticPr fontId="3"/>
  </si>
  <si>
    <t>3914</t>
    <phoneticPr fontId="3"/>
  </si>
  <si>
    <t>3921</t>
    <phoneticPr fontId="3"/>
  </si>
  <si>
    <t>3922</t>
    <phoneticPr fontId="3"/>
  </si>
  <si>
    <t>3923</t>
    <phoneticPr fontId="3"/>
  </si>
  <si>
    <t>3929</t>
    <phoneticPr fontId="3"/>
  </si>
  <si>
    <t>4000</t>
    <phoneticPr fontId="3"/>
  </si>
  <si>
    <t>4009</t>
    <phoneticPr fontId="3"/>
  </si>
  <si>
    <t>4011</t>
    <phoneticPr fontId="3"/>
  </si>
  <si>
    <t>4012</t>
    <phoneticPr fontId="3"/>
  </si>
  <si>
    <t>4013</t>
    <phoneticPr fontId="3"/>
  </si>
  <si>
    <t>4100</t>
    <phoneticPr fontId="3"/>
  </si>
  <si>
    <t>4109</t>
    <phoneticPr fontId="3"/>
  </si>
  <si>
    <t>4111</t>
    <phoneticPr fontId="3"/>
  </si>
  <si>
    <t>4112</t>
    <phoneticPr fontId="3"/>
  </si>
  <si>
    <t>4113</t>
    <phoneticPr fontId="3"/>
  </si>
  <si>
    <t>4114</t>
    <phoneticPr fontId="3"/>
  </si>
  <si>
    <t>4121</t>
    <phoneticPr fontId="3"/>
  </si>
  <si>
    <t>4122</t>
    <phoneticPr fontId="3"/>
  </si>
  <si>
    <t>4131</t>
    <phoneticPr fontId="3"/>
  </si>
  <si>
    <t>4141</t>
    <phoneticPr fontId="3"/>
  </si>
  <si>
    <t>4151</t>
    <phoneticPr fontId="3"/>
  </si>
  <si>
    <t>4161</t>
    <phoneticPr fontId="3"/>
  </si>
  <si>
    <t>4169</t>
    <phoneticPr fontId="3"/>
  </si>
  <si>
    <t>4200</t>
    <phoneticPr fontId="3"/>
  </si>
  <si>
    <t>4209</t>
    <phoneticPr fontId="3"/>
  </si>
  <si>
    <t>4211</t>
    <phoneticPr fontId="3"/>
  </si>
  <si>
    <t>4212</t>
    <phoneticPr fontId="3"/>
  </si>
  <si>
    <t>4213</t>
    <phoneticPr fontId="3"/>
  </si>
  <si>
    <t>4214</t>
    <phoneticPr fontId="3"/>
  </si>
  <si>
    <t>4215</t>
    <phoneticPr fontId="3"/>
  </si>
  <si>
    <t>4216</t>
    <phoneticPr fontId="3"/>
  </si>
  <si>
    <t>4217</t>
    <phoneticPr fontId="3"/>
  </si>
  <si>
    <t>4219</t>
    <phoneticPr fontId="3"/>
  </si>
  <si>
    <t>4300</t>
    <phoneticPr fontId="3"/>
  </si>
  <si>
    <t>4309</t>
    <phoneticPr fontId="3"/>
  </si>
  <si>
    <t>4311</t>
    <phoneticPr fontId="3"/>
  </si>
  <si>
    <t>4321</t>
    <phoneticPr fontId="3"/>
  </si>
  <si>
    <t>4331</t>
    <phoneticPr fontId="3"/>
  </si>
  <si>
    <t>4391</t>
    <phoneticPr fontId="3"/>
  </si>
  <si>
    <t>4399</t>
    <phoneticPr fontId="3"/>
  </si>
  <si>
    <t>4400</t>
    <phoneticPr fontId="3"/>
  </si>
  <si>
    <t>4411</t>
    <phoneticPr fontId="3"/>
  </si>
  <si>
    <t>4421</t>
    <phoneticPr fontId="3"/>
  </si>
  <si>
    <t>4431</t>
    <phoneticPr fontId="3"/>
  </si>
  <si>
    <t>4441</t>
    <phoneticPr fontId="3"/>
  </si>
  <si>
    <t>4499</t>
    <phoneticPr fontId="3"/>
  </si>
  <si>
    <t>4500</t>
    <phoneticPr fontId="3"/>
  </si>
  <si>
    <t>4509</t>
    <phoneticPr fontId="3"/>
  </si>
  <si>
    <t>4511</t>
    <phoneticPr fontId="3"/>
  </si>
  <si>
    <t>4512</t>
    <phoneticPr fontId="3"/>
  </si>
  <si>
    <t>4521</t>
    <phoneticPr fontId="3"/>
  </si>
  <si>
    <t>4522</t>
    <phoneticPr fontId="3"/>
  </si>
  <si>
    <t>4531</t>
    <phoneticPr fontId="3"/>
  </si>
  <si>
    <t>4532</t>
    <phoneticPr fontId="3"/>
  </si>
  <si>
    <t>4533</t>
    <phoneticPr fontId="3"/>
  </si>
  <si>
    <t>4541</t>
    <phoneticPr fontId="3"/>
  </si>
  <si>
    <t>4542</t>
    <phoneticPr fontId="3"/>
  </si>
  <si>
    <t>4600</t>
    <phoneticPr fontId="3"/>
  </si>
  <si>
    <t>4609</t>
    <phoneticPr fontId="3"/>
  </si>
  <si>
    <t>4611</t>
    <phoneticPr fontId="3"/>
  </si>
  <si>
    <t>4621</t>
    <phoneticPr fontId="3"/>
  </si>
  <si>
    <t>4700</t>
    <phoneticPr fontId="3"/>
  </si>
  <si>
    <t>4709</t>
    <phoneticPr fontId="3"/>
  </si>
  <si>
    <t>4721</t>
    <phoneticPr fontId="3"/>
  </si>
  <si>
    <t>4800</t>
    <phoneticPr fontId="3"/>
  </si>
  <si>
    <t>4809</t>
    <phoneticPr fontId="3"/>
  </si>
  <si>
    <t>4811</t>
    <phoneticPr fontId="3"/>
  </si>
  <si>
    <t>4821</t>
    <phoneticPr fontId="3"/>
  </si>
  <si>
    <t>4842</t>
    <phoneticPr fontId="3"/>
  </si>
  <si>
    <t>4852</t>
    <phoneticPr fontId="3"/>
  </si>
  <si>
    <t>4853</t>
    <phoneticPr fontId="3"/>
  </si>
  <si>
    <t>4856</t>
    <phoneticPr fontId="3"/>
  </si>
  <si>
    <t>4891</t>
    <phoneticPr fontId="3"/>
  </si>
  <si>
    <t>4899</t>
    <phoneticPr fontId="3"/>
  </si>
  <si>
    <t>4911</t>
    <phoneticPr fontId="3"/>
  </si>
  <si>
    <t>5008</t>
    <phoneticPr fontId="3"/>
  </si>
  <si>
    <t>5009</t>
    <phoneticPr fontId="3"/>
  </si>
  <si>
    <t>5011</t>
    <phoneticPr fontId="3"/>
  </si>
  <si>
    <t>5019</t>
    <phoneticPr fontId="3"/>
  </si>
  <si>
    <t>5100</t>
    <phoneticPr fontId="3"/>
  </si>
  <si>
    <t>5108</t>
    <phoneticPr fontId="3"/>
  </si>
  <si>
    <t>5109</t>
    <phoneticPr fontId="3"/>
  </si>
  <si>
    <t>5111</t>
    <phoneticPr fontId="3"/>
  </si>
  <si>
    <t>5113</t>
    <phoneticPr fontId="3"/>
  </si>
  <si>
    <t>5121</t>
    <phoneticPr fontId="3"/>
  </si>
  <si>
    <t>5122</t>
    <phoneticPr fontId="3"/>
  </si>
  <si>
    <t>5129</t>
    <phoneticPr fontId="3"/>
  </si>
  <si>
    <t>5131</t>
    <phoneticPr fontId="3"/>
  </si>
  <si>
    <t>5132</t>
    <phoneticPr fontId="3"/>
  </si>
  <si>
    <t>5133</t>
    <phoneticPr fontId="3"/>
  </si>
  <si>
    <t>5139</t>
    <phoneticPr fontId="3"/>
  </si>
  <si>
    <t>5200</t>
    <phoneticPr fontId="3"/>
  </si>
  <si>
    <t>5208</t>
    <phoneticPr fontId="3"/>
  </si>
  <si>
    <t>5209</t>
    <phoneticPr fontId="3"/>
  </si>
  <si>
    <t>5211</t>
    <phoneticPr fontId="3"/>
  </si>
  <si>
    <t>5212</t>
    <phoneticPr fontId="3"/>
  </si>
  <si>
    <t>5213</t>
    <phoneticPr fontId="3"/>
  </si>
  <si>
    <t>5214</t>
    <phoneticPr fontId="3"/>
  </si>
  <si>
    <t>5215</t>
    <phoneticPr fontId="3"/>
  </si>
  <si>
    <t>5216</t>
    <phoneticPr fontId="3"/>
  </si>
  <si>
    <t>5219</t>
    <phoneticPr fontId="3"/>
  </si>
  <si>
    <t>5221</t>
    <phoneticPr fontId="3"/>
  </si>
  <si>
    <t>5222</t>
    <phoneticPr fontId="3"/>
  </si>
  <si>
    <t>5223</t>
    <phoneticPr fontId="3"/>
  </si>
  <si>
    <t>5224</t>
    <phoneticPr fontId="3"/>
  </si>
  <si>
    <t>5225</t>
    <phoneticPr fontId="3"/>
  </si>
  <si>
    <t>5227</t>
    <phoneticPr fontId="3"/>
  </si>
  <si>
    <t>5300</t>
    <phoneticPr fontId="3"/>
  </si>
  <si>
    <t>5308</t>
    <phoneticPr fontId="3"/>
  </si>
  <si>
    <t>5309</t>
    <phoneticPr fontId="3"/>
  </si>
  <si>
    <t>5311</t>
    <phoneticPr fontId="3"/>
  </si>
  <si>
    <t>5312</t>
    <phoneticPr fontId="3"/>
  </si>
  <si>
    <t>5313</t>
    <phoneticPr fontId="3"/>
  </si>
  <si>
    <t>5314</t>
    <phoneticPr fontId="3"/>
  </si>
  <si>
    <t>5321</t>
    <phoneticPr fontId="3"/>
  </si>
  <si>
    <t>5322</t>
    <phoneticPr fontId="3"/>
  </si>
  <si>
    <t>5329</t>
    <phoneticPr fontId="3"/>
  </si>
  <si>
    <t>5331</t>
    <phoneticPr fontId="3"/>
  </si>
  <si>
    <t>5332</t>
    <phoneticPr fontId="3"/>
  </si>
  <si>
    <t>5341</t>
    <phoneticPr fontId="3"/>
  </si>
  <si>
    <t>5342</t>
    <phoneticPr fontId="3"/>
  </si>
  <si>
    <t>5349</t>
    <phoneticPr fontId="3"/>
  </si>
  <si>
    <t>5351</t>
    <phoneticPr fontId="3"/>
  </si>
  <si>
    <t>5352</t>
    <phoneticPr fontId="3"/>
  </si>
  <si>
    <t>5361</t>
    <phoneticPr fontId="3"/>
  </si>
  <si>
    <t>5362</t>
    <phoneticPr fontId="3"/>
  </si>
  <si>
    <t>5363</t>
    <phoneticPr fontId="3"/>
  </si>
  <si>
    <t>5364</t>
    <phoneticPr fontId="3"/>
  </si>
  <si>
    <t>5369</t>
    <phoneticPr fontId="3"/>
  </si>
  <si>
    <t>5408</t>
    <phoneticPr fontId="3"/>
  </si>
  <si>
    <t>5411</t>
    <phoneticPr fontId="3"/>
  </si>
  <si>
    <t>5412</t>
    <phoneticPr fontId="3"/>
  </si>
  <si>
    <t>5414</t>
    <phoneticPr fontId="3"/>
  </si>
  <si>
    <t>5421</t>
    <phoneticPr fontId="3"/>
  </si>
  <si>
    <t>5422</t>
    <phoneticPr fontId="3"/>
  </si>
  <si>
    <t>5431</t>
    <phoneticPr fontId="3"/>
  </si>
  <si>
    <t>5491</t>
    <phoneticPr fontId="3"/>
  </si>
  <si>
    <t>5492</t>
    <phoneticPr fontId="3"/>
  </si>
  <si>
    <t>5493</t>
    <phoneticPr fontId="3"/>
  </si>
  <si>
    <t>5508</t>
    <phoneticPr fontId="3"/>
  </si>
  <si>
    <t>5509</t>
    <phoneticPr fontId="3"/>
  </si>
  <si>
    <t>5511</t>
    <phoneticPr fontId="3"/>
  </si>
  <si>
    <t>5512</t>
    <phoneticPr fontId="3"/>
  </si>
  <si>
    <t>5513</t>
    <phoneticPr fontId="3"/>
  </si>
  <si>
    <t>5514</t>
    <phoneticPr fontId="3"/>
  </si>
  <si>
    <t>5515</t>
    <phoneticPr fontId="3"/>
  </si>
  <si>
    <t>5521</t>
    <phoneticPr fontId="3"/>
  </si>
  <si>
    <t>5522</t>
    <phoneticPr fontId="3"/>
  </si>
  <si>
    <t>5523</t>
    <phoneticPr fontId="3"/>
  </si>
  <si>
    <t>5524</t>
    <phoneticPr fontId="3"/>
  </si>
  <si>
    <t>5531</t>
    <phoneticPr fontId="3"/>
  </si>
  <si>
    <t>5592</t>
    <phoneticPr fontId="3"/>
  </si>
  <si>
    <t>5593</t>
    <phoneticPr fontId="3"/>
  </si>
  <si>
    <t>5594</t>
    <phoneticPr fontId="3"/>
  </si>
  <si>
    <t>5595</t>
    <phoneticPr fontId="3"/>
  </si>
  <si>
    <t>5596</t>
    <phoneticPr fontId="3"/>
  </si>
  <si>
    <t>5597</t>
    <phoneticPr fontId="3"/>
  </si>
  <si>
    <t>5598</t>
    <phoneticPr fontId="3"/>
  </si>
  <si>
    <t>5599</t>
    <phoneticPr fontId="3"/>
  </si>
  <si>
    <t>5600</t>
    <phoneticPr fontId="3"/>
  </si>
  <si>
    <t>5608</t>
    <phoneticPr fontId="3"/>
  </si>
  <si>
    <t>5609</t>
    <phoneticPr fontId="3"/>
  </si>
  <si>
    <t>5611</t>
    <phoneticPr fontId="3"/>
  </si>
  <si>
    <t>5700</t>
    <phoneticPr fontId="3"/>
  </si>
  <si>
    <t>5708</t>
    <phoneticPr fontId="3"/>
  </si>
  <si>
    <t>5709</t>
    <phoneticPr fontId="3"/>
  </si>
  <si>
    <t>5712</t>
    <phoneticPr fontId="3"/>
  </si>
  <si>
    <t>5731</t>
    <phoneticPr fontId="3"/>
  </si>
  <si>
    <t>5741</t>
    <phoneticPr fontId="3"/>
  </si>
  <si>
    <t>5742</t>
    <phoneticPr fontId="3"/>
  </si>
  <si>
    <t>5791</t>
    <phoneticPr fontId="3"/>
  </si>
  <si>
    <t>5792</t>
    <phoneticPr fontId="3"/>
  </si>
  <si>
    <t>5793</t>
    <phoneticPr fontId="3"/>
  </si>
  <si>
    <t>5799</t>
    <phoneticPr fontId="3"/>
  </si>
  <si>
    <t>5800</t>
    <phoneticPr fontId="3"/>
  </si>
  <si>
    <t>5808</t>
    <phoneticPr fontId="3"/>
  </si>
  <si>
    <t>5809</t>
    <phoneticPr fontId="3"/>
  </si>
  <si>
    <t>5811</t>
    <phoneticPr fontId="3"/>
  </si>
  <si>
    <t>5821</t>
    <phoneticPr fontId="3"/>
  </si>
  <si>
    <t>5822</t>
    <phoneticPr fontId="3"/>
  </si>
  <si>
    <t>5831</t>
    <phoneticPr fontId="3"/>
  </si>
  <si>
    <t>5832</t>
    <phoneticPr fontId="3"/>
  </si>
  <si>
    <t>5841</t>
    <phoneticPr fontId="3"/>
  </si>
  <si>
    <t>5861</t>
    <phoneticPr fontId="3"/>
  </si>
  <si>
    <t>5862</t>
    <phoneticPr fontId="3"/>
  </si>
  <si>
    <t>5863</t>
    <phoneticPr fontId="3"/>
  </si>
  <si>
    <t>5864</t>
    <phoneticPr fontId="3"/>
  </si>
  <si>
    <t>5891</t>
    <phoneticPr fontId="3"/>
  </si>
  <si>
    <t>5893</t>
    <phoneticPr fontId="3"/>
  </si>
  <si>
    <t>5894</t>
    <phoneticPr fontId="3"/>
  </si>
  <si>
    <t>5895</t>
    <phoneticPr fontId="3"/>
  </si>
  <si>
    <t>5897</t>
    <phoneticPr fontId="3"/>
  </si>
  <si>
    <t>5899</t>
    <phoneticPr fontId="3"/>
  </si>
  <si>
    <t>5908</t>
    <phoneticPr fontId="3"/>
  </si>
  <si>
    <t>5911</t>
    <phoneticPr fontId="3"/>
  </si>
  <si>
    <t>5912</t>
    <phoneticPr fontId="3"/>
  </si>
  <si>
    <t>5913</t>
    <phoneticPr fontId="3"/>
  </si>
  <si>
    <t>5914</t>
    <phoneticPr fontId="3"/>
  </si>
  <si>
    <t>5931</t>
    <phoneticPr fontId="3"/>
  </si>
  <si>
    <t>5933</t>
    <phoneticPr fontId="3"/>
  </si>
  <si>
    <t>6000</t>
    <phoneticPr fontId="3"/>
  </si>
  <si>
    <t>6008</t>
    <phoneticPr fontId="3"/>
  </si>
  <si>
    <t>6009</t>
    <phoneticPr fontId="3"/>
  </si>
  <si>
    <t>6011</t>
    <phoneticPr fontId="3"/>
  </si>
  <si>
    <t>6013</t>
    <phoneticPr fontId="3"/>
  </si>
  <si>
    <t>6014</t>
    <phoneticPr fontId="3"/>
  </si>
  <si>
    <t>6021</t>
    <phoneticPr fontId="3"/>
  </si>
  <si>
    <t>6022</t>
    <phoneticPr fontId="3"/>
  </si>
  <si>
    <t>6023</t>
    <phoneticPr fontId="3"/>
  </si>
  <si>
    <t>6032</t>
    <phoneticPr fontId="3"/>
  </si>
  <si>
    <t>6033</t>
    <phoneticPr fontId="3"/>
  </si>
  <si>
    <t>6041</t>
    <phoneticPr fontId="3"/>
  </si>
  <si>
    <t>6042</t>
    <phoneticPr fontId="3"/>
  </si>
  <si>
    <t>6043</t>
    <phoneticPr fontId="3"/>
  </si>
  <si>
    <t>6051</t>
    <phoneticPr fontId="3"/>
  </si>
  <si>
    <t>6052</t>
    <phoneticPr fontId="3"/>
  </si>
  <si>
    <t>6061</t>
    <phoneticPr fontId="3"/>
  </si>
  <si>
    <t>6062</t>
    <phoneticPr fontId="3"/>
  </si>
  <si>
    <t>6063</t>
    <phoneticPr fontId="3"/>
  </si>
  <si>
    <t>6064</t>
    <phoneticPr fontId="3"/>
  </si>
  <si>
    <t>6072</t>
    <phoneticPr fontId="3"/>
  </si>
  <si>
    <t>6073</t>
    <phoneticPr fontId="3"/>
  </si>
  <si>
    <t>6081</t>
    <phoneticPr fontId="3"/>
  </si>
  <si>
    <t>6082</t>
    <phoneticPr fontId="3"/>
  </si>
  <si>
    <t>6091</t>
    <phoneticPr fontId="3"/>
  </si>
  <si>
    <t>6092</t>
    <phoneticPr fontId="3"/>
  </si>
  <si>
    <t>6094</t>
    <phoneticPr fontId="3"/>
  </si>
  <si>
    <t>6095</t>
    <phoneticPr fontId="3"/>
  </si>
  <si>
    <t>6096</t>
    <phoneticPr fontId="3"/>
  </si>
  <si>
    <t>6097</t>
    <phoneticPr fontId="3"/>
  </si>
  <si>
    <t>6108</t>
    <phoneticPr fontId="3"/>
  </si>
  <si>
    <t>6109</t>
    <phoneticPr fontId="3"/>
  </si>
  <si>
    <t>6113</t>
    <phoneticPr fontId="3"/>
  </si>
  <si>
    <t>6114</t>
    <phoneticPr fontId="3"/>
  </si>
  <si>
    <t>6119</t>
    <phoneticPr fontId="3"/>
  </si>
  <si>
    <t>6121</t>
    <phoneticPr fontId="3"/>
  </si>
  <si>
    <t>6199</t>
    <phoneticPr fontId="3"/>
  </si>
  <si>
    <t>6200</t>
    <phoneticPr fontId="3"/>
  </si>
  <si>
    <t>6209</t>
    <phoneticPr fontId="3"/>
  </si>
  <si>
    <t>6211</t>
    <phoneticPr fontId="3"/>
  </si>
  <si>
    <t>6221</t>
    <phoneticPr fontId="3"/>
  </si>
  <si>
    <t>6223</t>
    <phoneticPr fontId="3"/>
  </si>
  <si>
    <t>6229</t>
    <phoneticPr fontId="3"/>
  </si>
  <si>
    <t>6300</t>
    <phoneticPr fontId="3"/>
  </si>
  <si>
    <t>6309</t>
    <phoneticPr fontId="3"/>
  </si>
  <si>
    <t>6311</t>
    <phoneticPr fontId="3"/>
  </si>
  <si>
    <t>6312</t>
    <phoneticPr fontId="3"/>
  </si>
  <si>
    <t>6314</t>
    <phoneticPr fontId="3"/>
  </si>
  <si>
    <t>6321</t>
    <phoneticPr fontId="3"/>
  </si>
  <si>
    <t>6322</t>
    <phoneticPr fontId="3"/>
  </si>
  <si>
    <t>6324</t>
    <phoneticPr fontId="3"/>
  </si>
  <si>
    <t>6325</t>
    <phoneticPr fontId="3"/>
  </si>
  <si>
    <t>6400</t>
    <phoneticPr fontId="3"/>
  </si>
  <si>
    <t>6409</t>
    <phoneticPr fontId="3"/>
  </si>
  <si>
    <t>6411</t>
    <phoneticPr fontId="3"/>
  </si>
  <si>
    <t>6412</t>
    <phoneticPr fontId="3"/>
  </si>
  <si>
    <t>6431</t>
    <phoneticPr fontId="3"/>
  </si>
  <si>
    <t>6491</t>
    <phoneticPr fontId="3"/>
  </si>
  <si>
    <t>6492</t>
    <phoneticPr fontId="3"/>
  </si>
  <si>
    <t>6493</t>
    <phoneticPr fontId="3"/>
  </si>
  <si>
    <t>6499</t>
    <phoneticPr fontId="3"/>
  </si>
  <si>
    <t>6509</t>
    <phoneticPr fontId="3"/>
  </si>
  <si>
    <t>6511</t>
    <phoneticPr fontId="3"/>
  </si>
  <si>
    <t>6512</t>
    <phoneticPr fontId="3"/>
  </si>
  <si>
    <t>6513</t>
    <phoneticPr fontId="3"/>
  </si>
  <si>
    <t>6514</t>
    <phoneticPr fontId="3"/>
  </si>
  <si>
    <t>6521</t>
    <phoneticPr fontId="3"/>
  </si>
  <si>
    <t>6522</t>
    <phoneticPr fontId="3"/>
  </si>
  <si>
    <t>6600</t>
    <phoneticPr fontId="3"/>
  </si>
  <si>
    <t>6609</t>
    <phoneticPr fontId="3"/>
  </si>
  <si>
    <t>6611</t>
    <phoneticPr fontId="3"/>
  </si>
  <si>
    <t>6612</t>
    <phoneticPr fontId="3"/>
  </si>
  <si>
    <t>6613</t>
    <phoneticPr fontId="3"/>
  </si>
  <si>
    <t>6615</t>
    <phoneticPr fontId="3"/>
  </si>
  <si>
    <t>6616</t>
    <phoneticPr fontId="3"/>
  </si>
  <si>
    <t>6617</t>
    <phoneticPr fontId="3"/>
  </si>
  <si>
    <t>6618</t>
    <phoneticPr fontId="3"/>
  </si>
  <si>
    <t>6619</t>
    <phoneticPr fontId="3"/>
  </si>
  <si>
    <t>6621</t>
    <phoneticPr fontId="3"/>
  </si>
  <si>
    <t>6622</t>
    <phoneticPr fontId="3"/>
  </si>
  <si>
    <t>6631</t>
    <phoneticPr fontId="3"/>
  </si>
  <si>
    <t>6632</t>
    <phoneticPr fontId="3"/>
  </si>
  <si>
    <t>6639</t>
    <phoneticPr fontId="3"/>
  </si>
  <si>
    <t>6700</t>
    <phoneticPr fontId="3"/>
  </si>
  <si>
    <t>6709</t>
    <phoneticPr fontId="3"/>
  </si>
  <si>
    <t>6711</t>
    <phoneticPr fontId="3"/>
  </si>
  <si>
    <t>6712</t>
    <phoneticPr fontId="3"/>
  </si>
  <si>
    <t>6713</t>
    <phoneticPr fontId="3"/>
  </si>
  <si>
    <t>6719</t>
    <phoneticPr fontId="3"/>
  </si>
  <si>
    <t>6721</t>
    <phoneticPr fontId="3"/>
  </si>
  <si>
    <t>6722</t>
    <phoneticPr fontId="3"/>
  </si>
  <si>
    <t>6732</t>
    <phoneticPr fontId="3"/>
  </si>
  <si>
    <t>6733</t>
    <phoneticPr fontId="3"/>
  </si>
  <si>
    <t>6742</t>
    <phoneticPr fontId="3"/>
  </si>
  <si>
    <t>6743</t>
    <phoneticPr fontId="3"/>
  </si>
  <si>
    <t>6751</t>
    <phoneticPr fontId="3"/>
  </si>
  <si>
    <t>6752</t>
    <phoneticPr fontId="3"/>
  </si>
  <si>
    <t>6759</t>
    <phoneticPr fontId="3"/>
  </si>
  <si>
    <t>6800</t>
    <phoneticPr fontId="3"/>
  </si>
  <si>
    <t>6809</t>
    <phoneticPr fontId="3"/>
  </si>
  <si>
    <t>6811</t>
    <phoneticPr fontId="3"/>
  </si>
  <si>
    <t>6812</t>
    <phoneticPr fontId="3"/>
  </si>
  <si>
    <t>6821</t>
    <phoneticPr fontId="3"/>
  </si>
  <si>
    <t>6900</t>
    <phoneticPr fontId="3"/>
  </si>
  <si>
    <t>6909</t>
    <phoneticPr fontId="3"/>
  </si>
  <si>
    <t>6911</t>
    <phoneticPr fontId="3"/>
  </si>
  <si>
    <t>6912</t>
    <phoneticPr fontId="3"/>
  </si>
  <si>
    <t>6919</t>
    <phoneticPr fontId="3"/>
  </si>
  <si>
    <t>6921</t>
    <phoneticPr fontId="3"/>
  </si>
  <si>
    <t>6931</t>
    <phoneticPr fontId="3"/>
  </si>
  <si>
    <t>6941</t>
    <phoneticPr fontId="3"/>
  </si>
  <si>
    <t>7000</t>
    <phoneticPr fontId="3"/>
  </si>
  <si>
    <t>7009</t>
    <phoneticPr fontId="3"/>
  </si>
  <si>
    <t>7011</t>
    <phoneticPr fontId="3"/>
  </si>
  <si>
    <t>7021</t>
    <phoneticPr fontId="3"/>
  </si>
  <si>
    <t>7022</t>
    <phoneticPr fontId="3"/>
  </si>
  <si>
    <t>7031</t>
    <phoneticPr fontId="3"/>
  </si>
  <si>
    <t>7032</t>
    <phoneticPr fontId="3"/>
  </si>
  <si>
    <t>7041</t>
    <phoneticPr fontId="3"/>
  </si>
  <si>
    <t>7051</t>
    <phoneticPr fontId="3"/>
  </si>
  <si>
    <t>7092</t>
    <phoneticPr fontId="3"/>
  </si>
  <si>
    <t>7093</t>
    <phoneticPr fontId="3"/>
  </si>
  <si>
    <t>7099</t>
    <phoneticPr fontId="3"/>
  </si>
  <si>
    <t>7101</t>
    <phoneticPr fontId="3"/>
  </si>
  <si>
    <t>7111</t>
    <phoneticPr fontId="3"/>
  </si>
  <si>
    <t>7112</t>
    <phoneticPr fontId="3"/>
  </si>
  <si>
    <t>7113</t>
    <phoneticPr fontId="3"/>
  </si>
  <si>
    <t>7114</t>
    <phoneticPr fontId="3"/>
  </si>
  <si>
    <t>7121</t>
    <phoneticPr fontId="3"/>
  </si>
  <si>
    <t>7211</t>
    <phoneticPr fontId="3"/>
  </si>
  <si>
    <t>7212</t>
    <phoneticPr fontId="3"/>
  </si>
  <si>
    <t>7221</t>
    <phoneticPr fontId="3"/>
  </si>
  <si>
    <t>7222</t>
    <phoneticPr fontId="3"/>
  </si>
  <si>
    <t>7231</t>
    <phoneticPr fontId="3"/>
  </si>
  <si>
    <t>7241</t>
    <phoneticPr fontId="3"/>
  </si>
  <si>
    <t>7242</t>
    <phoneticPr fontId="3"/>
  </si>
  <si>
    <t>7251</t>
    <phoneticPr fontId="3"/>
  </si>
  <si>
    <t>7261</t>
    <phoneticPr fontId="3"/>
  </si>
  <si>
    <t>7271</t>
    <phoneticPr fontId="3"/>
  </si>
  <si>
    <t>7272</t>
    <phoneticPr fontId="3"/>
  </si>
  <si>
    <t>7281</t>
    <phoneticPr fontId="3"/>
  </si>
  <si>
    <t>7282</t>
    <phoneticPr fontId="3"/>
  </si>
  <si>
    <t>7291</t>
    <phoneticPr fontId="3"/>
  </si>
  <si>
    <t>7292</t>
    <phoneticPr fontId="3"/>
  </si>
  <si>
    <t>7294</t>
    <phoneticPr fontId="3"/>
  </si>
  <si>
    <t>7300</t>
    <phoneticPr fontId="3"/>
  </si>
  <si>
    <t>7309</t>
    <phoneticPr fontId="3"/>
  </si>
  <si>
    <t>7311</t>
    <phoneticPr fontId="3"/>
  </si>
  <si>
    <t>7401</t>
    <phoneticPr fontId="3"/>
  </si>
  <si>
    <t>7411</t>
    <phoneticPr fontId="3"/>
  </si>
  <si>
    <t>7429</t>
    <phoneticPr fontId="3"/>
  </si>
  <si>
    <t>7431</t>
    <phoneticPr fontId="3"/>
  </si>
  <si>
    <t>7441</t>
    <phoneticPr fontId="3"/>
  </si>
  <si>
    <t>7442</t>
    <phoneticPr fontId="3"/>
  </si>
  <si>
    <t>7451</t>
    <phoneticPr fontId="3"/>
  </si>
  <si>
    <t>7459</t>
    <phoneticPr fontId="3"/>
  </si>
  <si>
    <t>7462</t>
    <phoneticPr fontId="3"/>
  </si>
  <si>
    <t>7499</t>
    <phoneticPr fontId="3"/>
  </si>
  <si>
    <t>7500</t>
    <phoneticPr fontId="3"/>
  </si>
  <si>
    <t>7511</t>
    <phoneticPr fontId="3"/>
  </si>
  <si>
    <t>7521</t>
    <phoneticPr fontId="3"/>
  </si>
  <si>
    <t>7591</t>
    <phoneticPr fontId="3"/>
  </si>
  <si>
    <t>7592</t>
    <phoneticPr fontId="3"/>
  </si>
  <si>
    <t>7599</t>
    <phoneticPr fontId="3"/>
  </si>
  <si>
    <t>7600</t>
    <phoneticPr fontId="3"/>
  </si>
  <si>
    <t>7609</t>
    <phoneticPr fontId="3"/>
  </si>
  <si>
    <t>7622</t>
    <phoneticPr fontId="3"/>
  </si>
  <si>
    <t>7623</t>
    <phoneticPr fontId="3"/>
  </si>
  <si>
    <t>7624</t>
    <phoneticPr fontId="3"/>
  </si>
  <si>
    <t>7625</t>
    <phoneticPr fontId="3"/>
  </si>
  <si>
    <t>7641</t>
    <phoneticPr fontId="3"/>
  </si>
  <si>
    <t>7661</t>
    <phoneticPr fontId="3"/>
  </si>
  <si>
    <t>7671</t>
    <phoneticPr fontId="3"/>
  </si>
  <si>
    <t>7691</t>
    <phoneticPr fontId="3"/>
  </si>
  <si>
    <t>7692</t>
    <phoneticPr fontId="3"/>
  </si>
  <si>
    <t>7699</t>
    <phoneticPr fontId="3"/>
  </si>
  <si>
    <t>7709</t>
    <phoneticPr fontId="3"/>
  </si>
  <si>
    <t>7711</t>
    <phoneticPr fontId="3"/>
  </si>
  <si>
    <t>7800</t>
    <phoneticPr fontId="3"/>
  </si>
  <si>
    <t>7809</t>
    <phoneticPr fontId="3"/>
  </si>
  <si>
    <t>7811</t>
    <phoneticPr fontId="3"/>
  </si>
  <si>
    <t>7812</t>
    <phoneticPr fontId="3"/>
  </si>
  <si>
    <t>7813</t>
    <phoneticPr fontId="3"/>
  </si>
  <si>
    <t>7821</t>
    <phoneticPr fontId="3"/>
  </si>
  <si>
    <t>7841</t>
    <phoneticPr fontId="3"/>
  </si>
  <si>
    <t>7851</t>
    <phoneticPr fontId="3"/>
  </si>
  <si>
    <t>7891</t>
    <phoneticPr fontId="3"/>
  </si>
  <si>
    <t>7893</t>
    <phoneticPr fontId="3"/>
  </si>
  <si>
    <t>7894</t>
    <phoneticPr fontId="3"/>
  </si>
  <si>
    <t>7899</t>
    <phoneticPr fontId="3"/>
  </si>
  <si>
    <t>7900</t>
    <phoneticPr fontId="3"/>
  </si>
  <si>
    <t>7911</t>
    <phoneticPr fontId="3"/>
  </si>
  <si>
    <t>7912</t>
    <phoneticPr fontId="3"/>
  </si>
  <si>
    <t>7921</t>
    <phoneticPr fontId="3"/>
  </si>
  <si>
    <t>7922</t>
    <phoneticPr fontId="3"/>
  </si>
  <si>
    <t>7931</t>
    <phoneticPr fontId="3"/>
  </si>
  <si>
    <t>7941</t>
    <phoneticPr fontId="3"/>
  </si>
  <si>
    <t>7951</t>
    <phoneticPr fontId="3"/>
  </si>
  <si>
    <t>7952</t>
    <phoneticPr fontId="3"/>
  </si>
  <si>
    <t>7961</t>
    <phoneticPr fontId="3"/>
  </si>
  <si>
    <t>7962</t>
    <phoneticPr fontId="3"/>
  </si>
  <si>
    <t>7963</t>
    <phoneticPr fontId="3"/>
  </si>
  <si>
    <t>7991</t>
    <phoneticPr fontId="3"/>
  </si>
  <si>
    <t>7992</t>
    <phoneticPr fontId="3"/>
  </si>
  <si>
    <t>7993</t>
    <phoneticPr fontId="3"/>
  </si>
  <si>
    <t>7999</t>
    <phoneticPr fontId="3"/>
  </si>
  <si>
    <t>8000</t>
    <phoneticPr fontId="3"/>
  </si>
  <si>
    <t>8009</t>
    <phoneticPr fontId="3"/>
  </si>
  <si>
    <t>8011</t>
    <phoneticPr fontId="3"/>
  </si>
  <si>
    <t>8022</t>
    <phoneticPr fontId="3"/>
  </si>
  <si>
    <t>8024</t>
    <phoneticPr fontId="3"/>
  </si>
  <si>
    <t>8025</t>
    <phoneticPr fontId="3"/>
  </si>
  <si>
    <t>8032</t>
    <phoneticPr fontId="3"/>
  </si>
  <si>
    <t>8033</t>
    <phoneticPr fontId="3"/>
  </si>
  <si>
    <t>8034</t>
    <phoneticPr fontId="3"/>
  </si>
  <si>
    <t>8035</t>
    <phoneticPr fontId="3"/>
  </si>
  <si>
    <t>8036</t>
    <phoneticPr fontId="3"/>
  </si>
  <si>
    <t>8041</t>
    <phoneticPr fontId="3"/>
  </si>
  <si>
    <t>8042</t>
    <phoneticPr fontId="3"/>
  </si>
  <si>
    <t>8045</t>
    <phoneticPr fontId="3"/>
  </si>
  <si>
    <t>8046</t>
    <phoneticPr fontId="3"/>
  </si>
  <si>
    <t>8047</t>
    <phoneticPr fontId="3"/>
  </si>
  <si>
    <t>8048</t>
    <phoneticPr fontId="3"/>
  </si>
  <si>
    <t>8051</t>
    <phoneticPr fontId="3"/>
  </si>
  <si>
    <t>8052</t>
    <phoneticPr fontId="3"/>
  </si>
  <si>
    <t>8062</t>
    <phoneticPr fontId="3"/>
  </si>
  <si>
    <t>8063</t>
    <phoneticPr fontId="3"/>
  </si>
  <si>
    <t>8064</t>
    <phoneticPr fontId="3"/>
  </si>
  <si>
    <t>8065</t>
    <phoneticPr fontId="3"/>
  </si>
  <si>
    <t>8069</t>
    <phoneticPr fontId="3"/>
  </si>
  <si>
    <t>8091</t>
    <phoneticPr fontId="3"/>
  </si>
  <si>
    <t>8092</t>
    <phoneticPr fontId="3"/>
  </si>
  <si>
    <t>8093</t>
    <phoneticPr fontId="3"/>
  </si>
  <si>
    <t>8094</t>
    <phoneticPr fontId="3"/>
  </si>
  <si>
    <t>8095</t>
    <phoneticPr fontId="3"/>
  </si>
  <si>
    <t>8096</t>
    <phoneticPr fontId="3"/>
  </si>
  <si>
    <t>8099</t>
    <phoneticPr fontId="3"/>
  </si>
  <si>
    <t>8101</t>
    <phoneticPr fontId="3"/>
  </si>
  <si>
    <t>8111</t>
    <phoneticPr fontId="3"/>
  </si>
  <si>
    <t>8121</t>
    <phoneticPr fontId="3"/>
  </si>
  <si>
    <t>8131</t>
    <phoneticPr fontId="3"/>
  </si>
  <si>
    <t>8141</t>
    <phoneticPr fontId="3"/>
  </si>
  <si>
    <t>8142</t>
    <phoneticPr fontId="3"/>
  </si>
  <si>
    <t>8151</t>
    <phoneticPr fontId="3"/>
  </si>
  <si>
    <t>8161</t>
    <phoneticPr fontId="3"/>
  </si>
  <si>
    <t>8162</t>
    <phoneticPr fontId="3"/>
  </si>
  <si>
    <t>8163</t>
    <phoneticPr fontId="3"/>
  </si>
  <si>
    <t>8171</t>
    <phoneticPr fontId="3"/>
  </si>
  <si>
    <t>8172</t>
    <phoneticPr fontId="3"/>
  </si>
  <si>
    <t>8181</t>
    <phoneticPr fontId="3"/>
  </si>
  <si>
    <t>8191</t>
    <phoneticPr fontId="3"/>
  </si>
  <si>
    <t>8200</t>
    <phoneticPr fontId="3"/>
  </si>
  <si>
    <t>8211</t>
    <phoneticPr fontId="3"/>
  </si>
  <si>
    <t>8213</t>
    <phoneticPr fontId="3"/>
  </si>
  <si>
    <t>8214</t>
    <phoneticPr fontId="3"/>
  </si>
  <si>
    <t>8215</t>
    <phoneticPr fontId="3"/>
  </si>
  <si>
    <t>8216</t>
    <phoneticPr fontId="3"/>
  </si>
  <si>
    <t>8219</t>
    <phoneticPr fontId="3"/>
  </si>
  <si>
    <t>8221</t>
    <phoneticPr fontId="3"/>
  </si>
  <si>
    <t>8229</t>
    <phoneticPr fontId="3"/>
  </si>
  <si>
    <t>8242</t>
    <phoneticPr fontId="3"/>
  </si>
  <si>
    <t>8243</t>
    <phoneticPr fontId="3"/>
  </si>
  <si>
    <t>8244</t>
    <phoneticPr fontId="3"/>
  </si>
  <si>
    <t>8245</t>
    <phoneticPr fontId="3"/>
  </si>
  <si>
    <t>8246</t>
    <phoneticPr fontId="3"/>
  </si>
  <si>
    <t>8249</t>
    <phoneticPr fontId="3"/>
  </si>
  <si>
    <t>8300</t>
    <phoneticPr fontId="3"/>
  </si>
  <si>
    <t>8309</t>
    <phoneticPr fontId="3"/>
  </si>
  <si>
    <t>8312</t>
    <phoneticPr fontId="3"/>
  </si>
  <si>
    <t>8321</t>
    <phoneticPr fontId="3"/>
  </si>
  <si>
    <t>8322</t>
    <phoneticPr fontId="3"/>
  </si>
  <si>
    <t>8331</t>
    <phoneticPr fontId="3"/>
  </si>
  <si>
    <t>8341</t>
    <phoneticPr fontId="3"/>
  </si>
  <si>
    <t>8342</t>
    <phoneticPr fontId="3"/>
  </si>
  <si>
    <t>8361</t>
    <phoneticPr fontId="3"/>
  </si>
  <si>
    <t>8369</t>
    <phoneticPr fontId="3"/>
  </si>
  <si>
    <t>8400</t>
    <phoneticPr fontId="3"/>
  </si>
  <si>
    <t>8409</t>
    <phoneticPr fontId="3"/>
  </si>
  <si>
    <t>8411</t>
    <phoneticPr fontId="3"/>
  </si>
  <si>
    <t>8421</t>
    <phoneticPr fontId="3"/>
  </si>
  <si>
    <t>8422</t>
    <phoneticPr fontId="3"/>
  </si>
  <si>
    <t>8429</t>
    <phoneticPr fontId="3"/>
  </si>
  <si>
    <t>8491</t>
    <phoneticPr fontId="3"/>
  </si>
  <si>
    <t>8492</t>
    <phoneticPr fontId="3"/>
  </si>
  <si>
    <t>8499</t>
    <phoneticPr fontId="3"/>
  </si>
  <si>
    <t>8500</t>
    <phoneticPr fontId="3"/>
  </si>
  <si>
    <t>8509</t>
    <phoneticPr fontId="3"/>
  </si>
  <si>
    <t>8511</t>
    <phoneticPr fontId="3"/>
  </si>
  <si>
    <t>8521</t>
    <phoneticPr fontId="3"/>
  </si>
  <si>
    <t>8531</t>
    <phoneticPr fontId="3"/>
  </si>
  <si>
    <t>8541</t>
    <phoneticPr fontId="3"/>
  </si>
  <si>
    <t>8542</t>
    <phoneticPr fontId="3"/>
  </si>
  <si>
    <t>8543</t>
    <phoneticPr fontId="3"/>
  </si>
  <si>
    <t>8544</t>
    <phoneticPr fontId="3"/>
  </si>
  <si>
    <t>8545</t>
    <phoneticPr fontId="3"/>
  </si>
  <si>
    <t>8546</t>
    <phoneticPr fontId="3"/>
  </si>
  <si>
    <t>8549</t>
    <phoneticPr fontId="3"/>
  </si>
  <si>
    <t>8551</t>
    <phoneticPr fontId="3"/>
  </si>
  <si>
    <t>8559</t>
    <phoneticPr fontId="3"/>
  </si>
  <si>
    <t>8591</t>
    <phoneticPr fontId="3"/>
  </si>
  <si>
    <t>8599</t>
    <phoneticPr fontId="3"/>
  </si>
  <si>
    <t>8601</t>
    <phoneticPr fontId="3"/>
  </si>
  <si>
    <t>8611</t>
    <phoneticPr fontId="3"/>
  </si>
  <si>
    <t>8621</t>
    <phoneticPr fontId="3"/>
  </si>
  <si>
    <t>8629</t>
    <phoneticPr fontId="3"/>
  </si>
  <si>
    <t>8701</t>
    <phoneticPr fontId="3"/>
  </si>
  <si>
    <t>8711</t>
    <phoneticPr fontId="3"/>
  </si>
  <si>
    <t>8712</t>
    <phoneticPr fontId="3"/>
  </si>
  <si>
    <t>8713</t>
    <phoneticPr fontId="3"/>
  </si>
  <si>
    <t>8714</t>
    <phoneticPr fontId="3"/>
  </si>
  <si>
    <t>8721</t>
    <phoneticPr fontId="3"/>
  </si>
  <si>
    <t>8809</t>
    <phoneticPr fontId="3"/>
  </si>
  <si>
    <t>8811</t>
    <phoneticPr fontId="3"/>
  </si>
  <si>
    <t>8812</t>
    <phoneticPr fontId="3"/>
  </si>
  <si>
    <t>8816</t>
    <phoneticPr fontId="3"/>
  </si>
  <si>
    <t>8817</t>
    <phoneticPr fontId="3"/>
  </si>
  <si>
    <t>8821</t>
    <phoneticPr fontId="3"/>
  </si>
  <si>
    <t>8822</t>
    <phoneticPr fontId="3"/>
  </si>
  <si>
    <t>8823</t>
    <phoneticPr fontId="3"/>
  </si>
  <si>
    <t>8824</t>
    <phoneticPr fontId="3"/>
  </si>
  <si>
    <t>8891</t>
    <phoneticPr fontId="3"/>
  </si>
  <si>
    <t>8901</t>
    <phoneticPr fontId="3"/>
  </si>
  <si>
    <t>8911</t>
    <phoneticPr fontId="3"/>
  </si>
  <si>
    <t>8919</t>
    <phoneticPr fontId="3"/>
  </si>
  <si>
    <t>9000</t>
    <phoneticPr fontId="3"/>
  </si>
  <si>
    <t>9009</t>
    <phoneticPr fontId="3"/>
  </si>
  <si>
    <t>9011</t>
    <phoneticPr fontId="3"/>
  </si>
  <si>
    <t>9012</t>
    <phoneticPr fontId="3"/>
  </si>
  <si>
    <t>9021</t>
    <phoneticPr fontId="3"/>
  </si>
  <si>
    <t>9031</t>
    <phoneticPr fontId="3"/>
  </si>
  <si>
    <t>9091</t>
    <phoneticPr fontId="3"/>
  </si>
  <si>
    <t>9092</t>
    <phoneticPr fontId="3"/>
  </si>
  <si>
    <t>9093</t>
    <phoneticPr fontId="3"/>
  </si>
  <si>
    <t>9094</t>
    <phoneticPr fontId="3"/>
  </si>
  <si>
    <t>9099</t>
    <phoneticPr fontId="3"/>
  </si>
  <si>
    <t>9100</t>
    <phoneticPr fontId="3"/>
  </si>
  <si>
    <t>9109</t>
    <phoneticPr fontId="3"/>
  </si>
  <si>
    <t>9111</t>
    <phoneticPr fontId="3"/>
  </si>
  <si>
    <t>9121</t>
    <phoneticPr fontId="3"/>
  </si>
  <si>
    <t>9200</t>
    <phoneticPr fontId="3"/>
  </si>
  <si>
    <t>9209</t>
    <phoneticPr fontId="3"/>
  </si>
  <si>
    <t>9211</t>
    <phoneticPr fontId="3"/>
  </si>
  <si>
    <t>9212</t>
    <phoneticPr fontId="3"/>
  </si>
  <si>
    <t>9221</t>
    <phoneticPr fontId="3"/>
  </si>
  <si>
    <t>9229</t>
    <phoneticPr fontId="3"/>
  </si>
  <si>
    <t>9231</t>
    <phoneticPr fontId="3"/>
  </si>
  <si>
    <t>9291</t>
    <phoneticPr fontId="3"/>
  </si>
  <si>
    <t>9292</t>
    <phoneticPr fontId="3"/>
  </si>
  <si>
    <t>9293</t>
    <phoneticPr fontId="3"/>
  </si>
  <si>
    <t>9294</t>
    <phoneticPr fontId="3"/>
  </si>
  <si>
    <t>9299</t>
    <phoneticPr fontId="3"/>
  </si>
  <si>
    <t>9312</t>
    <phoneticPr fontId="3"/>
  </si>
  <si>
    <t>9321</t>
    <phoneticPr fontId="3"/>
  </si>
  <si>
    <t>9331</t>
    <phoneticPr fontId="3"/>
  </si>
  <si>
    <t>9332</t>
    <phoneticPr fontId="3"/>
  </si>
  <si>
    <t>9341</t>
    <phoneticPr fontId="3"/>
  </si>
  <si>
    <t>9411</t>
    <phoneticPr fontId="3"/>
  </si>
  <si>
    <t>9422</t>
    <phoneticPr fontId="3"/>
  </si>
  <si>
    <t>9431</t>
    <phoneticPr fontId="3"/>
  </si>
  <si>
    <t>9432</t>
    <phoneticPr fontId="3"/>
  </si>
  <si>
    <t>9491</t>
    <phoneticPr fontId="3"/>
  </si>
  <si>
    <t>9501</t>
    <phoneticPr fontId="3"/>
  </si>
  <si>
    <t>9511</t>
    <phoneticPr fontId="3"/>
  </si>
  <si>
    <t>9521</t>
    <phoneticPr fontId="3"/>
  </si>
  <si>
    <t>9611</t>
    <phoneticPr fontId="3"/>
  </si>
  <si>
    <t>9699</t>
    <phoneticPr fontId="3"/>
  </si>
  <si>
    <t>9711</t>
    <phoneticPr fontId="3"/>
  </si>
  <si>
    <t>9721</t>
    <phoneticPr fontId="3"/>
  </si>
  <si>
    <t>9731</t>
    <phoneticPr fontId="3"/>
  </si>
  <si>
    <t>9811</t>
    <phoneticPr fontId="3"/>
  </si>
  <si>
    <t>9821</t>
    <phoneticPr fontId="3"/>
  </si>
  <si>
    <t>9999</t>
    <phoneticPr fontId="3"/>
  </si>
  <si>
    <t>□</t>
  </si>
  <si>
    <t>３　計画期間中のエネルギー起源二酸化炭素の排出の状況及び排出量の削減の目標(規則第２条第１号又は第２号該当の事業者)</t>
    <rPh sb="2" eb="4">
      <t>ケイカク</t>
    </rPh>
    <rPh sb="4" eb="7">
      <t>キカンチュウ</t>
    </rPh>
    <rPh sb="13" eb="15">
      <t>キゲン</t>
    </rPh>
    <rPh sb="15" eb="16">
      <t>ニ</t>
    </rPh>
    <rPh sb="16" eb="18">
      <t>サンカ</t>
    </rPh>
    <rPh sb="18" eb="20">
      <t>タンソ</t>
    </rPh>
    <rPh sb="24" eb="26">
      <t>ジョウキョウ</t>
    </rPh>
    <rPh sb="26" eb="27">
      <t>オヨ</t>
    </rPh>
    <rPh sb="28" eb="31">
      <t>ハイシュツリョウ</t>
    </rPh>
    <rPh sb="32" eb="34">
      <t>サクゲン</t>
    </rPh>
    <rPh sb="35" eb="37">
      <t>モクヒョウ</t>
    </rPh>
    <rPh sb="38" eb="40">
      <t>キソク</t>
    </rPh>
    <rPh sb="40" eb="41">
      <t>ダイ</t>
    </rPh>
    <rPh sb="42" eb="43">
      <t>ジョウ</t>
    </rPh>
    <rPh sb="43" eb="44">
      <t>ダイ</t>
    </rPh>
    <rPh sb="45" eb="46">
      <t>ゴウ</t>
    </rPh>
    <rPh sb="46" eb="47">
      <t>マタ</t>
    </rPh>
    <rPh sb="48" eb="49">
      <t>ダイ</t>
    </rPh>
    <rPh sb="50" eb="51">
      <t>ゴウ</t>
    </rPh>
    <rPh sb="51" eb="52">
      <t>ガイ</t>
    </rPh>
    <rPh sb="52" eb="53">
      <t>トウ</t>
    </rPh>
    <rPh sb="54" eb="55">
      <t>コト</t>
    </rPh>
    <rPh sb="55" eb="57">
      <t>ギョウシャ</t>
    </rPh>
    <phoneticPr fontId="3"/>
  </si>
  <si>
    <t>４　計画期間中のエネルギー起源二酸化炭素の排出の状況及び排出量の削減の目標(規則第２条第３号該当の事業者)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</si>
  <si>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</si>
  <si>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</si>
  <si>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</si>
  <si>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</si>
  <si>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</si>
  <si>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</si>
  <si>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10　エネルギー管理指定工場等ごとのエネルギー起源二酸化炭素の排出の状況､排出量の削減の目標及び当該目標を達成するための措置の内容</t>
    <rPh sb="8" eb="15">
      <t>カンリシテイコウジョウトウ</t>
    </rPh>
    <rPh sb="23" eb="25">
      <t>キゲン</t>
    </rPh>
    <rPh sb="25" eb="28">
      <t>ニサンカ</t>
    </rPh>
    <rPh sb="28" eb="30">
      <t>タンソ</t>
    </rPh>
    <rPh sb="31" eb="33">
      <t>ハイシュツ</t>
    </rPh>
    <rPh sb="34" eb="36">
      <t>ジョウキョウ</t>
    </rPh>
    <rPh sb="37" eb="40">
      <t>ハイシュツリョウ</t>
    </rPh>
    <rPh sb="41" eb="43">
      <t>サクゲン</t>
    </rPh>
    <rPh sb="44" eb="46">
      <t>モクヒョウ</t>
    </rPh>
    <rPh sb="46" eb="47">
      <t>オヨ</t>
    </rPh>
    <rPh sb="48" eb="50">
      <t>トウガイ</t>
    </rPh>
    <rPh sb="50" eb="52">
      <t>モクヒョウ</t>
    </rPh>
    <phoneticPr fontId="3"/>
  </si>
  <si>
    <t>（３）　工場等の排出量の削減の目標を達成するための措置の内容</t>
    <rPh sb="4" eb="7">
      <t>コウジョウトウ</t>
    </rPh>
    <rPh sb="8" eb="10">
      <t>ハイシュツ</t>
    </rPh>
    <rPh sb="10" eb="11">
      <t>リョウ</t>
    </rPh>
    <rPh sb="12" eb="14">
      <t>サクゲン</t>
    </rPh>
    <rPh sb="15" eb="17">
      <t>モクヒョウ</t>
    </rPh>
    <rPh sb="18" eb="20">
      <t>タッセイ</t>
    </rPh>
    <rPh sb="25" eb="27">
      <t>ソチ</t>
    </rPh>
    <rPh sb="28" eb="30">
      <t>ナイヨウ</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</si>
  <si>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 eb="2">
      <t>ダイ</t>
    </rPh>
    <rPh sb="3" eb="4">
      <t>メン</t>
    </rPh>
    <rPh sb="7" eb="8">
      <t>ラン</t>
    </rPh>
    <rPh sb="11" eb="14">
      <t>ハイシュツリョウ</t>
    </rPh>
    <rPh sb="15" eb="17">
      <t>サクゲン</t>
    </rPh>
    <rPh sb="18" eb="20">
      <t>モクヒョウ</t>
    </rPh>
    <rPh sb="21" eb="23">
      <t>タッセイ</t>
    </rPh>
    <rPh sb="28" eb="31">
      <t>ジギョウシャ</t>
    </rPh>
    <rPh sb="32" eb="34">
      <t>タイサク</t>
    </rPh>
    <rPh sb="35" eb="37">
      <t>ケイカク</t>
    </rPh>
    <rPh sb="37" eb="38">
      <t>オヨ</t>
    </rPh>
    <rPh sb="39" eb="41">
      <t>ジッシ</t>
    </rPh>
    <rPh sb="42" eb="44">
      <t>ケッカ</t>
    </rPh>
    <rPh sb="45" eb="48">
      <t>グタイテキ</t>
    </rPh>
    <rPh sb="49" eb="51">
      <t>キサイ</t>
    </rPh>
    <rPh sb="58" eb="60">
      <t>キサイ</t>
    </rPh>
    <rPh sb="71" eb="73">
      <t>ヨウシキ</t>
    </rPh>
    <rPh sb="74" eb="75">
      <t>レイ</t>
    </rPh>
    <rPh sb="78" eb="80">
      <t>サクセイ</t>
    </rPh>
    <rPh sb="82" eb="84">
      <t>ショメン</t>
    </rPh>
    <rPh sb="85" eb="87">
      <t>キサイ</t>
    </rPh>
    <rPh sb="92" eb="94">
      <t>ショメン</t>
    </rPh>
    <rPh sb="95" eb="97">
      <t>テンプ</t>
    </rPh>
    <phoneticPr fontId="3"/>
  </si>
  <si>
    <t>　規則第２条第１号又は第２号該当の事業者にあっては、総括票及び個別票を作成した工場等ごとに、最終年度における排出量の算定の根拠を明らかにする書類を添付してください。また、個別票には、使用している設備の管理状況及び排出量の削減の目標を達成するための具体的な措置の内容を確認できる書類を添付してください。</t>
    <rPh sb="46" eb="48">
      <t>サイシュウ</t>
    </rPh>
    <rPh sb="48" eb="50">
      <t>ネンド</t>
    </rPh>
    <rPh sb="138" eb="140">
      <t>ショルイ</t>
    </rPh>
    <phoneticPr fontId="3"/>
  </si>
  <si>
    <t>　規則第２条第３号該当の事業者にあっては、最終年度における排出量の算定の根拠を明らかにする書類、使用している自動車の管理状況及び排出量の削減の目標を達成するための具体的な措置の内容が確認できる書類を添付してください。</t>
    <rPh sb="21" eb="23">
      <t>サイシュウ</t>
    </rPh>
    <rPh sb="23" eb="25">
      <t>ネンド</t>
    </rPh>
    <rPh sb="96" eb="98">
      <t>ショルイ</t>
    </rPh>
    <phoneticPr fontId="3"/>
  </si>
  <si>
    <t>【エラーチェック】</t>
    <phoneticPr fontId="3"/>
  </si>
  <si>
    <t>【設定メモ】</t>
    <rPh sb="1" eb="3">
      <t>セッテイ</t>
    </rPh>
    <phoneticPr fontId="3"/>
  </si>
  <si>
    <t>←E18,20：条件付き書式設定あり（いずれも■の場合、セルを赤く網掛け）</t>
    <rPh sb="8" eb="11">
      <t>ジョウケンツ</t>
    </rPh>
    <rPh sb="12" eb="16">
      <t>ショシキセッテイ</t>
    </rPh>
    <rPh sb="25" eb="27">
      <t>バアイ</t>
    </rPh>
    <rPh sb="31" eb="32">
      <t>アカ</t>
    </rPh>
    <rPh sb="33" eb="35">
      <t>アミカ</t>
    </rPh>
    <phoneticPr fontId="3"/>
  </si>
  <si>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3"/>
  </si>
  <si>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</si>
  <si>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</si>
  <si>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</si>
  <si>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【エラーチェック】</t>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</si>
  <si>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</si>
  <si>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</si>
  <si>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</si>
  <si>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←F6,8,11,13、J6,8,11,13、N6,8,11,13、R6,11:入力規則あり（半角英数）</t>
    <rPh sb="40" eb="42">
      <t>ニュウリョク</t>
    </rPh>
    <rPh sb="42" eb="44">
      <t>キソク</t>
    </rPh>
    <rPh sb="47" eb="49">
      <t>ハンカク</t>
    </rPh>
    <rPh sb="49" eb="51">
      <t>エイスウ</t>
    </rPh>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</si>
  <si>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</si>
  <si>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←F23,25,28,30、J23,25,28,30、N23,25,28,30、R23,28:入力規則あり（半角英数）</t>
    <rPh sb="47" eb="49">
      <t>ニュウリョク</t>
    </rPh>
    <rPh sb="49" eb="51">
      <t>キソク</t>
    </rPh>
    <rPh sb="54" eb="56">
      <t>ハンカク</t>
    </rPh>
    <rPh sb="56" eb="58">
      <t>エイスウ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</si>
  <si>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</si>
  <si>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←Ｏ列：条件付き書式設定あり（①Ｄ列が空欄以外でＯ列がいずれも□の場合、②Ｏ列がいずれも■の場合、セルを赤く網掛け）</t>
    <rPh sb="2" eb="3">
      <t>レツ</t>
    </rPh>
    <rPh sb="4" eb="7">
      <t>ジョウケンツ</t>
    </rPh>
    <rPh sb="8" eb="12">
      <t>ショシキセッテイ</t>
    </rPh>
    <rPh sb="17" eb="18">
      <t>レツ</t>
    </rPh>
    <rPh sb="19" eb="21">
      <t>クウラン</t>
    </rPh>
    <rPh sb="21" eb="23">
      <t>イガイ</t>
    </rPh>
    <rPh sb="25" eb="26">
      <t>レツ</t>
    </rPh>
    <rPh sb="33" eb="35">
      <t>バアイ</t>
    </rPh>
    <rPh sb="38" eb="39">
      <t>レツ</t>
    </rPh>
    <phoneticPr fontId="3"/>
  </si>
  <si>
    <t>←Ｑ列：条件付き書式設定あり（Ｏ列が「■未実施」でＱ列が空欄の場合、セルを赤く網掛け）</t>
    <rPh sb="2" eb="3">
      <t>レツ</t>
    </rPh>
    <rPh sb="4" eb="7">
      <t>ジョウケンツ</t>
    </rPh>
    <rPh sb="8" eb="12">
      <t>ショシキセッテイ</t>
    </rPh>
    <rPh sb="16" eb="17">
      <t>レツ</t>
    </rPh>
    <rPh sb="20" eb="23">
      <t>ミジッシ</t>
    </rPh>
    <rPh sb="26" eb="27">
      <t>レツ</t>
    </rPh>
    <rPh sb="28" eb="30">
      <t>クウラン</t>
    </rPh>
    <phoneticPr fontId="3"/>
  </si>
  <si>
    <t>←F4～13：条件付き書式設定あり（空欄以外で「神奈川県」を含まない場合にセルをオレンジ色に網掛け）</t>
    <rPh sb="7" eb="10">
      <t>ジョウケンツ</t>
    </rPh>
    <rPh sb="11" eb="15">
      <t>ショシキセッテイ</t>
    </rPh>
    <rPh sb="18" eb="20">
      <t>クウラン</t>
    </rPh>
    <rPh sb="20" eb="22">
      <t>イガイ</t>
    </rPh>
    <rPh sb="24" eb="28">
      <t>カナガワケン</t>
    </rPh>
    <rPh sb="30" eb="31">
      <t>フク</t>
    </rPh>
    <rPh sb="34" eb="36">
      <t>バアイ</t>
    </rPh>
    <rPh sb="44" eb="45">
      <t>イロ</t>
    </rPh>
    <rPh sb="46" eb="48">
      <t>アミカ</t>
    </rPh>
    <phoneticPr fontId="3"/>
  </si>
  <si>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3"/>
  </si>
  <si>
    <t>←８～12行目:入力規則あり（半角英数）</t>
    <rPh sb="5" eb="7">
      <t>ギョウメ</t>
    </rPh>
    <rPh sb="8" eb="10">
      <t>ニュウリョク</t>
    </rPh>
    <rPh sb="10" eb="12">
      <t>キソク</t>
    </rPh>
    <rPh sb="15" eb="17">
      <t>ハンカク</t>
    </rPh>
    <rPh sb="17" eb="19">
      <t>エイスウ</t>
    </rPh>
    <phoneticPr fontId="3"/>
  </si>
  <si>
    <t>←G16,18,21,23、L16,18,21,23、Q16,18,21,23、U16,21:入力規則あり（半角英数）</t>
    <rPh sb="47" eb="49">
      <t>ニュウリョク</t>
    </rPh>
    <rPh sb="49" eb="51">
      <t>キソク</t>
    </rPh>
    <rPh sb="54" eb="56">
      <t>ハンカク</t>
    </rPh>
    <rPh sb="56" eb="58">
      <t>エイスウ</t>
    </rPh>
    <phoneticPr fontId="3"/>
  </si>
  <si>
    <t>10kWの太陽光発電設備を導入する。</t>
    <rPh sb="5" eb="8">
      <t>タイヨウコウ</t>
    </rPh>
    <rPh sb="8" eb="10">
      <t>ハツデン</t>
    </rPh>
    <rPh sb="10" eb="12">
      <t>セツビ</t>
    </rPh>
    <rPh sb="13" eb="15">
      <t>ドウニュウ</t>
    </rPh>
    <phoneticPr fontId="3"/>
  </si>
  <si>
    <t>←E17～26：条件付き書式設定あり（空欄以外で「神奈川県」を含まない場合にセルをオレンジ色に網掛け）</t>
    <rPh sb="8" eb="11">
      <t>ジョウケンツ</t>
    </rPh>
    <rPh sb="12" eb="16">
      <t>ショシキセッテイ</t>
    </rPh>
    <rPh sb="19" eb="21">
      <t>クウラン</t>
    </rPh>
    <rPh sb="21" eb="23">
      <t>イガイ</t>
    </rPh>
    <rPh sb="25" eb="29">
      <t>カナガワケン</t>
    </rPh>
    <rPh sb="31" eb="32">
      <t>フク</t>
    </rPh>
    <rPh sb="35" eb="37">
      <t>バアイ</t>
    </rPh>
    <rPh sb="45" eb="46">
      <t>イロ</t>
    </rPh>
    <rPh sb="47" eb="49">
      <t>アミカ</t>
    </rPh>
    <phoneticPr fontId="3"/>
  </si>
  <si>
    <t>＜書類作成を委託した場合の連絡先＞
社名：*****株式会社
部署名：*****部*****課
担当者名：**  
電話番号：***-***-***
電子メールアドレス：abc@○○○○.jp</t>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</si>
  <si>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</si>
  <si>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3"/>
  </si>
  <si>
    <t>受電端力率の管理対策</t>
    <rPh sb="0" eb="2">
      <t>ジュデン</t>
    </rPh>
    <rPh sb="2" eb="3">
      <t>タン</t>
    </rPh>
    <rPh sb="3" eb="5">
      <t>リキリツ</t>
    </rPh>
    <rPh sb="6" eb="8">
      <t>カンリ</t>
    </rPh>
    <rPh sb="8" eb="10">
      <t>タイサク</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</si>
  <si>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</si>
  <si>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</si>
  <si>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</si>
  <si>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</si>
  <si>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○20**年度に、厚木工場に10kWの太陽光発電装置
　を設置する予定</t>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</si>
  <si>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</si>
  <si>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</si>
  <si>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年度）</t>
    <rPh sb="0" eb="2">
      <t>ネンド</t>
    </rPh>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</si>
  <si>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</si>
  <si>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</si>
  <si>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</si>
  <si>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</si>
  <si>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</si>
  <si>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</si>
  <si>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</si>
  <si>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</si>
  <si>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</si>
  <si>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</si>
  <si>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</si>
  <si>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</si>
  <si>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</si>
  <si>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</si>
  <si>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</si>
  <si>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</si>
  <si>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</si>
  <si>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</si>
  <si>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</si>
  <si>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</si>
  <si>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</si>
  <si>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</si>
  <si>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</si>
  <si>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</si>
  <si>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</si>
  <si>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</si>
  <si>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</si>
  <si>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</si>
  <si>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</si>
  <si>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</si>
  <si>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</si>
  <si>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</si>
  <si>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</si>
  <si>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</si>
  <si>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</si>
  <si>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</si>
  <si>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</si>
  <si>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</si>
  <si>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</si>
  <si>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</si>
  <si>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</si>
  <si>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</si>
  <si>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</si>
  <si>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</si>
  <si>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</si>
  <si>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</si>
  <si>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</si>
  <si>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</si>
  <si>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</si>
  <si>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</si>
  <si>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</si>
  <si>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</si>
  <si>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</si>
  <si>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</si>
  <si>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</si>
  <si>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</si>
  <si>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</si>
  <si>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</si>
  <si>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</si>
  <si>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</si>
  <si>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</si>
  <si>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</si>
  <si>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</si>
  <si>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</si>
  <si>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神奈川県</t>
    <rPh sb="0" eb="4">
      <t>カナガワケン</t>
    </rPh>
    <phoneticPr fontId="3"/>
  </si>
  <si>
    <t>６</t>
  </si>
  <si>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</si>
  <si>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</si>
  <si>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</si>
  <si>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</si>
  <si>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</si>
  <si>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t>○環境教育の実施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【追加実施】
　・社有地への植樹
　　南足柄市の社有地に植樹（20**年度）
　　⇒計画期間中に約10,000本植樹、延べ約100名参加</t>
    <rPh sb="152" eb="154">
      <t>マイトシ</t>
    </rPh>
    <rPh sb="184" eb="186">
      <t>サンカ</t>
    </rPh>
    <rPh sb="194" eb="196">
      <t>ツイカ</t>
    </rPh>
    <rPh sb="196" eb="198">
      <t>ジッシ</t>
    </rPh>
    <rPh sb="202" eb="204">
      <t>シャユウ</t>
    </rPh>
    <rPh sb="204" eb="205">
      <t>チ</t>
    </rPh>
    <rPh sb="212" eb="215">
      <t>ミナミアシガラ</t>
    </rPh>
    <rPh sb="215" eb="216">
      <t>シ</t>
    </rPh>
    <rPh sb="228" eb="230">
      <t>ネンド</t>
    </rPh>
    <rPh sb="235" eb="237">
      <t>ケイカク</t>
    </rPh>
    <rPh sb="237" eb="239">
      <t>キカン</t>
    </rPh>
    <rPh sb="239" eb="240">
      <t>ナカ</t>
    </rPh>
    <rPh sb="241" eb="242">
      <t>ヤク</t>
    </rPh>
    <rPh sb="248" eb="249">
      <t>ホン</t>
    </rPh>
    <rPh sb="249" eb="251">
      <t>ショクジュ</t>
    </rPh>
    <rPh sb="252" eb="253">
      <t>ノ</t>
    </rPh>
    <rPh sb="259" eb="261">
      <t>サンカ</t>
    </rPh>
    <phoneticPr fontId="3"/>
  </si>
  <si>
    <t>神奈川県</t>
    <rPh sb="0" eb="4">
      <t>カナガワケン</t>
    </rPh>
    <phoneticPr fontId="3"/>
  </si>
  <si>
    <t>神奈川県</t>
    <rPh sb="0" eb="4">
      <t>カナガワケン</t>
    </rPh>
    <phoneticPr fontId="3"/>
  </si>
  <si>
    <t>○推進体制の整備（5101）、エコドライブの実施（5105）
・業務部長をトップとしたエコドライブの推進体制を整備し、燃費効率の10％改善を目標に取り組んでいく。また、社内の協力体制を作るため、全社的な周知を図っていく。
・ドライバーに対し、春と秋の年２回エコドライブ講習会を開催する。また、燃費の良い運転を行っているドライバーを表彰し、技術を他のドライバーに伝達する仕組みを構築する。
・国等が実施しているエコドライブコンテスト等に参加する。
○低燃費車の導入（5106）
・更新時期がきた自動車から順次トップランナー基準達成車など二酸化炭素排出量の少ない車を導入する。（３年間で25台導入）
○自営転換（5205）
・自家用輸送から運送事業者による輸送への転換を図っていく。</t>
    <phoneticPr fontId="3"/>
  </si>
  <si>
    <r>
      <t>＜削減目標の達成状況＞【例】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・低燃費車への更新を中心とした削減対策を着実に実施したため。
～非達成の場合～
・20**年度以降に配送地域を拡大したことによる走行距離の増加があったため。
・活動内容の変化により、大型車両の稼働頻度が多くなり、全体として燃費悪化したため。</t>
    </r>
    <r>
      <rPr>
        <sz val="8"/>
        <color rgb="FFFF0000"/>
        <rFont val="ＭＳ 明朝"/>
        <family val="1"/>
        <charset val="128"/>
      </rPr>
      <t>　</t>
    </r>
    <r>
      <rPr>
        <sz val="8"/>
        <rFont val="ＭＳ 明朝"/>
        <family val="1"/>
        <charset val="128"/>
      </rPr>
      <t xml:space="preserve">
●排出量原単位：達成（or非達成）
～達成の場合～
・原単位指標の量である「走行距離」の変動が少なかったため、CO2排出量の達成要因に同じ。
～非達成の場合～
・＊＊＊＊により、原単位指標の量である「走行距離」が減少したため。</t>
    </r>
    <rPh sb="267" eb="271">
      <t>テイネンピシャ</t>
    </rPh>
    <rPh sb="273" eb="275">
      <t>コウシン</t>
    </rPh>
    <rPh sb="276" eb="278">
      <t>チュウシン</t>
    </rPh>
    <rPh sb="316" eb="318">
      <t>ハイソウ</t>
    </rPh>
    <rPh sb="318" eb="320">
      <t>チイキ</t>
    </rPh>
    <rPh sb="321" eb="323">
      <t>カクダイ</t>
    </rPh>
    <rPh sb="330" eb="332">
      <t>ソウコウ</t>
    </rPh>
    <rPh sb="332" eb="334">
      <t>キョリ</t>
    </rPh>
    <rPh sb="335" eb="337">
      <t>ゾウカ</t>
    </rPh>
    <rPh sb="435" eb="436">
      <t>スク</t>
    </rPh>
    <phoneticPr fontId="3"/>
  </si>
  <si>
    <r>
      <t xml:space="preserve">○推進体制の整備(5101)、エコドライブの実施(5105)
・20**年7月に業務部長を責任者として、従業員の役割分担を設定した推進体制を整備した。
・20**年９月にエコドライブの全社的目標、基本方針を設定し、全従業員に周知した。　
・20**年10月にエコドライブの効果を上げるため、優良ドライバー（燃費の良い運転を行っている及び燃費改善効果の大きいドライバー）の表彰制度を制定した。
また、専門講師による講習会を２回（20**年4月、10月)開催した。
さらに、メーカーが実施するエコドライブコンテストに３名のドライバーを参加（20**年1月）させた。
</t>
    </r>
    <r>
      <rPr>
        <sz val="8.5"/>
        <rFont val="ＭＳ ゴシック"/>
        <family val="3"/>
        <charset val="128"/>
      </rPr>
      <t xml:space="preserve">
○低燃費車の導入（5106）
・更新車両30台について、低ＣＯ2車を導入した。
　（電気自動車１台、天然ガス自動車１台、ハイブリッド自動車1台、低燃費基準達成車27台）
○自営転換（5205)
・20**年８月に顧客と調整のうえ、一部貨物について、運送事業者による輸送に転換した。これに伴い、使用車両５台を削減した。</t>
    </r>
    <phoneticPr fontId="3"/>
  </si>
  <si>
    <t>○推進体制の整備（3101）
・環境マネジメントシステムを導入し、第三者機関によるチェックが行われるように改善する。（全社）
○管理基準の作成・変更（3102）
・設備の省エネ対策を徹底するため、主要機器を中心に管理基準の見直しを行う。（小田原工場）
○照明設備対策（3809）
・更新時期がきた設備から順次LED照明を導入する。（厚木工場）
○空気調和設備対策（1201）
・営業所においては、室温管理を徹底するとともに、中間期の外気取入れを行い、エネルギー使用量の節減に努める。（相模原事業所）</t>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</si>
  <si>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予定していた削減対策はほぼ予定どおり実施できたが、下記の理由で達成できなかった。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8" eb="220">
      <t>サクゲン</t>
    </rPh>
    <rPh sb="220" eb="222">
      <t>モクヒョウ</t>
    </rPh>
    <rPh sb="223" eb="225">
      <t>タッセイ</t>
    </rPh>
    <rPh sb="228" eb="229">
      <t>ヒ</t>
    </rPh>
    <rPh sb="229" eb="231">
      <t>タッセイ</t>
    </rPh>
    <rPh sb="233" eb="235">
      <t>ヨウイン</t>
    </rPh>
    <rPh sb="237" eb="238">
      <t>レイ</t>
    </rPh>
    <rPh sb="244" eb="246">
      <t>ハイシュツ</t>
    </rPh>
    <rPh sb="246" eb="247">
      <t>リョウ</t>
    </rPh>
    <rPh sb="262" eb="264">
      <t>バアイ</t>
    </rPh>
    <rPh sb="360" eb="361">
      <t>サ</t>
    </rPh>
    <rPh sb="393" eb="395">
      <t>バアイ</t>
    </rPh>
    <rPh sb="490" eb="492">
      <t>キソ</t>
    </rPh>
    <rPh sb="531" eb="534">
      <t>チョウセイゴ</t>
    </rPh>
    <rPh sb="534" eb="536">
      <t>ハイシュツ</t>
    </rPh>
    <rPh sb="536" eb="537">
      <t>リョウ</t>
    </rPh>
    <rPh sb="538" eb="540">
      <t>キジュン</t>
    </rPh>
    <rPh sb="540" eb="542">
      <t>ネンド</t>
    </rPh>
    <rPh sb="543" eb="544">
      <t>タイ</t>
    </rPh>
    <rPh sb="549" eb="551">
      <t>サクゲン</t>
    </rPh>
    <rPh sb="596" eb="597">
      <t>オオ</t>
    </rPh>
    <rPh sb="598" eb="600">
      <t>シヨウ</t>
    </rPh>
    <rPh sb="617" eb="619">
      <t>ハイシュツ</t>
    </rPh>
    <rPh sb="619" eb="620">
      <t>リョウ</t>
    </rPh>
    <rPh sb="620" eb="623">
      <t>ゲンタンイ</t>
    </rPh>
    <rPh sb="651" eb="652">
      <t>リョウ</t>
    </rPh>
    <rPh sb="656" eb="658">
      <t>ノベユカ</t>
    </rPh>
    <rPh sb="658" eb="660">
      <t>メンセキ</t>
    </rPh>
    <rPh sb="675" eb="677">
      <t>ハイシュツ</t>
    </rPh>
    <rPh sb="677" eb="678">
      <t>リョウ</t>
    </rPh>
    <rPh sb="679" eb="681">
      <t>タッセイ</t>
    </rPh>
    <rPh sb="681" eb="683">
      <t>ヨウイン</t>
    </rPh>
    <rPh sb="684" eb="685">
      <t>オナ</t>
    </rPh>
    <rPh sb="711" eb="712">
      <t>ノベ</t>
    </rPh>
    <rPh sb="712" eb="715">
      <t>ユカメンセキ</t>
    </rPh>
    <rPh sb="717" eb="718">
      <t>ヤク</t>
    </rPh>
    <rPh sb="720" eb="722">
      <t>ゲンショウ</t>
    </rPh>
    <rPh sb="726" eb="728">
      <t>ハイシュツ</t>
    </rPh>
    <rPh sb="728" eb="729">
      <t>リョウ</t>
    </rPh>
    <rPh sb="729" eb="731">
      <t>イジョウ</t>
    </rPh>
    <rPh sb="732" eb="733">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</si>
  <si>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481" eb="482">
      <t>ヒ</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</si>
  <si>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予定していた削減対策をほぼ予定どおり実施できたが、下記の理由で達成できなかった。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・原単位指標の量である「生産量」の変動がなかったため、CO2排出量の達成要因に同じ。
～非達成の場合～
　　・原単位指標の量である「生産量」が約○％減少しCO2排出量以上に減ったため。</t>
    <rPh sb="657" eb="659">
      <t>セイサン</t>
    </rPh>
    <rPh sb="659" eb="660">
      <t>リョウ</t>
    </rPh>
    <rPh sb="711" eb="713">
      <t>セイサン</t>
    </rPh>
    <rPh sb="713" eb="714">
      <t>リョウ</t>
    </rPh>
    <rPh sb="725" eb="727">
      <t>ハイシュツ</t>
    </rPh>
    <rPh sb="727" eb="728">
      <t>リョウ</t>
    </rPh>
    <rPh sb="728" eb="730">
      <t>イジョウ</t>
    </rPh>
    <rPh sb="731" eb="732">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</si>
  <si>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6" eb="258">
      <t>リユウ</t>
    </rPh>
    <rPh sb="480" eb="481">
      <t>ヒ</t>
    </rPh>
    <phoneticPr fontId="3"/>
  </si>
  <si>
    <r>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t>
    </r>
    <r>
      <rPr>
        <sz val="8"/>
        <color rgb="FFFF0000"/>
        <rFont val="ＭＳ 明朝"/>
        <family val="1"/>
        <charset val="128"/>
      </rPr>
      <t>　</t>
    </r>
    <r>
      <rPr>
        <sz val="8"/>
        <rFont val="ＭＳ 明朝"/>
        <family val="1"/>
        <charset val="128"/>
      </rPr>
      <t>　
●排出量原単位：達成（or非達成）
～達成の場合～
　・原単位指標の量である「＊＊」の変動が少なかったため、CO2排出量の達成要因に同じ。
～非達成の場合～
　・＊＊＊＊により、原単位指標の量である「＊＊」が減少したため。</t>
    </r>
    <rPh sb="20" eb="22">
      <t>タッセイ</t>
    </rPh>
    <rPh sb="25" eb="26">
      <t>ヒ</t>
    </rPh>
    <rPh sb="26" eb="28">
      <t>タッセイ</t>
    </rPh>
    <rPh sb="256" eb="258">
      <t>リユウ</t>
    </rPh>
    <rPh sb="440" eb="442">
      <t>ゲンショウ</t>
    </rPh>
    <phoneticPr fontId="3"/>
  </si>
  <si>
    <t>○推進体制の整備(3101)
・20**年10月にISO14001を取得し、この仕組みの中で温暖化対策を推進した。
○管理基準の作成･変更(3102)
・エネルギー管理指定工場である厚木工場の冷凍機等、エネルギー使用量の多い機器を中心に20**年９月から12月にかけて見直しを行った。
○照明設備対策(3809）
・厚木工場において、20**年4月に事務室の旧タイプの照明設備（蛍光灯:105基）をLED照明に転換した。
（厚木工場のＬＥＤ化率：70％）
　また、その他の県内事業所において、20**年7月に誘導灯の一部（50基）をLED照明に転換した。
（県内の全事業所のＬＥＤ化率：50％）
○空気調和設備対策(1201)
・20**年５月に全営業所において、室温管理（夏季：26℃、冬季：20℃）を徹底するよう指示。
　また、中間期においては、気温に応じた外気導入を行った。
【追加実施】
○ポンプ対策(3803)
・冷却水ポンプのインバーター化を追加で実施。
○コンプレッサー対策(3805)
・20**年４月にコンプレッサー３台を省エネ型に更新。
○その他(9999)
・低炭素電気事業者へ購入先を変更(0.000***→0.000***)した。</t>
    <rPh sb="122" eb="123">
      <t>ネン</t>
    </rPh>
    <rPh sb="212" eb="216">
      <t>アツギコウジョウ</t>
    </rPh>
    <rPh sb="220" eb="221">
      <t>カ</t>
    </rPh>
    <rPh sb="221" eb="222">
      <t>リツ</t>
    </rPh>
    <rPh sb="234" eb="235">
      <t>タ</t>
    </rPh>
    <rPh sb="236" eb="238">
      <t>ケンナイ</t>
    </rPh>
    <rPh sb="279" eb="281">
      <t>ケンナイ</t>
    </rPh>
    <rPh sb="282" eb="283">
      <t>ゼン</t>
    </rPh>
    <rPh sb="283" eb="286">
      <t>ジギョウショ</t>
    </rPh>
    <rPh sb="443" eb="445">
      <t>タイサク</t>
    </rPh>
    <rPh sb="457" eb="458">
      <t>ネン</t>
    </rPh>
    <rPh sb="459" eb="460">
      <t>ガツ</t>
    </rPh>
    <phoneticPr fontId="3"/>
  </si>
  <si>
    <t>○国内各地での植林事業の実施
　当社の事業所がある地域において、植林事業を実施した。
20**年度３万本、20**年度４万本、20**年度４万本と累計で11万本の樹を植えた。
○グリーン電力証書の購入
　毎年10月中旬に開催される新製品発表展示会で使用する電力をグリーン電力証書の購入で賄った。
　（20**年度～20**年度実績：各年度500kWh）
【追加実施】
○クレジットの購入
　国内クレジット（国内クレジット認証委員会）を
　個入した。（20**年度～20**年度実績：各年度300トン）</t>
    <rPh sb="194" eb="196">
      <t>コウニュウ</t>
    </rPh>
    <rPh sb="198" eb="200">
      <t>コクナイ</t>
    </rPh>
    <rPh sb="206" eb="208">
      <t>コクナイ</t>
    </rPh>
    <rPh sb="213" eb="215">
      <t>ニンショウ</t>
    </rPh>
    <rPh sb="215" eb="218">
      <t>イインカイ</t>
    </rPh>
    <rPh sb="222" eb="223">
      <t>コ</t>
    </rPh>
    <rPh sb="223" eb="224">
      <t>ニュウ</t>
    </rPh>
    <phoneticPr fontId="3"/>
  </si>
  <si>
    <t>B1</t>
    <phoneticPr fontId="41"/>
  </si>
  <si>
    <t>５－１　温室効果ガスの排出の量及び当該量の削減に係る事項（第１号又は第２号該当事業者）</t>
    <rPh sb="32" eb="33">
      <t>マタ</t>
    </rPh>
    <phoneticPr fontId="41"/>
  </si>
  <si>
    <t>(１)　比較年度等におけるエネルギー起源二酸化炭素の排出の量</t>
    <phoneticPr fontId="41"/>
  </si>
  <si>
    <t>①</t>
    <phoneticPr fontId="41"/>
  </si>
  <si>
    <t>②</t>
    <phoneticPr fontId="41"/>
  </si>
  <si>
    <t>A</t>
    <phoneticPr fontId="41"/>
  </si>
  <si>
    <t>B</t>
    <phoneticPr fontId="41"/>
  </si>
  <si>
    <t>C</t>
    <phoneticPr fontId="41"/>
  </si>
  <si>
    <t>D</t>
    <phoneticPr fontId="41"/>
  </si>
  <si>
    <t>Ａシート</t>
    <phoneticPr fontId="41"/>
  </si>
  <si>
    <t>A1</t>
    <phoneticPr fontId="41"/>
  </si>
  <si>
    <t>前年度からの法人情報変更有無</t>
    <phoneticPr fontId="41"/>
  </si>
  <si>
    <t>F9</t>
    <phoneticPr fontId="41"/>
  </si>
  <si>
    <t>要選択</t>
    <phoneticPr fontId="41"/>
  </si>
  <si>
    <t>新規</t>
    <rPh sb="0" eb="2">
      <t>シンキ</t>
    </rPh>
    <phoneticPr fontId="41"/>
  </si>
  <si>
    <t>変更無し</t>
    <phoneticPr fontId="41"/>
  </si>
  <si>
    <t>事業者の名称等に変更有り</t>
    <phoneticPr fontId="41"/>
  </si>
  <si>
    <t>法人の合併・分割等有り</t>
    <phoneticPr fontId="41"/>
  </si>
  <si>
    <t>県内事業の中止・廃止有り</t>
    <phoneticPr fontId="41"/>
  </si>
  <si>
    <t>F196</t>
    <phoneticPr fontId="41"/>
  </si>
  <si>
    <t>F382</t>
    <phoneticPr fontId="41"/>
  </si>
  <si>
    <t>F568</t>
    <phoneticPr fontId="41"/>
  </si>
  <si>
    <t>区分（大規模）</t>
    <phoneticPr fontId="41"/>
  </si>
  <si>
    <t>2025提出</t>
    <rPh sb="4" eb="6">
      <t>テイシュツ</t>
    </rPh>
    <phoneticPr fontId="41"/>
  </si>
  <si>
    <t>H10</t>
    <phoneticPr fontId="41"/>
  </si>
  <si>
    <t>□</t>
    <phoneticPr fontId="41"/>
  </si>
  <si>
    <t>■</t>
    <phoneticPr fontId="41"/>
  </si>
  <si>
    <t>H11</t>
  </si>
  <si>
    <t>H12</t>
  </si>
  <si>
    <t>2026提出</t>
    <rPh sb="4" eb="6">
      <t>テイシュツ</t>
    </rPh>
    <phoneticPr fontId="41"/>
  </si>
  <si>
    <t>2027提出</t>
    <rPh sb="4" eb="6">
      <t>テイシュツ</t>
    </rPh>
    <phoneticPr fontId="41"/>
  </si>
  <si>
    <t>2028提出</t>
    <rPh sb="4" eb="6">
      <t>テイシュツ</t>
    </rPh>
    <phoneticPr fontId="41"/>
  </si>
  <si>
    <t>区分（中小）</t>
    <rPh sb="3" eb="5">
      <t>チュウショウ</t>
    </rPh>
    <phoneticPr fontId="41"/>
  </si>
  <si>
    <t>J10</t>
    <phoneticPr fontId="41"/>
  </si>
  <si>
    <t>J11</t>
    <phoneticPr fontId="41"/>
  </si>
  <si>
    <t>原単位分母の名称（第1,2号）</t>
    <rPh sb="9" eb="10">
      <t>ダイ</t>
    </rPh>
    <rPh sb="13" eb="14">
      <t>ゴウ</t>
    </rPh>
    <phoneticPr fontId="41"/>
  </si>
  <si>
    <t>全県</t>
    <rPh sb="0" eb="2">
      <t>ゼンケン</t>
    </rPh>
    <phoneticPr fontId="41"/>
  </si>
  <si>
    <t>L10</t>
    <phoneticPr fontId="41"/>
  </si>
  <si>
    <t>生産数量</t>
  </si>
  <si>
    <t>売上高</t>
  </si>
  <si>
    <t>延床面積</t>
  </si>
  <si>
    <t>稼動時間</t>
  </si>
  <si>
    <t>従業員数</t>
  </si>
  <si>
    <t>店舗数</t>
  </si>
  <si>
    <t>県域</t>
    <rPh sb="0" eb="1">
      <t>ケン</t>
    </rPh>
    <rPh sb="1" eb="2">
      <t>イキ</t>
    </rPh>
    <phoneticPr fontId="41"/>
  </si>
  <si>
    <t>M10</t>
    <phoneticPr fontId="41"/>
  </si>
  <si>
    <t>HE10</t>
    <phoneticPr fontId="41"/>
  </si>
  <si>
    <t>HI10</t>
    <phoneticPr fontId="41"/>
  </si>
  <si>
    <t>原単位分母の単位（第1,2号）</t>
    <phoneticPr fontId="41"/>
  </si>
  <si>
    <t>L11</t>
    <phoneticPr fontId="41"/>
  </si>
  <si>
    <t>ｔ</t>
  </si>
  <si>
    <t>円</t>
  </si>
  <si>
    <t>㎡</t>
  </si>
  <si>
    <t>h</t>
  </si>
  <si>
    <t>人</t>
  </si>
  <si>
    <t>件</t>
  </si>
  <si>
    <t>M11</t>
    <phoneticPr fontId="41"/>
  </si>
  <si>
    <t>HE11</t>
    <phoneticPr fontId="41"/>
  </si>
  <si>
    <t>HI11</t>
    <phoneticPr fontId="41"/>
  </si>
  <si>
    <t>原単位分母の名称（第3号）</t>
    <rPh sb="9" eb="10">
      <t>ダイ</t>
    </rPh>
    <rPh sb="11" eb="12">
      <t>ゴウ</t>
    </rPh>
    <phoneticPr fontId="41"/>
  </si>
  <si>
    <t>I108</t>
    <phoneticPr fontId="41"/>
  </si>
  <si>
    <t>走行距離</t>
  </si>
  <si>
    <t>輸送トンキロ</t>
  </si>
  <si>
    <t>作業時間</t>
  </si>
  <si>
    <t>J108</t>
    <phoneticPr fontId="41"/>
  </si>
  <si>
    <t>原単位分母の単位（第3号）</t>
    <phoneticPr fontId="41"/>
  </si>
  <si>
    <t>I109</t>
    <phoneticPr fontId="41"/>
  </si>
  <si>
    <t>km</t>
  </si>
  <si>
    <t>万t・km</t>
  </si>
  <si>
    <t>J109</t>
    <phoneticPr fontId="41"/>
  </si>
  <si>
    <t>工場ごと</t>
    <rPh sb="0" eb="2">
      <t>コウジョウ</t>
    </rPh>
    <phoneticPr fontId="41"/>
  </si>
  <si>
    <t>K108ほか</t>
    <phoneticPr fontId="41"/>
  </si>
  <si>
    <t>K109ほか</t>
    <phoneticPr fontId="41"/>
  </si>
  <si>
    <t>入力補助</t>
    <rPh sb="0" eb="2">
      <t>ニュウリョク</t>
    </rPh>
    <rPh sb="2" eb="4">
      <t>ホジョ</t>
    </rPh>
    <phoneticPr fontId="41"/>
  </si>
  <si>
    <t>Ｎ12</t>
    <phoneticPr fontId="41"/>
  </si>
  <si>
    <t>Bシート</t>
    <phoneticPr fontId="41"/>
  </si>
  <si>
    <t>１　事業者の名称等</t>
  </si>
  <si>
    <t>条例施行規則第２条第１項
各号のうち該当する号等</t>
    <phoneticPr fontId="41"/>
  </si>
  <si>
    <t>E23</t>
    <phoneticPr fontId="41"/>
  </si>
  <si>
    <t>E24</t>
    <phoneticPr fontId="41"/>
  </si>
  <si>
    <t>E25</t>
    <phoneticPr fontId="41"/>
  </si>
  <si>
    <t>I23</t>
    <phoneticPr fontId="41"/>
  </si>
  <si>
    <t>産業</t>
    <rPh sb="0" eb="2">
      <t>サンギョウ</t>
    </rPh>
    <phoneticPr fontId="41"/>
  </si>
  <si>
    <t>業務</t>
    <rPh sb="0" eb="2">
      <t>ギョウム</t>
    </rPh>
    <phoneticPr fontId="41"/>
  </si>
  <si>
    <t>I24</t>
    <phoneticPr fontId="41"/>
  </si>
  <si>
    <t xml:space="preserve"> </t>
    <phoneticPr fontId="41"/>
  </si>
  <si>
    <t>I25</t>
    <phoneticPr fontId="41"/>
  </si>
  <si>
    <t>運輸</t>
    <rPh sb="0" eb="2">
      <t>ウンユ</t>
    </rPh>
    <phoneticPr fontId="41"/>
  </si>
  <si>
    <t>主たる事業の業種</t>
  </si>
  <si>
    <t>E26</t>
    <phoneticPr fontId="41"/>
  </si>
  <si>
    <t>T 分類不能の産業</t>
    <phoneticPr fontId="41"/>
  </si>
  <si>
    <t>E27</t>
    <phoneticPr fontId="41"/>
  </si>
  <si>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</si>
  <si>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</si>
  <si>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</si>
  <si>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</si>
  <si>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</si>
  <si>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</si>
  <si>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</si>
  <si>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</si>
  <si>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</si>
  <si>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</si>
  <si>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</si>
  <si>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</si>
  <si>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</si>
  <si>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</si>
  <si>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</si>
  <si>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</si>
  <si>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</si>
  <si>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</si>
  <si>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</si>
  <si>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</si>
  <si>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</si>
  <si>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</si>
  <si>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</si>
  <si>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</si>
  <si>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</si>
  <si>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</si>
  <si>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</si>
  <si>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</si>
  <si>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</si>
  <si>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</si>
  <si>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</si>
  <si>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</si>
  <si>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</si>
  <si>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</si>
  <si>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</si>
  <si>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</si>
  <si>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</si>
  <si>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</si>
  <si>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</si>
  <si>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</si>
  <si>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</si>
  <si>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</si>
  <si>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</si>
  <si>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</si>
  <si>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</si>
  <si>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</si>
  <si>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</si>
  <si>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</si>
  <si>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</si>
  <si>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</si>
  <si>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</si>
  <si>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</si>
  <si>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</si>
  <si>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</si>
  <si>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</si>
  <si>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</si>
  <si>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</si>
  <si>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</si>
  <si>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</si>
  <si>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</si>
  <si>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</si>
  <si>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</si>
  <si>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</si>
  <si>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</si>
  <si>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</si>
  <si>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</si>
  <si>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</si>
  <si>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</si>
  <si>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</si>
  <si>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</si>
  <si>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</si>
  <si>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</si>
  <si>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</si>
  <si>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</si>
  <si>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</si>
  <si>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</si>
  <si>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</si>
  <si>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</si>
  <si>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</si>
  <si>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</si>
  <si>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</si>
  <si>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</si>
  <si>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</si>
  <si>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</si>
  <si>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</si>
  <si>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</si>
  <si>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</si>
  <si>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</si>
  <si>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</si>
  <si>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</si>
  <si>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</si>
  <si>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</si>
  <si>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</si>
  <si>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</si>
  <si>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</si>
  <si>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</si>
  <si>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</si>
  <si>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</si>
  <si>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</si>
  <si>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</si>
  <si>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</si>
  <si>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</si>
  <si>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</si>
  <si>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</si>
  <si>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</si>
  <si>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</si>
  <si>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</si>
  <si>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</si>
  <si>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</si>
  <si>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</si>
  <si>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</si>
  <si>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</si>
  <si>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</si>
  <si>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</si>
  <si>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</si>
  <si>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</si>
  <si>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</si>
  <si>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</si>
  <si>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</si>
  <si>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</si>
  <si>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41"/>
  </si>
  <si>
    <t>I33</t>
  </si>
  <si>
    <t>I34</t>
  </si>
  <si>
    <t>I35</t>
  </si>
  <si>
    <t>３　計画期間</t>
  </si>
  <si>
    <t>C39</t>
    <phoneticPr fontId="41"/>
  </si>
  <si>
    <t>B2シート</t>
    <phoneticPr fontId="41"/>
  </si>
  <si>
    <t>(３)　温室効果ガスの排出の量の削減を図るための主な対策</t>
  </si>
  <si>
    <t>運用対策</t>
    <phoneticPr fontId="41"/>
  </si>
  <si>
    <t>設備導入等対策</t>
    <phoneticPr fontId="41"/>
  </si>
  <si>
    <t>その他の対策</t>
    <phoneticPr fontId="41"/>
  </si>
  <si>
    <t>実施した</t>
    <phoneticPr fontId="41"/>
  </si>
  <si>
    <t>一部実施した</t>
    <phoneticPr fontId="41"/>
  </si>
  <si>
    <t>実施しなかった</t>
    <phoneticPr fontId="41"/>
  </si>
  <si>
    <t>(４)　エネルギー管理指定工場等におけるエネルギー起源二酸化炭素の排出の状況（基礎排出量）</t>
    <phoneticPr fontId="41"/>
  </si>
  <si>
    <t>W41～W50</t>
    <phoneticPr fontId="41"/>
  </si>
  <si>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</si>
  <si>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</si>
  <si>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</si>
  <si>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</si>
  <si>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</si>
  <si>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</si>
  <si>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</si>
  <si>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</si>
  <si>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</si>
  <si>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</si>
  <si>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</si>
  <si>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</si>
  <si>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</si>
  <si>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</si>
  <si>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</si>
  <si>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</si>
  <si>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</si>
  <si>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</si>
  <si>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</si>
  <si>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</si>
  <si>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</si>
  <si>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</si>
  <si>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</si>
  <si>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</si>
  <si>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</si>
  <si>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</si>
  <si>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</si>
  <si>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</si>
  <si>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</si>
  <si>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</si>
  <si>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</si>
  <si>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</si>
  <si>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41"/>
  </si>
  <si>
    <t>B78~82</t>
    <phoneticPr fontId="41"/>
  </si>
  <si>
    <t>L78~R82</t>
    <phoneticPr fontId="41"/>
  </si>
  <si>
    <t>６－１　原油換算エネルギー使用量及び当該量の削減に係る事項（第１号又は第２号該当事業者）</t>
    <rPh sb="33" eb="34">
      <t>マタ</t>
    </rPh>
    <phoneticPr fontId="41"/>
  </si>
  <si>
    <t>(１)　エネルギー消費原単位の指標</t>
  </si>
  <si>
    <t>F87</t>
    <phoneticPr fontId="41"/>
  </si>
  <si>
    <t>生産数量</t>
    <phoneticPr fontId="41"/>
  </si>
  <si>
    <t>売上高</t>
    <phoneticPr fontId="41"/>
  </si>
  <si>
    <t>延床面積</t>
    <phoneticPr fontId="41"/>
  </si>
  <si>
    <t>稼動時間</t>
    <phoneticPr fontId="41"/>
  </si>
  <si>
    <t>従業員数</t>
    <phoneticPr fontId="41"/>
  </si>
  <si>
    <t>店舗数</t>
    <phoneticPr fontId="41"/>
  </si>
  <si>
    <t>その他</t>
  </si>
  <si>
    <t>６－２　原油換算エネルギー使用量及び当該量の削減に係る事項（第３号該当事業者）</t>
  </si>
  <si>
    <t>F102</t>
    <phoneticPr fontId="41"/>
  </si>
  <si>
    <t>走行距離</t>
    <phoneticPr fontId="41"/>
  </si>
  <si>
    <t>輸送トンキロ</t>
    <phoneticPr fontId="41"/>
  </si>
  <si>
    <t>作業時間</t>
    <phoneticPr fontId="41"/>
  </si>
  <si>
    <t>その他</t>
    <phoneticPr fontId="41"/>
  </si>
  <si>
    <t>８　温室効果ガスの排出の量の削減に向けた中長期的な取組に係る事項</t>
  </si>
  <si>
    <t>(１)　2050年までの脱炭素化の表明（対象年度末時点）</t>
  </si>
  <si>
    <t>F145,L145,O145,R145</t>
    <phoneticPr fontId="41"/>
  </si>
  <si>
    <t>有り</t>
    <phoneticPr fontId="41"/>
  </si>
  <si>
    <t>無し</t>
    <phoneticPr fontId="41"/>
  </si>
  <si>
    <t>I145</t>
    <phoneticPr fontId="41"/>
  </si>
  <si>
    <t>未定</t>
    <phoneticPr fontId="41"/>
  </si>
  <si>
    <t>F147</t>
    <phoneticPr fontId="41"/>
  </si>
  <si>
    <t>自ら</t>
    <phoneticPr fontId="41"/>
  </si>
  <si>
    <t>親会社等</t>
    <phoneticPr fontId="41"/>
  </si>
  <si>
    <t>子会社等</t>
    <phoneticPr fontId="41"/>
  </si>
  <si>
    <t>(２)　2050年までの脱炭素化を前提とした中長期計画の策定及び公表（対象年度末時点）</t>
  </si>
  <si>
    <t>F155,L155,O155,R155</t>
    <phoneticPr fontId="41"/>
  </si>
  <si>
    <t>公表</t>
    <phoneticPr fontId="41"/>
  </si>
  <si>
    <t>非公表（策定済）</t>
    <phoneticPr fontId="41"/>
  </si>
  <si>
    <t>未策定</t>
    <phoneticPr fontId="41"/>
  </si>
  <si>
    <t>I155</t>
    <phoneticPr fontId="41"/>
  </si>
  <si>
    <t>未定</t>
  </si>
  <si>
    <t>F156</t>
    <phoneticPr fontId="41"/>
  </si>
  <si>
    <t>(３)　SBT等イニシアティブに関する取組（対象年度末時点）</t>
  </si>
  <si>
    <t>F164～F167,L164～L167,O164～O167,R164～R167</t>
    <phoneticPr fontId="41"/>
  </si>
  <si>
    <t>I164~167</t>
    <phoneticPr fontId="41"/>
  </si>
  <si>
    <t>未定</t>
    <rPh sb="0" eb="2">
      <t>ミテイ</t>
    </rPh>
    <phoneticPr fontId="41"/>
  </si>
  <si>
    <t>(４)　サプライチェーン全体での削減の取組</t>
  </si>
  <si>
    <t>F172~F175</t>
    <phoneticPr fontId="41"/>
  </si>
  <si>
    <t>L172~R175</t>
    <phoneticPr fontId="41"/>
  </si>
  <si>
    <t>実施しなかった</t>
  </si>
  <si>
    <t>９　地域の地球温暖化対策の推進への貢献に係る事項</t>
  </si>
  <si>
    <t>F183,L183,O183,R183</t>
    <phoneticPr fontId="41"/>
  </si>
  <si>
    <t>I183</t>
    <phoneticPr fontId="41"/>
  </si>
  <si>
    <t>参考</t>
    <rPh sb="0" eb="2">
      <t>サンコウ</t>
    </rPh>
    <phoneticPr fontId="41"/>
  </si>
  <si>
    <t>原油換算エネルギー使用量計算表</t>
    <rPh sb="0" eb="4">
      <t>ゲンユカンサン</t>
    </rPh>
    <rPh sb="9" eb="12">
      <t>シヨウリョウ</t>
    </rPh>
    <rPh sb="12" eb="14">
      <t>ケイサン</t>
    </rPh>
    <rPh sb="14" eb="15">
      <t>ヒョウ</t>
    </rPh>
    <phoneticPr fontId="41"/>
  </si>
  <si>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1"/>
  </si>
  <si>
    <t>コピーデータ貼付けシート（2025年度提出用）</t>
    <rPh sb="6" eb="8">
      <t>ハリツ</t>
    </rPh>
    <rPh sb="17" eb="19">
      <t>ネンド</t>
    </rPh>
    <rPh sb="19" eb="21">
      <t>テイシュツ</t>
    </rPh>
    <rPh sb="21" eb="22">
      <t>ヨウ</t>
    </rPh>
    <phoneticPr fontId="41"/>
  </si>
  <si>
    <t>手順④　「工場等の名称」が過年度と一致しているか確認してください。</t>
    <rPh sb="0" eb="2">
      <t>テジュン</t>
    </rPh>
    <phoneticPr fontId="41"/>
  </si>
  <si>
    <t>手順①</t>
    <rPh sb="0" eb="2">
      <t>テジュン</t>
    </rPh>
    <phoneticPr fontId="30"/>
  </si>
  <si>
    <t>Ｂ９セルに2024年度排出量実績を貼付けてください。</t>
    <phoneticPr fontId="41"/>
  </si>
  <si>
    <t>また、複数の原単位指標を設定している場合、過年度と不一致のセル（要修正）がないか確認してください。</t>
    <phoneticPr fontId="41"/>
  </si>
  <si>
    <t>手順②</t>
    <rPh sb="0" eb="2">
      <t>テジュン</t>
    </rPh>
    <phoneticPr fontId="3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</si>
  <si>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1"/>
  </si>
  <si>
    <t>手順③</t>
    <rPh sb="0" eb="2">
      <t>テジュン</t>
    </rPh>
    <phoneticPr fontId="30"/>
  </si>
  <si>
    <t>　①工場等の名称が変更になった場合は、過年度と同じ工場等Noとなるようにプルダウンで並び替えてください。</t>
    <rPh sb="2" eb="4">
      <t>コウジョウ</t>
    </rPh>
    <rPh sb="4" eb="5">
      <t>トウ</t>
    </rPh>
    <phoneticPr fontId="41"/>
  </si>
  <si>
    <t>手順④</t>
    <rPh sb="0" eb="2">
      <t>テジュン</t>
    </rPh>
    <phoneticPr fontId="30"/>
  </si>
  <si>
    <t>事業所名</t>
    <rPh sb="0" eb="2">
      <t>ジギョウ</t>
    </rPh>
    <rPh sb="2" eb="3">
      <t>ショ</t>
    </rPh>
    <rPh sb="3" eb="4">
      <t>メイ</t>
    </rPh>
    <phoneticPr fontId="41"/>
  </si>
  <si>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1"/>
  </si>
  <si>
    <t>２　工場等の名称確認用</t>
    <rPh sb="2" eb="4">
      <t>コウジョウ</t>
    </rPh>
    <rPh sb="4" eb="5">
      <t>トウ</t>
    </rPh>
    <rPh sb="6" eb="8">
      <t>メイショウ</t>
    </rPh>
    <rPh sb="8" eb="10">
      <t>カクニン</t>
    </rPh>
    <rPh sb="10" eb="11">
      <t>ヨウ</t>
    </rPh>
    <phoneticPr fontId="41"/>
  </si>
  <si>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1"/>
  </si>
  <si>
    <t>Ｎｏ</t>
    <phoneticPr fontId="41"/>
  </si>
  <si>
    <t>エネルギー管理指定工場等</t>
    <rPh sb="5" eb="12">
      <t>カンリシテイコウジョウトウ</t>
    </rPh>
    <phoneticPr fontId="41"/>
  </si>
  <si>
    <t>県域</t>
    <rPh sb="0" eb="2">
      <t>ケンイキ</t>
    </rPh>
    <phoneticPr fontId="41"/>
  </si>
  <si>
    <t>横浜</t>
    <rPh sb="0" eb="2">
      <t>ヨコハマ</t>
    </rPh>
    <phoneticPr fontId="41"/>
  </si>
  <si>
    <t>川崎</t>
    <rPh sb="0" eb="2">
      <t>カワサキ</t>
    </rPh>
    <phoneticPr fontId="41"/>
  </si>
  <si>
    <t>【非表示】参照セル(事業所名）</t>
    <rPh sb="1" eb="4">
      <t>ヒヒョウジ</t>
    </rPh>
    <rPh sb="5" eb="7">
      <t>サンショウ</t>
    </rPh>
    <rPh sb="10" eb="12">
      <t>ジギョウ</t>
    </rPh>
    <rPh sb="12" eb="13">
      <t>ショ</t>
    </rPh>
    <rPh sb="13" eb="14">
      <t>メイ</t>
    </rPh>
    <phoneticPr fontId="41"/>
  </si>
  <si>
    <t>報告対象年度2024年度</t>
  </si>
  <si>
    <t>原単位に単一の指標を設定する場合</t>
    <rPh sb="4" eb="6">
      <t>タンイツ</t>
    </rPh>
    <rPh sb="7" eb="9">
      <t>シヒョウ</t>
    </rPh>
    <rPh sb="10" eb="12">
      <t>セッテイ</t>
    </rPh>
    <rPh sb="14" eb="16">
      <t>バアイ</t>
    </rPh>
    <phoneticPr fontId="41"/>
  </si>
  <si>
    <t>過年度
名称</t>
    <rPh sb="0" eb="3">
      <t>カネンド</t>
    </rPh>
    <rPh sb="4" eb="6">
      <t>メイショウ</t>
    </rPh>
    <phoneticPr fontId="41"/>
  </si>
  <si>
    <t>修正が必要な原単位指標</t>
    <rPh sb="0" eb="2">
      <t>シュウセイ</t>
    </rPh>
    <rPh sb="3" eb="5">
      <t>ヒツヨウ</t>
    </rPh>
    <rPh sb="6" eb="9">
      <t>ゲンタンイ</t>
    </rPh>
    <rPh sb="9" eb="11">
      <t>シヒョウ</t>
    </rPh>
    <phoneticPr fontId="41"/>
  </si>
  <si>
    <t>指定工場等</t>
    <rPh sb="0" eb="2">
      <t>シテイ</t>
    </rPh>
    <rPh sb="2" eb="4">
      <t>コウジョウ</t>
    </rPh>
    <rPh sb="4" eb="5">
      <t>トウ</t>
    </rPh>
    <phoneticPr fontId="41"/>
  </si>
  <si>
    <t>法人・団体名</t>
  </si>
  <si>
    <t>原単位分母の名称</t>
    <rPh sb="0" eb="3">
      <t>ゲンタンイ</t>
    </rPh>
    <rPh sb="3" eb="5">
      <t>ブンボ</t>
    </rPh>
    <rPh sb="6" eb="8">
      <t>メイショウ</t>
    </rPh>
    <phoneticPr fontId="48"/>
  </si>
  <si>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</si>
  <si>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8"/>
  </si>
  <si>
    <t>原単位分母の単位</t>
    <rPh sb="0" eb="3">
      <t>ゲンタンイ</t>
    </rPh>
    <rPh sb="3" eb="5">
      <t>ブンボ</t>
    </rPh>
    <rPh sb="6" eb="8">
      <t>タンイ</t>
    </rPh>
    <phoneticPr fontId="49"/>
  </si>
  <si>
    <t>事業者の住所又は主たる事務所の所在地</t>
  </si>
  <si>
    <t>原単位分母の値</t>
    <rPh sb="0" eb="3">
      <t>ゲンタンイ</t>
    </rPh>
    <rPh sb="3" eb="5">
      <t>ブンボ</t>
    </rPh>
    <rPh sb="6" eb="7">
      <t>アタイ</t>
    </rPh>
    <phoneticPr fontId="41"/>
  </si>
  <si>
    <t>区域</t>
    <rPh sb="0" eb="2">
      <t>クイキ</t>
    </rPh>
    <phoneticPr fontId="41"/>
  </si>
  <si>
    <t>横浜1</t>
    <rPh sb="0" eb="2">
      <t>ヨコハマ</t>
    </rPh>
    <phoneticPr fontId="48"/>
  </si>
  <si>
    <t>横浜3</t>
    <rPh sb="0" eb="2">
      <t>ヨコハマ</t>
    </rPh>
    <phoneticPr fontId="48"/>
  </si>
  <si>
    <t>県域1</t>
    <rPh sb="0" eb="2">
      <t>ケンイキ</t>
    </rPh>
    <phoneticPr fontId="48"/>
  </si>
  <si>
    <t>県域2</t>
    <rPh sb="0" eb="2">
      <t>ケンイキ</t>
    </rPh>
    <phoneticPr fontId="48"/>
  </si>
  <si>
    <t>県域3</t>
    <rPh sb="0" eb="2">
      <t>ケンイキ</t>
    </rPh>
    <phoneticPr fontId="48"/>
  </si>
  <si>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</si>
  <si>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</si>
  <si>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</si>
  <si>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</si>
  <si>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</si>
  <si>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</si>
  <si>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</si>
  <si>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</si>
  <si>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</si>
  <si>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</si>
  <si>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0"/>
  </si>
  <si>
    <t>県域4</t>
    <rPh sb="0" eb="2">
      <t>ケンイキ</t>
    </rPh>
    <phoneticPr fontId="39"/>
  </si>
  <si>
    <t>県域5</t>
    <rPh sb="0" eb="2">
      <t>ケンイキ</t>
    </rPh>
    <phoneticPr fontId="39"/>
  </si>
  <si>
    <t>県域6</t>
    <rPh sb="0" eb="2">
      <t>ケンイキ</t>
    </rPh>
    <phoneticPr fontId="39"/>
  </si>
  <si>
    <t>県域7</t>
    <rPh sb="0" eb="2">
      <t>ケンイキ</t>
    </rPh>
    <phoneticPr fontId="39"/>
  </si>
  <si>
    <t>県域8</t>
    <rPh sb="0" eb="2">
      <t>ケンイキ</t>
    </rPh>
    <phoneticPr fontId="39"/>
  </si>
  <si>
    <t>県域9</t>
    <rPh sb="0" eb="2">
      <t>ケンイキ</t>
    </rPh>
    <phoneticPr fontId="39"/>
  </si>
  <si>
    <t>県域10</t>
    <rPh sb="0" eb="2">
      <t>ケンイキ</t>
    </rPh>
    <phoneticPr fontId="39"/>
  </si>
  <si>
    <t>横浜3</t>
    <rPh sb="0" eb="2">
      <t>ヨコハマ</t>
    </rPh>
    <phoneticPr fontId="39"/>
  </si>
  <si>
    <t>横浜4</t>
    <rPh sb="0" eb="2">
      <t>ヨコハマ</t>
    </rPh>
    <phoneticPr fontId="39"/>
  </si>
  <si>
    <t>横浜5</t>
    <rPh sb="0" eb="2">
      <t>ヨコハマ</t>
    </rPh>
    <phoneticPr fontId="39"/>
  </si>
  <si>
    <t>横浜6</t>
    <rPh sb="0" eb="2">
      <t>ヨコハマ</t>
    </rPh>
    <phoneticPr fontId="39"/>
  </si>
  <si>
    <t>横浜7</t>
    <rPh sb="0" eb="2">
      <t>ヨコハマ</t>
    </rPh>
    <phoneticPr fontId="39"/>
  </si>
  <si>
    <t>横浜8</t>
    <rPh sb="0" eb="2">
      <t>ヨコハマ</t>
    </rPh>
    <phoneticPr fontId="39"/>
  </si>
  <si>
    <t>横浜9</t>
    <rPh sb="0" eb="2">
      <t>ヨコハマ</t>
    </rPh>
    <phoneticPr fontId="39"/>
  </si>
  <si>
    <t>横浜10</t>
    <rPh sb="0" eb="1">
      <t>ヨコ</t>
    </rPh>
    <rPh sb="1" eb="2">
      <t>ハマ</t>
    </rPh>
    <phoneticPr fontId="39"/>
  </si>
  <si>
    <t>川崎1</t>
    <rPh sb="0" eb="2">
      <t>カワサキ</t>
    </rPh>
    <phoneticPr fontId="39"/>
  </si>
  <si>
    <t>川崎2</t>
    <rPh sb="0" eb="2">
      <t>カワサキ</t>
    </rPh>
    <phoneticPr fontId="39"/>
  </si>
  <si>
    <t>川崎3</t>
    <rPh sb="0" eb="2">
      <t>カワサキ</t>
    </rPh>
    <phoneticPr fontId="39"/>
  </si>
  <si>
    <t>川崎6</t>
    <rPh sb="0" eb="2">
      <t>カワサキ</t>
    </rPh>
    <phoneticPr fontId="39"/>
  </si>
  <si>
    <t>川崎7</t>
    <rPh sb="0" eb="2">
      <t>カワサキ</t>
    </rPh>
    <phoneticPr fontId="39"/>
  </si>
  <si>
    <t>川崎8</t>
    <rPh sb="0" eb="2">
      <t>カワサキ</t>
    </rPh>
    <phoneticPr fontId="39"/>
  </si>
  <si>
    <t>川崎9</t>
    <rPh sb="0" eb="2">
      <t>カワサキ</t>
    </rPh>
    <phoneticPr fontId="39"/>
  </si>
  <si>
    <t>川崎10</t>
    <rPh sb="0" eb="2">
      <t>カワサキ</t>
    </rPh>
    <phoneticPr fontId="39"/>
  </si>
  <si>
    <t>川崎11</t>
    <rPh sb="0" eb="2">
      <t>カワサキ</t>
    </rPh>
    <phoneticPr fontId="39"/>
  </si>
  <si>
    <t>川崎12</t>
    <rPh sb="0" eb="2">
      <t>カワサキ</t>
    </rPh>
    <phoneticPr fontId="39"/>
  </si>
  <si>
    <t>川崎13</t>
    <rPh sb="0" eb="2">
      <t>カワサキ</t>
    </rPh>
    <phoneticPr fontId="39"/>
  </si>
  <si>
    <t>川崎14</t>
    <rPh sb="0" eb="2">
      <t>カワサキ</t>
    </rPh>
    <phoneticPr fontId="39"/>
  </si>
  <si>
    <t>川崎15</t>
    <rPh sb="0" eb="2">
      <t>カワサキ</t>
    </rPh>
    <phoneticPr fontId="39"/>
  </si>
  <si>
    <t>川崎16</t>
    <rPh sb="0" eb="2">
      <t>カワサキ</t>
    </rPh>
    <phoneticPr fontId="39"/>
  </si>
  <si>
    <t>川崎17</t>
    <rPh sb="0" eb="2">
      <t>カワサキ</t>
    </rPh>
    <phoneticPr fontId="39"/>
  </si>
  <si>
    <t>川崎18</t>
    <rPh sb="0" eb="2">
      <t>カワサキ</t>
    </rPh>
    <phoneticPr fontId="39"/>
  </si>
  <si>
    <t>川崎19</t>
    <rPh sb="0" eb="2">
      <t>カワサキ</t>
    </rPh>
    <phoneticPr fontId="39"/>
  </si>
  <si>
    <t>川崎20</t>
    <rPh sb="0" eb="2">
      <t>カワサキ</t>
    </rPh>
    <phoneticPr fontId="39"/>
  </si>
  <si>
    <t>原油換算エネルギー使用量</t>
    <rPh sb="0" eb="4">
      <t>ゲンユカンザン</t>
    </rPh>
    <rPh sb="9" eb="12">
      <t>シヨウリョウ</t>
    </rPh>
    <phoneticPr fontId="41"/>
  </si>
  <si>
    <t>kL</t>
    <phoneticPr fontId="41"/>
  </si>
  <si>
    <t>・エネルギーの種類は、省エネ法定期報告・温対法ＳＨＫ制度に準じる</t>
  </si>
  <si>
    <t>所在地</t>
    <rPh sb="0" eb="3">
      <t>ショザイチ</t>
    </rPh>
    <phoneticPr fontId="41"/>
  </si>
  <si>
    <t>単位発熱量</t>
  </si>
  <si>
    <t>排出係数</t>
  </si>
  <si>
    <t>排出量(基礎）</t>
    <rPh sb="0" eb="2">
      <t>ハイシュツ</t>
    </rPh>
    <rPh sb="2" eb="3">
      <t>リョウ</t>
    </rPh>
    <rPh sb="4" eb="6">
      <t>キソ</t>
    </rPh>
    <phoneticPr fontId="41"/>
  </si>
  <si>
    <t>t-CO2</t>
    <phoneticPr fontId="41"/>
  </si>
  <si>
    <t>エネルギーの種類</t>
    <rPh sb="6" eb="8">
      <t>シュルイ</t>
    </rPh>
    <phoneticPr fontId="45"/>
  </si>
  <si>
    <t>単位</t>
    <rPh sb="0" eb="2">
      <t>タンイ</t>
    </rPh>
    <phoneticPr fontId="45"/>
  </si>
  <si>
    <t>tC/GJ</t>
  </si>
  <si>
    <t>使用量</t>
    <rPh sb="0" eb="3">
      <t>シヨウリョウ</t>
    </rPh>
    <phoneticPr fontId="45"/>
  </si>
  <si>
    <t>未利用熱</t>
    <rPh sb="0" eb="3">
      <t>ミリヨウ</t>
    </rPh>
    <rPh sb="3" eb="4">
      <t>ネツ</t>
    </rPh>
    <phoneticPr fontId="45"/>
  </si>
  <si>
    <t>使用量</t>
    <rPh sb="0" eb="3">
      <t>シヨウリョウ</t>
    </rPh>
    <phoneticPr fontId="39"/>
  </si>
  <si>
    <t>外部供給</t>
    <rPh sb="0" eb="2">
      <t>ガイブ</t>
    </rPh>
    <rPh sb="2" eb="4">
      <t>キョウキュウ</t>
    </rPh>
    <phoneticPr fontId="30"/>
  </si>
  <si>
    <t>副生エネルギー</t>
    <rPh sb="0" eb="2">
      <t>フクセイ</t>
    </rPh>
    <phoneticPr fontId="30"/>
  </si>
  <si>
    <t>未利用熱</t>
    <rPh sb="0" eb="3">
      <t>ミリヨウ</t>
    </rPh>
    <rPh sb="3" eb="4">
      <t>ネツ</t>
    </rPh>
    <phoneticPr fontId="39"/>
  </si>
  <si>
    <t>使用量</t>
    <rPh sb="0" eb="3">
      <t>シヨウリョウ</t>
    </rPh>
    <phoneticPr fontId="44"/>
  </si>
  <si>
    <t>外部供給</t>
    <rPh sb="0" eb="2">
      <t>ガイブ</t>
    </rPh>
    <rPh sb="2" eb="4">
      <t>キョウキュウ</t>
    </rPh>
    <phoneticPr fontId="41"/>
  </si>
  <si>
    <t>副生エネルギー</t>
    <rPh sb="0" eb="2">
      <t>フクセイ</t>
    </rPh>
    <phoneticPr fontId="41"/>
  </si>
  <si>
    <t>未利用熱</t>
    <rPh sb="0" eb="3">
      <t>ミリヨウ</t>
    </rPh>
    <rPh sb="3" eb="4">
      <t>ネツ</t>
    </rPh>
    <phoneticPr fontId="44"/>
  </si>
  <si>
    <t>化石燃料</t>
    <rPh sb="0" eb="2">
      <t>カセキ</t>
    </rPh>
    <rPh sb="2" eb="4">
      <t>ネンリョウ</t>
    </rPh>
    <phoneticPr fontId="46"/>
  </si>
  <si>
    <t>原油(コンデンセートを除く)</t>
  </si>
  <si>
    <t>kl</t>
  </si>
  <si>
    <t>原油のうちコンデンセート(NGL)</t>
    <rPh sb="0" eb="2">
      <t>ゲンユ</t>
    </rPh>
    <phoneticPr fontId="46"/>
  </si>
  <si>
    <t>揮発油</t>
  </si>
  <si>
    <t>ナフサ</t>
  </si>
  <si>
    <t>ジェット燃料油</t>
    <rPh sb="4" eb="7">
      <t>ネンリョウユ</t>
    </rPh>
    <phoneticPr fontId="45"/>
  </si>
  <si>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</si>
  <si>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</si>
  <si>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</si>
  <si>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</si>
  <si>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</si>
  <si>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</si>
  <si>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</si>
  <si>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</si>
  <si>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</si>
  <si>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</si>
  <si>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</si>
  <si>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</si>
  <si>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</si>
  <si>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</si>
  <si>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5"/>
  </si>
  <si>
    <t>コークス用原料炭</t>
    <rPh sb="4" eb="5">
      <t>ヨウ</t>
    </rPh>
    <rPh sb="5" eb="7">
      <t>ゲンリョウ</t>
    </rPh>
    <rPh sb="7" eb="8">
      <t>スミ</t>
    </rPh>
    <phoneticPr fontId="45"/>
  </si>
  <si>
    <t>吹込用原料炭</t>
    <rPh sb="0" eb="2">
      <t>フキコ</t>
    </rPh>
    <rPh sb="2" eb="3">
      <t>ヨウ</t>
    </rPh>
    <rPh sb="3" eb="5">
      <t>ゲンリョウ</t>
    </rPh>
    <rPh sb="5" eb="6">
      <t>スミ</t>
    </rPh>
    <phoneticPr fontId="45"/>
  </si>
  <si>
    <t>輸入一般炭</t>
    <rPh sb="0" eb="2">
      <t>ユニュウ</t>
    </rPh>
    <phoneticPr fontId="45"/>
  </si>
  <si>
    <t>国産一般炭</t>
    <rPh sb="0" eb="2">
      <t>コクサン</t>
    </rPh>
    <rPh sb="2" eb="4">
      <t>イッパン</t>
    </rPh>
    <rPh sb="4" eb="5">
      <t>スミ</t>
    </rPh>
    <phoneticPr fontId="45"/>
  </si>
  <si>
    <t>輸入無煙炭</t>
    <rPh sb="0" eb="2">
      <t>ユニュウ</t>
    </rPh>
    <phoneticPr fontId="45"/>
  </si>
  <si>
    <t>石炭コークス</t>
  </si>
  <si>
    <t>コールタール</t>
  </si>
  <si>
    <t>コークス炉ガス</t>
  </si>
  <si>
    <t>高炉ガス</t>
  </si>
  <si>
    <t>発電用高炉ガス</t>
    <rPh sb="2" eb="3">
      <t>ヨウ</t>
    </rPh>
    <phoneticPr fontId="45"/>
  </si>
  <si>
    <t>転炉ガス</t>
  </si>
  <si>
    <t>都市ガス</t>
  </si>
  <si>
    <t>黒液</t>
    <rPh sb="0" eb="2">
      <t>クロエキ</t>
    </rPh>
    <phoneticPr fontId="45"/>
  </si>
  <si>
    <t>木材</t>
    <rPh sb="0" eb="2">
      <t>モクザイ</t>
    </rPh>
    <phoneticPr fontId="45"/>
  </si>
  <si>
    <t>木質廃材</t>
    <rPh sb="0" eb="4">
      <t>モクシツハイザイ</t>
    </rPh>
    <phoneticPr fontId="45"/>
  </si>
  <si>
    <t>バイオエタノール</t>
  </si>
  <si>
    <t>バイオディーゼル</t>
  </si>
  <si>
    <t>バイオガス</t>
  </si>
  <si>
    <t>その他バイオマス</t>
    <rPh sb="2" eb="3">
      <t>タ</t>
    </rPh>
    <phoneticPr fontId="45"/>
  </si>
  <si>
    <t>RDF</t>
  </si>
  <si>
    <t>RPF</t>
  </si>
  <si>
    <t>廃タイヤ</t>
    <rPh sb="0" eb="1">
      <t>ハイ</t>
    </rPh>
    <phoneticPr fontId="45"/>
  </si>
  <si>
    <t>廃プラスチック（一般廃棄物）</t>
    <rPh sb="0" eb="1">
      <t>ハイ</t>
    </rPh>
    <rPh sb="8" eb="13">
      <t>イッパンハイキブツ</t>
    </rPh>
    <phoneticPr fontId="45"/>
  </si>
  <si>
    <t>廃プラスチック（産業廃棄物）</t>
    <rPh sb="0" eb="1">
      <t>ハイ</t>
    </rPh>
    <rPh sb="8" eb="13">
      <t>サンギョウハイキブツ</t>
    </rPh>
    <phoneticPr fontId="45"/>
  </si>
  <si>
    <t>廃油</t>
    <rPh sb="0" eb="2">
      <t>ハイユ</t>
    </rPh>
    <phoneticPr fontId="45"/>
  </si>
  <si>
    <t>廃棄物ガス</t>
    <rPh sb="0" eb="3">
      <t>ハイキブツ</t>
    </rPh>
    <phoneticPr fontId="45"/>
  </si>
  <si>
    <t>混合廃材</t>
    <rPh sb="0" eb="4">
      <t>コンゴウハイザイ</t>
    </rPh>
    <phoneticPr fontId="45"/>
  </si>
  <si>
    <t>水素</t>
    <rPh sb="0" eb="2">
      <t>スイソ</t>
    </rPh>
    <phoneticPr fontId="45"/>
  </si>
  <si>
    <t>アンモニア</t>
  </si>
  <si>
    <t>その他の燃料（非化石）1</t>
    <rPh sb="2" eb="3">
      <t>タ</t>
    </rPh>
    <rPh sb="4" eb="6">
      <t>ネンリョウ</t>
    </rPh>
    <rPh sb="7" eb="8">
      <t>ヒ</t>
    </rPh>
    <rPh sb="8" eb="10">
      <t>カセキ</t>
    </rPh>
    <phoneticPr fontId="45"/>
  </si>
  <si>
    <t>その他の燃料（非化石）2</t>
    <rPh sb="2" eb="3">
      <t>タ</t>
    </rPh>
    <rPh sb="4" eb="6">
      <t>ネンリョウ</t>
    </rPh>
    <rPh sb="7" eb="8">
      <t>ヒ</t>
    </rPh>
    <rPh sb="8" eb="10">
      <t>カセキ</t>
    </rPh>
    <phoneticPr fontId="45"/>
  </si>
  <si>
    <t>産業用蒸気</t>
  </si>
  <si>
    <t>GJ</t>
  </si>
  <si>
    <t>産業用以外の蒸気</t>
    <rPh sb="0" eb="3">
      <t>サンギョウヨウ</t>
    </rPh>
    <rPh sb="3" eb="5">
      <t>イガイ</t>
    </rPh>
    <rPh sb="6" eb="8">
      <t>ジョウキ</t>
    </rPh>
    <phoneticPr fontId="46"/>
  </si>
  <si>
    <t>うち非化石（任意）</t>
    <rPh sb="2" eb="3">
      <t>ヒ</t>
    </rPh>
    <rPh sb="3" eb="5">
      <t>カセキ</t>
    </rPh>
    <phoneticPr fontId="46"/>
  </si>
  <si>
    <t>温水</t>
    <rPh sb="0" eb="2">
      <t>オンスイ</t>
    </rPh>
    <phoneticPr fontId="46"/>
  </si>
  <si>
    <t>冷水</t>
    <rPh sb="0" eb="2">
      <t>レイスイ</t>
    </rPh>
    <phoneticPr fontId="46"/>
  </si>
  <si>
    <t>その他の熱</t>
    <rPh sb="2" eb="3">
      <t>タ</t>
    </rPh>
    <rPh sb="4" eb="5">
      <t>ネツ</t>
    </rPh>
    <phoneticPr fontId="46"/>
  </si>
  <si>
    <t>電
気</t>
    <rPh sb="0" eb="1">
      <t>デン</t>
    </rPh>
    <rPh sb="3" eb="4">
      <t>キ</t>
    </rPh>
    <phoneticPr fontId="46"/>
  </si>
  <si>
    <t>電気事業者からの買電</t>
    <rPh sb="0" eb="2">
      <t>デンキ</t>
    </rPh>
    <rPh sb="8" eb="10">
      <t>カイデン</t>
    </rPh>
    <phoneticPr fontId="46"/>
  </si>
  <si>
    <t>電気事業者</t>
    <rPh sb="0" eb="2">
      <t>デンキ</t>
    </rPh>
    <rPh sb="2" eb="5">
      <t>ジギョウシャ</t>
    </rPh>
    <phoneticPr fontId="46"/>
  </si>
  <si>
    <t>千kWh</t>
    <rPh sb="0" eb="1">
      <t>セン</t>
    </rPh>
    <phoneticPr fontId="46"/>
  </si>
  <si>
    <t>うち非化石分</t>
    <rPh sb="2" eb="6">
      <t>ヒカセキブン</t>
    </rPh>
    <phoneticPr fontId="46"/>
  </si>
  <si>
    <t>オフサイト型PPA(重み付けなし）</t>
    <rPh sb="5" eb="6">
      <t>ガタ</t>
    </rPh>
    <rPh sb="10" eb="11">
      <t>オモ</t>
    </rPh>
    <rPh sb="12" eb="13">
      <t>ヅ</t>
    </rPh>
    <phoneticPr fontId="46"/>
  </si>
  <si>
    <t>オフサイト型PPA(重み付けあり）</t>
    <rPh sb="5" eb="6">
      <t>ガタ</t>
    </rPh>
    <rPh sb="10" eb="11">
      <t>オモ</t>
    </rPh>
    <rPh sb="12" eb="13">
      <t>ヅ</t>
    </rPh>
    <phoneticPr fontId="46"/>
  </si>
  <si>
    <t>自己託送（非燃料由来の非化石電気）</t>
    <rPh sb="0" eb="2">
      <t>ジコ</t>
    </rPh>
    <rPh sb="2" eb="4">
      <t>タクソウ</t>
    </rPh>
    <rPh sb="5" eb="8">
      <t>ヒネンリョウ</t>
    </rPh>
    <rPh sb="8" eb="10">
      <t>ユライ</t>
    </rPh>
    <rPh sb="11" eb="14">
      <t>ヒカセキ</t>
    </rPh>
    <rPh sb="14" eb="16">
      <t>デンキ</t>
    </rPh>
    <phoneticPr fontId="45"/>
  </si>
  <si>
    <t>上記以外の自己託送</t>
    <rPh sb="0" eb="2">
      <t>ジョウキ</t>
    </rPh>
    <rPh sb="2" eb="4">
      <t>イガイ</t>
    </rPh>
    <rPh sb="5" eb="7">
      <t>ジコ</t>
    </rPh>
    <rPh sb="7" eb="9">
      <t>タクソウ</t>
    </rPh>
    <phoneticPr fontId="45"/>
  </si>
  <si>
    <t>うち非化石</t>
    <rPh sb="2" eb="3">
      <t>ヒ</t>
    </rPh>
    <rPh sb="3" eb="5">
      <t>カセキ</t>
    </rPh>
    <phoneticPr fontId="45"/>
  </si>
  <si>
    <t>うち重み付け非化石</t>
    <rPh sb="2" eb="3">
      <t>オモ</t>
    </rPh>
    <rPh sb="4" eb="5">
      <t>ヅ</t>
    </rPh>
    <rPh sb="6" eb="7">
      <t>ヒ</t>
    </rPh>
    <rPh sb="7" eb="9">
      <t>カセキ</t>
    </rPh>
    <phoneticPr fontId="45"/>
  </si>
  <si>
    <t>その他の買電</t>
    <rPh sb="2" eb="3">
      <t>タ</t>
    </rPh>
    <rPh sb="4" eb="6">
      <t>カイデン</t>
    </rPh>
    <phoneticPr fontId="45"/>
  </si>
  <si>
    <t>自家発電</t>
    <rPh sb="0" eb="4">
      <t>ジカハツデン</t>
    </rPh>
    <phoneticPr fontId="45"/>
  </si>
  <si>
    <t>太陽光</t>
    <rPh sb="0" eb="3">
      <t>タイヨウコウ</t>
    </rPh>
    <phoneticPr fontId="45"/>
  </si>
  <si>
    <t>kW</t>
  </si>
  <si>
    <t>風力</t>
    <rPh sb="0" eb="2">
      <t>フウリョク</t>
    </rPh>
    <phoneticPr fontId="45"/>
  </si>
  <si>
    <t>地熱</t>
    <rPh sb="0" eb="2">
      <t>チネツ</t>
    </rPh>
    <phoneticPr fontId="45"/>
  </si>
  <si>
    <t>水力</t>
    <rPh sb="0" eb="2">
      <t>スイリョク</t>
    </rPh>
    <phoneticPr fontId="45"/>
  </si>
  <si>
    <t>非化石</t>
  </si>
  <si>
    <t>原単位</t>
    <rPh sb="0" eb="3">
      <t>ゲンタンイ</t>
    </rPh>
    <phoneticPr fontId="48"/>
  </si>
  <si>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8"/>
  </si>
  <si>
    <t>営業時間</t>
    <rPh sb="0" eb="2">
      <t>エイギョウ</t>
    </rPh>
    <rPh sb="2" eb="4">
      <t>ジカン</t>
    </rPh>
    <phoneticPr fontId="41"/>
  </si>
  <si>
    <t>延べ床面積</t>
    <rPh sb="0" eb="1">
      <t>ノ</t>
    </rPh>
    <rPh sb="2" eb="5">
      <t>ユカメンセキ</t>
    </rPh>
    <phoneticPr fontId="41"/>
  </si>
  <si>
    <t>ｈ</t>
  </si>
  <si>
    <t>供給事業者の登録番号</t>
    <rPh sb="0" eb="2">
      <t>キョウキュウ</t>
    </rPh>
    <rPh sb="2" eb="5">
      <t>ジギョウシャ</t>
    </rPh>
    <rPh sb="6" eb="8">
      <t>トウロク</t>
    </rPh>
    <rPh sb="8" eb="10">
      <t>バンゴウ</t>
    </rPh>
    <phoneticPr fontId="48"/>
  </si>
  <si>
    <t>供給事業者名</t>
  </si>
  <si>
    <t>調整後排出係数</t>
  </si>
  <si>
    <t>標準熱量</t>
  </si>
  <si>
    <t>使用量</t>
    <rPh sb="0" eb="3">
      <t>シヨウリョウ</t>
    </rPh>
    <phoneticPr fontId="41"/>
  </si>
  <si>
    <t>単位</t>
  </si>
  <si>
    <t>県域の削減量</t>
  </si>
  <si>
    <t>横浜市内の削減量</t>
  </si>
  <si>
    <t>国内クレジット</t>
  </si>
  <si>
    <t>t-CO2</t>
  </si>
  <si>
    <t>オフセット・クレジット</t>
  </si>
  <si>
    <t>Ｊ－クレジット</t>
  </si>
  <si>
    <t>再エネ電力由来(kWh)</t>
  </si>
  <si>
    <t>kWh</t>
  </si>
  <si>
    <t>グリーンエネルギーCO2削減相当量</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</si>
  <si>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8"/>
  </si>
  <si>
    <t>FIT非化石証書</t>
  </si>
  <si>
    <t>全国平均係数(t-CO₂/kWh)</t>
  </si>
  <si>
    <t>非FIT非化石証書（再エネ指定あり）</t>
  </si>
  <si>
    <t>非FIT非化石証書（再エネ指定なし）</t>
  </si>
  <si>
    <t>横浜・川崎
使用量</t>
    <rPh sb="6" eb="9">
      <t>シヨウリョウ</t>
    </rPh>
    <phoneticPr fontId="45"/>
  </si>
  <si>
    <t>県域
使用量</t>
    <rPh sb="0" eb="2">
      <t>ケンイキ</t>
    </rPh>
    <rPh sb="3" eb="6">
      <t>シヨウリョウ</t>
    </rPh>
    <phoneticPr fontId="45"/>
  </si>
  <si>
    <t>その他の化石燃料</t>
    <rPh sb="2" eb="3">
      <t>タ</t>
    </rPh>
    <rPh sb="4" eb="6">
      <t>カセキ</t>
    </rPh>
    <rPh sb="6" eb="8">
      <t>ネンリョウ</t>
    </rPh>
    <phoneticPr fontId="41"/>
  </si>
  <si>
    <t>その他の非化石燃料1</t>
    <rPh sb="2" eb="3">
      <t>タ</t>
    </rPh>
    <rPh sb="4" eb="5">
      <t>ヒ</t>
    </rPh>
    <rPh sb="5" eb="7">
      <t>カセキ</t>
    </rPh>
    <rPh sb="7" eb="9">
      <t>ネンリョウ</t>
    </rPh>
    <phoneticPr fontId="41"/>
  </si>
  <si>
    <t>上記以外の自己託送</t>
    <rPh sb="0" eb="2">
      <t>ジョウキ</t>
    </rPh>
    <rPh sb="2" eb="4">
      <t>イガイ</t>
    </rPh>
    <rPh sb="5" eb="7">
      <t>ジコ</t>
    </rPh>
    <rPh sb="7" eb="9">
      <t>タクソウ</t>
    </rPh>
    <phoneticPr fontId="41"/>
  </si>
  <si>
    <t>その他の買電</t>
    <rPh sb="2" eb="3">
      <t>タ</t>
    </rPh>
    <rPh sb="4" eb="6">
      <t>カイデン</t>
    </rPh>
    <phoneticPr fontId="41"/>
  </si>
  <si>
    <t>その他の非燃料由来の非化石1</t>
  </si>
  <si>
    <t>その他の非燃料由来の非化石2</t>
  </si>
  <si>
    <t>その他の燃料(化石)</t>
    <rPh sb="4" eb="6">
      <t>ネンリョウ</t>
    </rPh>
    <rPh sb="7" eb="9">
      <t>カセキ</t>
    </rPh>
    <phoneticPr fontId="41"/>
  </si>
  <si>
    <t>その他の燃料(非化石)</t>
    <rPh sb="4" eb="6">
      <t>ネンリョウ</t>
    </rPh>
    <rPh sb="7" eb="8">
      <t>ヒ</t>
    </rPh>
    <rPh sb="8" eb="10">
      <t>カセキ</t>
    </rPh>
    <phoneticPr fontId="41"/>
  </si>
  <si>
    <t>その他の熱(化石)</t>
    <rPh sb="4" eb="5">
      <t>ネツ</t>
    </rPh>
    <rPh sb="6" eb="8">
      <t>カセキ</t>
    </rPh>
    <phoneticPr fontId="41"/>
  </si>
  <si>
    <t>その他の熱(非化石)</t>
    <rPh sb="4" eb="5">
      <t>ネツ</t>
    </rPh>
    <rPh sb="6" eb="7">
      <t>ヒ</t>
    </rPh>
    <rPh sb="7" eb="9">
      <t>カセキ</t>
    </rPh>
    <phoneticPr fontId="41"/>
  </si>
  <si>
    <t>２　集計用（2024年度実績）【非表示】</t>
    <rPh sb="2" eb="5">
      <t>シュウケイヨウ</t>
    </rPh>
    <rPh sb="10" eb="12">
      <t>ネンド</t>
    </rPh>
    <rPh sb="12" eb="14">
      <t>ジッセキ</t>
    </rPh>
    <rPh sb="16" eb="19">
      <t>ヒヒョウジ</t>
    </rPh>
    <phoneticPr fontId="41"/>
  </si>
  <si>
    <t>集計_2024</t>
    <rPh sb="0" eb="2">
      <t>シュウケイ</t>
    </rPh>
    <phoneticPr fontId="39"/>
  </si>
  <si>
    <t>自動車行番号</t>
    <rPh sb="0" eb="3">
      <t>ジドウシャ</t>
    </rPh>
    <rPh sb="3" eb="4">
      <t>ギョウ</t>
    </rPh>
    <rPh sb="4" eb="6">
      <t>バンゴウ</t>
    </rPh>
    <phoneticPr fontId="39"/>
  </si>
  <si>
    <t>工場等行番号</t>
    <rPh sb="0" eb="2">
      <t>コウジョウ</t>
    </rPh>
    <rPh sb="2" eb="3">
      <t>トウ</t>
    </rPh>
    <rPh sb="3" eb="4">
      <t>ギョウ</t>
    </rPh>
    <rPh sb="4" eb="6">
      <t>バンゴウ</t>
    </rPh>
    <phoneticPr fontId="39"/>
  </si>
  <si>
    <t>自動車</t>
    <rPh sb="0" eb="3">
      <t>ジドウシャ</t>
    </rPh>
    <phoneticPr fontId="39"/>
  </si>
  <si>
    <t>横浜・川崎</t>
    <phoneticPr fontId="39"/>
  </si>
  <si>
    <t>県域</t>
    <rPh sb="0" eb="2">
      <t>ケンイキ</t>
    </rPh>
    <phoneticPr fontId="39"/>
  </si>
  <si>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9"/>
  </si>
  <si>
    <t>原油換算エネルギー使用量（kL）</t>
    <rPh sb="0" eb="4">
      <t>ゲンユカンザン</t>
    </rPh>
    <phoneticPr fontId="41"/>
  </si>
  <si>
    <t>非化石燃料の原油換算エネルギー使用量(kL)</t>
    <rPh sb="0" eb="1">
      <t>ヒ</t>
    </rPh>
    <rPh sb="1" eb="3">
      <t>カセキ</t>
    </rPh>
    <rPh sb="3" eb="5">
      <t>ネンリョウ</t>
    </rPh>
    <rPh sb="6" eb="8">
      <t>ゲンユ</t>
    </rPh>
    <rPh sb="8" eb="10">
      <t>カンザン</t>
    </rPh>
    <phoneticPr fontId="39"/>
  </si>
  <si>
    <t>原油換算エネルギー使用量（非化石燃料×0.8補正後）</t>
    <phoneticPr fontId="39"/>
  </si>
  <si>
    <t>エネルギー消費原単位の分子 /分母/原単位</t>
    <rPh sb="5" eb="7">
      <t>ショウヒ</t>
    </rPh>
    <rPh sb="7" eb="10">
      <t>ゲンタンイ</t>
    </rPh>
    <rPh sb="11" eb="13">
      <t>ブンシ</t>
    </rPh>
    <rPh sb="15" eb="17">
      <t>ブンボ</t>
    </rPh>
    <rPh sb="18" eb="21">
      <t>ゲンタンイ</t>
    </rPh>
    <phoneticPr fontId="39"/>
  </si>
  <si>
    <t>都市ガス排出量（基礎）</t>
    <rPh sb="0" eb="2">
      <t>トシ</t>
    </rPh>
    <rPh sb="4" eb="6">
      <t>ハイシュツ</t>
    </rPh>
    <rPh sb="6" eb="7">
      <t>リョウ</t>
    </rPh>
    <rPh sb="8" eb="10">
      <t>キソ</t>
    </rPh>
    <phoneticPr fontId="39"/>
  </si>
  <si>
    <t>都市ガス排出量（調整後）</t>
    <rPh sb="0" eb="2">
      <t>トシ</t>
    </rPh>
    <rPh sb="4" eb="6">
      <t>ハイシュツ</t>
    </rPh>
    <rPh sb="6" eb="7">
      <t>リョウ</t>
    </rPh>
    <rPh sb="8" eb="11">
      <t>チョウセイゴ</t>
    </rPh>
    <phoneticPr fontId="39"/>
  </si>
  <si>
    <t>蒸気（基礎）</t>
    <rPh sb="0" eb="2">
      <t>ジョウキ</t>
    </rPh>
    <rPh sb="3" eb="5">
      <t>キソ</t>
    </rPh>
    <phoneticPr fontId="39"/>
  </si>
  <si>
    <t>蒸気（調整後）</t>
    <rPh sb="0" eb="2">
      <t>ジョウキ</t>
    </rPh>
    <rPh sb="3" eb="6">
      <t>チョウセイゴ</t>
    </rPh>
    <phoneticPr fontId="39"/>
  </si>
  <si>
    <t>温水（基礎）</t>
    <rPh sb="0" eb="2">
      <t>オンスイ</t>
    </rPh>
    <rPh sb="3" eb="5">
      <t>キソ</t>
    </rPh>
    <phoneticPr fontId="39"/>
  </si>
  <si>
    <t>温水（調整後）</t>
    <rPh sb="0" eb="2">
      <t>オンスイ</t>
    </rPh>
    <rPh sb="3" eb="6">
      <t>チョウセイゴ</t>
    </rPh>
    <phoneticPr fontId="39"/>
  </si>
  <si>
    <t>冷水（基礎）</t>
    <rPh sb="0" eb="2">
      <t>レイスイ</t>
    </rPh>
    <rPh sb="3" eb="5">
      <t>キソ</t>
    </rPh>
    <phoneticPr fontId="39"/>
  </si>
  <si>
    <t>冷水（調整後）</t>
    <rPh sb="0" eb="2">
      <t>レイスイ</t>
    </rPh>
    <rPh sb="3" eb="6">
      <t>チョウセイゴ</t>
    </rPh>
    <phoneticPr fontId="39"/>
  </si>
  <si>
    <t>電気（基礎）</t>
    <rPh sb="0" eb="2">
      <t>デンキ</t>
    </rPh>
    <rPh sb="3" eb="5">
      <t>キソ</t>
    </rPh>
    <phoneticPr fontId="39"/>
  </si>
  <si>
    <t>電気（調整後）</t>
    <rPh sb="0" eb="2">
      <t>デンキ</t>
    </rPh>
    <rPh sb="3" eb="6">
      <t>チョウセイゴ</t>
    </rPh>
    <phoneticPr fontId="39"/>
  </si>
  <si>
    <t>調整後排出係数０の電気使用量(千kWh)</t>
    <rPh sb="0" eb="3">
      <t>チョウセイゴ</t>
    </rPh>
    <rPh sb="3" eb="5">
      <t>ハイシュツ</t>
    </rPh>
    <rPh sb="5" eb="7">
      <t>ケイスウ</t>
    </rPh>
    <rPh sb="9" eb="11">
      <t>デンキ</t>
    </rPh>
    <rPh sb="11" eb="14">
      <t>シヨウリョウ</t>
    </rPh>
    <rPh sb="15" eb="16">
      <t>セン</t>
    </rPh>
    <phoneticPr fontId="39"/>
  </si>
  <si>
    <t>３　原単位（2024年度実績）【非表示】</t>
    <rPh sb="2" eb="5">
      <t>ゲンタンイ</t>
    </rPh>
    <rPh sb="10" eb="12">
      <t>ネンド</t>
    </rPh>
    <rPh sb="12" eb="14">
      <t>ジッセキ</t>
    </rPh>
    <phoneticPr fontId="41"/>
  </si>
  <si>
    <t>原単位_2024</t>
    <rPh sb="0" eb="3">
      <t>ゲンタンイ</t>
    </rPh>
    <phoneticPr fontId="41"/>
  </si>
  <si>
    <t>Ｎｏ</t>
    <phoneticPr fontId="39"/>
  </si>
  <si>
    <t>エネルギー管理指定工場等</t>
    <rPh sb="5" eb="7">
      <t>カンリ</t>
    </rPh>
    <rPh sb="7" eb="9">
      <t>シテイ</t>
    </rPh>
    <rPh sb="9" eb="11">
      <t>コウジョウ</t>
    </rPh>
    <rPh sb="11" eb="12">
      <t>トウ</t>
    </rPh>
    <phoneticPr fontId="39"/>
  </si>
  <si>
    <t>行番号</t>
    <rPh sb="0" eb="3">
      <t>ギョウバンゴウ</t>
    </rPh>
    <phoneticPr fontId="41"/>
  </si>
  <si>
    <t>初期リスト</t>
    <rPh sb="0" eb="2">
      <t>ショキ</t>
    </rPh>
    <phoneticPr fontId="41"/>
  </si>
  <si>
    <t>修正後名称</t>
    <rPh sb="0" eb="2">
      <t>シュウセイ</t>
    </rPh>
    <rPh sb="2" eb="3">
      <t>ゴ</t>
    </rPh>
    <rPh sb="3" eb="5">
      <t>メイショウ</t>
    </rPh>
    <phoneticPr fontId="41"/>
  </si>
  <si>
    <t>修正後列番号</t>
    <rPh sb="0" eb="2">
      <t>シュウセイ</t>
    </rPh>
    <rPh sb="2" eb="3">
      <t>ゴ</t>
    </rPh>
    <rPh sb="3" eb="6">
      <t>レツバンゴウ</t>
    </rPh>
    <phoneticPr fontId="41"/>
  </si>
  <si>
    <t>所在地</t>
    <rPh sb="0" eb="3">
      <t>ショザイチ</t>
    </rPh>
    <phoneticPr fontId="39"/>
  </si>
  <si>
    <t>原単位指標</t>
    <rPh sb="0" eb="3">
      <t>ゲンタンイ</t>
    </rPh>
    <rPh sb="3" eb="5">
      <t>シヒョウ</t>
    </rPh>
    <phoneticPr fontId="39"/>
  </si>
  <si>
    <t>原単位分子</t>
    <rPh sb="3" eb="5">
      <t>ブンシ</t>
    </rPh>
    <phoneticPr fontId="39"/>
  </si>
  <si>
    <t>原単位分母</t>
    <rPh sb="3" eb="5">
      <t>ブンボ</t>
    </rPh>
    <phoneticPr fontId="39"/>
  </si>
  <si>
    <t>原単位</t>
    <rPh sb="0" eb="3">
      <t>ゲンタンイ</t>
    </rPh>
    <phoneticPr fontId="39"/>
  </si>
  <si>
    <t>前年度比</t>
    <rPh sb="0" eb="3">
      <t>ゼンネンド</t>
    </rPh>
    <rPh sb="3" eb="4">
      <t>ヒ</t>
    </rPh>
    <phoneticPr fontId="39"/>
  </si>
  <si>
    <t>横浜</t>
    <rPh sb="0" eb="2">
      <t>ヨコハマ</t>
    </rPh>
    <phoneticPr fontId="39"/>
  </si>
  <si>
    <t>川崎</t>
    <rPh sb="0" eb="2">
      <t>カワサキ</t>
    </rPh>
    <phoneticPr fontId="39"/>
  </si>
  <si>
    <t>横浜川崎</t>
    <rPh sb="0" eb="2">
      <t>ヨコハマ</t>
    </rPh>
    <rPh sb="2" eb="4">
      <t>カワサキ</t>
    </rPh>
    <phoneticPr fontId="41"/>
  </si>
  <si>
    <t>原単位改善率</t>
    <phoneticPr fontId="41"/>
  </si>
  <si>
    <t>-</t>
    <phoneticPr fontId="41"/>
  </si>
  <si>
    <t>重複ナシ指標</t>
    <rPh sb="0" eb="2">
      <t>チョウフク</t>
    </rPh>
    <rPh sb="4" eb="6">
      <t>シヒョウ</t>
    </rPh>
    <phoneticPr fontId="41"/>
  </si>
  <si>
    <t>重複ナシ単位</t>
    <rPh sb="0" eb="2">
      <t>チョウフク</t>
    </rPh>
    <rPh sb="4" eb="6">
      <t>タンイ</t>
    </rPh>
    <phoneticPr fontId="41"/>
  </si>
  <si>
    <t>重複ナシ
原単位分母</t>
    <rPh sb="0" eb="2">
      <t>チョウフク</t>
    </rPh>
    <rPh sb="5" eb="8">
      <t>ゲンタンイ</t>
    </rPh>
    <rPh sb="8" eb="10">
      <t>ブンボ</t>
    </rPh>
    <phoneticPr fontId="41"/>
  </si>
  <si>
    <t>エネルギー管理指定工場等（最終）</t>
    <rPh sb="5" eb="11">
      <t>カンリシテイコウジョウ</t>
    </rPh>
    <rPh sb="11" eb="12">
      <t>トウ</t>
    </rPh>
    <rPh sb="13" eb="15">
      <t>サイシュウ</t>
    </rPh>
    <phoneticPr fontId="41"/>
  </si>
  <si>
    <t>今年度
原単位指標</t>
    <rPh sb="0" eb="3">
      <t>コンネンド</t>
    </rPh>
    <rPh sb="4" eb="7">
      <t>ゲンタンイ</t>
    </rPh>
    <rPh sb="7" eb="9">
      <t>シヒョウ</t>
    </rPh>
    <phoneticPr fontId="41"/>
  </si>
  <si>
    <t>前年度
原単位指標</t>
    <rPh sb="0" eb="3">
      <t>ゼンネンド</t>
    </rPh>
    <rPh sb="4" eb="7">
      <t>ゲンタンイ</t>
    </rPh>
    <rPh sb="7" eb="9">
      <t>シヒョウ</t>
    </rPh>
    <phoneticPr fontId="41"/>
  </si>
  <si>
    <t>原単位指標変更有無</t>
    <rPh sb="0" eb="3">
      <t>ゲンタンイ</t>
    </rPh>
    <rPh sb="3" eb="5">
      <t>シヒョウ</t>
    </rPh>
    <rPh sb="5" eb="7">
      <t>ヘンコウ</t>
    </rPh>
    <rPh sb="7" eb="9">
      <t>ウム</t>
    </rPh>
    <phoneticPr fontId="41"/>
  </si>
  <si>
    <t>セル番号</t>
    <rPh sb="2" eb="4">
      <t>バンゴウ</t>
    </rPh>
    <phoneticPr fontId="41"/>
  </si>
  <si>
    <t>コピーデータ貼付けシート（2026年度提出用）</t>
    <rPh sb="6" eb="8">
      <t>ハリツ</t>
    </rPh>
    <rPh sb="17" eb="19">
      <t>ネンド</t>
    </rPh>
    <rPh sb="19" eb="21">
      <t>テイシュツ</t>
    </rPh>
    <rPh sb="21" eb="22">
      <t>ヨウ</t>
    </rPh>
    <phoneticPr fontId="41"/>
  </si>
  <si>
    <t>Ｂ９セルに2025年度排出量実績を貼付けてください。</t>
    <phoneticPr fontId="41"/>
  </si>
  <si>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</si>
  <si>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報告対象年度2025年度</t>
    <phoneticPr fontId="41"/>
  </si>
  <si>
    <t>３　集計用（2025年度実績）【非表示】</t>
    <rPh sb="2" eb="5">
      <t>シュウケイヨウ</t>
    </rPh>
    <rPh sb="10" eb="12">
      <t>ネンド</t>
    </rPh>
    <rPh sb="12" eb="14">
      <t>ジッセキ</t>
    </rPh>
    <rPh sb="16" eb="19">
      <t>ヒヒョウジ</t>
    </rPh>
    <phoneticPr fontId="41"/>
  </si>
  <si>
    <t>集計_2025</t>
    <rPh sb="0" eb="2">
      <t>シュウケイ</t>
    </rPh>
    <phoneticPr fontId="39"/>
  </si>
  <si>
    <t>４　原単位（2025年度実績）【非表示】</t>
    <rPh sb="2" eb="5">
      <t>ゲンタンイ</t>
    </rPh>
    <rPh sb="10" eb="12">
      <t>ネンド</t>
    </rPh>
    <rPh sb="12" eb="14">
      <t>ジッセキ</t>
    </rPh>
    <phoneticPr fontId="41"/>
  </si>
  <si>
    <t>原単位_2025</t>
    <rPh sb="0" eb="3">
      <t>ゲンタンイ</t>
    </rPh>
    <phoneticPr fontId="41"/>
  </si>
  <si>
    <t>原単位改善率(%)</t>
    <phoneticPr fontId="41"/>
  </si>
  <si>
    <t>コピーデータ貼付けシート（2027年度提出用）</t>
    <rPh sb="6" eb="8">
      <t>ハリツ</t>
    </rPh>
    <rPh sb="17" eb="19">
      <t>ネンド</t>
    </rPh>
    <rPh sb="19" eb="21">
      <t>テイシュツ</t>
    </rPh>
    <rPh sb="21" eb="22">
      <t>ヨウ</t>
    </rPh>
    <phoneticPr fontId="41"/>
  </si>
  <si>
    <t>Ｂ９セルに2026年度排出量実績を貼付けてください。</t>
    <phoneticPr fontId="41"/>
  </si>
  <si>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</si>
  <si>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報告対象年度2026年度</t>
    <phoneticPr fontId="41"/>
  </si>
  <si>
    <t>２　集計用（2026年度実績）【非表示】</t>
    <rPh sb="2" eb="5">
      <t>シュウケイヨウ</t>
    </rPh>
    <rPh sb="10" eb="12">
      <t>ネンド</t>
    </rPh>
    <rPh sb="12" eb="14">
      <t>ジッセキ</t>
    </rPh>
    <phoneticPr fontId="41"/>
  </si>
  <si>
    <t>集計_2026</t>
    <rPh sb="0" eb="2">
      <t>シュウケイ</t>
    </rPh>
    <phoneticPr fontId="39"/>
  </si>
  <si>
    <t>３　原単位（2026年度実績）【非表示】</t>
    <rPh sb="2" eb="5">
      <t>ゲンタンイ</t>
    </rPh>
    <rPh sb="10" eb="12">
      <t>ネンド</t>
    </rPh>
    <rPh sb="12" eb="14">
      <t>ジッセキ</t>
    </rPh>
    <phoneticPr fontId="41"/>
  </si>
  <si>
    <t>原単位_2026</t>
    <rPh sb="0" eb="3">
      <t>ゲンタンイ</t>
    </rPh>
    <phoneticPr fontId="41"/>
  </si>
  <si>
    <t>原単位改善率</t>
  </si>
  <si>
    <t>コピーデータ貼付けシート（2028年度提出用）</t>
    <rPh sb="6" eb="8">
      <t>ハリツ</t>
    </rPh>
    <rPh sb="17" eb="19">
      <t>ネンド</t>
    </rPh>
    <rPh sb="19" eb="21">
      <t>テイシュツ</t>
    </rPh>
    <rPh sb="21" eb="22">
      <t>ヨウ</t>
    </rPh>
    <phoneticPr fontId="41"/>
  </si>
  <si>
    <t>Ｂ９セルに2027年度排出量実績を貼付けてください。</t>
    <phoneticPr fontId="41"/>
  </si>
  <si>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</si>
  <si>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報告対象年度2027年度</t>
    <phoneticPr fontId="41"/>
  </si>
  <si>
    <t>２　集計用（2027年度実績）【非表示】</t>
    <rPh sb="2" eb="5">
      <t>シュウケイヨウ</t>
    </rPh>
    <rPh sb="10" eb="12">
      <t>ネンド</t>
    </rPh>
    <rPh sb="12" eb="14">
      <t>ジッセキ</t>
    </rPh>
    <phoneticPr fontId="41"/>
  </si>
  <si>
    <t>集計_2027</t>
    <rPh sb="0" eb="2">
      <t>シュウケイ</t>
    </rPh>
    <phoneticPr fontId="39"/>
  </si>
  <si>
    <t>３　原単位（2027年度実績）【非表示】</t>
    <rPh sb="2" eb="5">
      <t>ゲンタンイ</t>
    </rPh>
    <rPh sb="10" eb="12">
      <t>ネンド</t>
    </rPh>
    <rPh sb="12" eb="14">
      <t>ジッセキ</t>
    </rPh>
    <phoneticPr fontId="41"/>
  </si>
  <si>
    <t>原単位_2027</t>
    <rPh sb="0" eb="3">
      <t>ゲンタンイ</t>
    </rPh>
    <phoneticPr fontId="41"/>
  </si>
  <si>
    <t>6　集計用（その他）</t>
    <rPh sb="2" eb="5">
      <t>シュウケイヨウ</t>
    </rPh>
    <rPh sb="8" eb="9">
      <t>タ</t>
    </rPh>
    <phoneticPr fontId="41"/>
  </si>
  <si>
    <t>集計_その他欄</t>
    <rPh sb="0" eb="2">
      <t>シュウケイ</t>
    </rPh>
    <rPh sb="5" eb="6">
      <t>タ</t>
    </rPh>
    <rPh sb="6" eb="7">
      <t>ラン</t>
    </rPh>
    <phoneticPr fontId="39"/>
  </si>
  <si>
    <t>１・２号</t>
    <phoneticPr fontId="39"/>
  </si>
  <si>
    <t>まとめ</t>
    <phoneticPr fontId="39"/>
  </si>
  <si>
    <t>３号</t>
    <phoneticPr fontId="39"/>
  </si>
  <si>
    <t>１・２号/３号</t>
    <rPh sb="3" eb="4">
      <t>ゴウ</t>
    </rPh>
    <rPh sb="6" eb="7">
      <t>ゴウ</t>
    </rPh>
    <phoneticPr fontId="39"/>
  </si>
  <si>
    <t>化石燃料</t>
    <rPh sb="0" eb="2">
      <t>カセキ</t>
    </rPh>
    <rPh sb="2" eb="4">
      <t>ネンリョウ</t>
    </rPh>
    <phoneticPr fontId="39"/>
  </si>
  <si>
    <t>その他燃料</t>
    <rPh sb="2" eb="3">
      <t>タ</t>
    </rPh>
    <rPh sb="3" eb="5">
      <t>ネンリョウ</t>
    </rPh>
    <phoneticPr fontId="39"/>
  </si>
  <si>
    <t>非化石燃料</t>
    <rPh sb="0" eb="1">
      <t>ヒ</t>
    </rPh>
    <rPh sb="1" eb="3">
      <t>カセキ</t>
    </rPh>
    <rPh sb="3" eb="5">
      <t>ネンリョウ</t>
    </rPh>
    <phoneticPr fontId="39"/>
  </si>
  <si>
    <t>その他バイオマス</t>
    <rPh sb="2" eb="3">
      <t>タ</t>
    </rPh>
    <phoneticPr fontId="39"/>
  </si>
  <si>
    <t>その他の燃料（非化石）1</t>
    <rPh sb="2" eb="3">
      <t>タ</t>
    </rPh>
    <rPh sb="4" eb="6">
      <t>ネンリョウ</t>
    </rPh>
    <rPh sb="7" eb="8">
      <t>ヒ</t>
    </rPh>
    <rPh sb="8" eb="10">
      <t>カセキ</t>
    </rPh>
    <phoneticPr fontId="44"/>
  </si>
  <si>
    <t>その他の燃料（非化石）2</t>
    <rPh sb="2" eb="3">
      <t>タ</t>
    </rPh>
    <rPh sb="4" eb="6">
      <t>ネンリョウ</t>
    </rPh>
    <rPh sb="7" eb="8">
      <t>ヒ</t>
    </rPh>
    <rPh sb="8" eb="10">
      <t>カセキ</t>
    </rPh>
    <phoneticPr fontId="44"/>
  </si>
  <si>
    <t>熱</t>
    <rPh sb="0" eb="1">
      <t>ネツ</t>
    </rPh>
    <phoneticPr fontId="39"/>
  </si>
  <si>
    <t>その他の熱</t>
    <rPh sb="2" eb="3">
      <t>タ</t>
    </rPh>
    <rPh sb="4" eb="5">
      <t>ネツ</t>
    </rPh>
    <phoneticPr fontId="47"/>
  </si>
  <si>
    <t>その他使用した熱</t>
    <rPh sb="2" eb="3">
      <t>タ</t>
    </rPh>
    <rPh sb="3" eb="5">
      <t>シヨウ</t>
    </rPh>
    <rPh sb="7" eb="8">
      <t>ネツ</t>
    </rPh>
    <phoneticPr fontId="39"/>
  </si>
  <si>
    <t>その他の熱1</t>
    <rPh sb="4" eb="5">
      <t>ネツ</t>
    </rPh>
    <phoneticPr fontId="41"/>
  </si>
  <si>
    <t>その他の熱2</t>
    <rPh sb="2" eb="3">
      <t>タ</t>
    </rPh>
    <rPh sb="4" eb="5">
      <t>ネツ</t>
    </rPh>
    <phoneticPr fontId="41"/>
  </si>
  <si>
    <t>電気</t>
    <rPh sb="0" eb="2">
      <t>デンキ</t>
    </rPh>
    <phoneticPr fontId="39"/>
  </si>
  <si>
    <t>上記以外の自己託送</t>
    <rPh sb="0" eb="2">
      <t>ジョウキ</t>
    </rPh>
    <rPh sb="2" eb="4">
      <t>イガイ</t>
    </rPh>
    <rPh sb="5" eb="9">
      <t>ジコタクソウ</t>
    </rPh>
    <phoneticPr fontId="39"/>
  </si>
  <si>
    <t>その他の買電</t>
    <rPh sb="4" eb="6">
      <t>バイデン</t>
    </rPh>
    <phoneticPr fontId="41"/>
  </si>
  <si>
    <t>その他自家発電(非燃料由来の非化石)1</t>
    <phoneticPr fontId="39"/>
  </si>
  <si>
    <t>その他自家発電(非燃料由来の非化石)2</t>
    <rPh sb="3" eb="5">
      <t>ジカ</t>
    </rPh>
    <rPh sb="5" eb="6">
      <t>ハツ</t>
    </rPh>
    <rPh sb="6" eb="7">
      <t>デン</t>
    </rPh>
    <phoneticPr fontId="41"/>
  </si>
  <si>
    <t>その他自家発電（燃料）化石</t>
    <rPh sb="3" eb="6">
      <t>ジカハツ</t>
    </rPh>
    <rPh sb="6" eb="7">
      <t>デン</t>
    </rPh>
    <rPh sb="8" eb="10">
      <t>ネンリョウ</t>
    </rPh>
    <rPh sb="11" eb="13">
      <t>カセキ</t>
    </rPh>
    <phoneticPr fontId="41"/>
  </si>
  <si>
    <t>その他自家発電（燃料）非化石</t>
    <rPh sb="3" eb="6">
      <t>ジカハツ</t>
    </rPh>
    <rPh sb="6" eb="7">
      <t>デン</t>
    </rPh>
    <rPh sb="8" eb="10">
      <t>ネンリョウ</t>
    </rPh>
    <rPh sb="11" eb="12">
      <t>ヒ</t>
    </rPh>
    <rPh sb="12" eb="14">
      <t>カセキ</t>
    </rPh>
    <phoneticPr fontId="41"/>
  </si>
  <si>
    <t>その他自家発電（熱）化石</t>
    <rPh sb="2" eb="3">
      <t>タ</t>
    </rPh>
    <rPh sb="3" eb="5">
      <t>ジカ</t>
    </rPh>
    <rPh sb="5" eb="7">
      <t>ハツデン</t>
    </rPh>
    <rPh sb="8" eb="9">
      <t>ネツ</t>
    </rPh>
    <rPh sb="10" eb="12">
      <t>カセキ</t>
    </rPh>
    <phoneticPr fontId="41"/>
  </si>
  <si>
    <t>その他自家発電（熱）非化石</t>
    <rPh sb="2" eb="3">
      <t>タ</t>
    </rPh>
    <rPh sb="3" eb="5">
      <t>ジカ</t>
    </rPh>
    <rPh sb="5" eb="7">
      <t>ハツデン</t>
    </rPh>
    <rPh sb="8" eb="9">
      <t>ネツ</t>
    </rPh>
    <rPh sb="10" eb="11">
      <t>ヒ</t>
    </rPh>
    <rPh sb="11" eb="13">
      <t>カセキ</t>
    </rPh>
    <phoneticPr fontId="41"/>
  </si>
  <si>
    <t>クレジット</t>
    <phoneticPr fontId="39"/>
  </si>
  <si>
    <t>その他</t>
    <rPh sb="2" eb="3">
      <t>タ</t>
    </rPh>
    <phoneticPr fontId="39"/>
  </si>
  <si>
    <t>集計_基礎情報</t>
    <rPh sb="0" eb="2">
      <t>シュウケイ</t>
    </rPh>
    <rPh sb="3" eb="5">
      <t>キソ</t>
    </rPh>
    <rPh sb="5" eb="7">
      <t>ジョウホウ</t>
    </rPh>
    <phoneticPr fontId="39"/>
  </si>
  <si>
    <t>最新</t>
    <rPh sb="0" eb="2">
      <t>サイシン</t>
    </rPh>
    <phoneticPr fontId="39"/>
  </si>
  <si>
    <t>報告対象年度</t>
    <rPh sb="0" eb="2">
      <t>ホウコク</t>
    </rPh>
    <rPh sb="2" eb="4">
      <t>タイショウ</t>
    </rPh>
    <rPh sb="4" eb="6">
      <t>ネンド</t>
    </rPh>
    <phoneticPr fontId="39"/>
  </si>
  <si>
    <t>代表者役職</t>
    <phoneticPr fontId="41"/>
  </si>
  <si>
    <t>代表者氏名</t>
    <rPh sb="0" eb="3">
      <t>ダイヒョウシャ</t>
    </rPh>
    <rPh sb="3" eb="5">
      <t>シメイ</t>
    </rPh>
    <phoneticPr fontId="39"/>
  </si>
  <si>
    <t>変更有無</t>
    <rPh sb="0" eb="2">
      <t>ヘンコウ</t>
    </rPh>
    <rPh sb="2" eb="4">
      <t>ウム</t>
    </rPh>
    <phoneticPr fontId="39"/>
  </si>
  <si>
    <t>←計画初年度</t>
    <rPh sb="1" eb="3">
      <t>ケイカク</t>
    </rPh>
    <rPh sb="3" eb="6">
      <t>ショネンド</t>
    </rPh>
    <phoneticPr fontId="39"/>
  </si>
  <si>
    <t>区分（大規模）第１号</t>
    <rPh sb="0" eb="2">
      <t>クブン</t>
    </rPh>
    <rPh sb="3" eb="6">
      <t>ダイキボ</t>
    </rPh>
    <rPh sb="7" eb="8">
      <t>ダイ</t>
    </rPh>
    <rPh sb="9" eb="10">
      <t>ゴウ</t>
    </rPh>
    <phoneticPr fontId="39"/>
  </si>
  <si>
    <t>区分（大規模）第２号</t>
    <rPh sb="0" eb="2">
      <t>クブン</t>
    </rPh>
    <rPh sb="3" eb="6">
      <t>ダイキボ</t>
    </rPh>
    <rPh sb="7" eb="8">
      <t>ダイ</t>
    </rPh>
    <rPh sb="9" eb="10">
      <t>ゴウ</t>
    </rPh>
    <phoneticPr fontId="39"/>
  </si>
  <si>
    <t>区分（大規模）第３号</t>
    <rPh sb="0" eb="2">
      <t>クブン</t>
    </rPh>
    <rPh sb="3" eb="6">
      <t>ダイキボ</t>
    </rPh>
    <rPh sb="7" eb="8">
      <t>ダイ</t>
    </rPh>
    <rPh sb="9" eb="10">
      <t>ゴウ</t>
    </rPh>
    <phoneticPr fontId="39"/>
  </si>
  <si>
    <t>区分（中小）工場等</t>
    <rPh sb="0" eb="2">
      <t>クブン</t>
    </rPh>
    <rPh sb="3" eb="5">
      <t>チュウショウ</t>
    </rPh>
    <rPh sb="6" eb="8">
      <t>コウジョウ</t>
    </rPh>
    <rPh sb="8" eb="9">
      <t>トウ</t>
    </rPh>
    <phoneticPr fontId="39"/>
  </si>
  <si>
    <t>区分（中小）自動車</t>
    <rPh sb="0" eb="2">
      <t>クブン</t>
    </rPh>
    <rPh sb="3" eb="5">
      <t>チュウショウ</t>
    </rPh>
    <rPh sb="6" eb="9">
      <t>ジドウシャ</t>
    </rPh>
    <phoneticPr fontId="39"/>
  </si>
  <si>
    <t>区分（大規模）</t>
    <phoneticPr fontId="39"/>
  </si>
  <si>
    <t>区分（中小）</t>
    <rPh sb="3" eb="5">
      <t>チュウショウ</t>
    </rPh>
    <phoneticPr fontId="39"/>
  </si>
  <si>
    <t>％</t>
    <phoneticPr fontId="41"/>
  </si>
  <si>
    <t>台</t>
    <rPh sb="0" eb="1">
      <t>ダイ</t>
    </rPh>
    <phoneticPr fontId="41"/>
  </si>
  <si>
    <t>その他</t>
    <rPh sb="2" eb="3">
      <t>タ</t>
    </rPh>
    <phoneticPr fontId="41"/>
  </si>
  <si>
    <t>単位</t>
    <rPh sb="0" eb="2">
      <t>タンイ</t>
    </rPh>
    <phoneticPr fontId="41"/>
  </si>
  <si>
    <t>シート内リンク</t>
    <rPh sb="3" eb="4">
      <t>ナイ</t>
    </rPh>
    <phoneticPr fontId="41"/>
  </si>
  <si>
    <t>事 業 者 名：</t>
    <rPh sb="0" eb="1">
      <t>コト</t>
    </rPh>
    <rPh sb="2" eb="3">
      <t>ギョウ</t>
    </rPh>
    <rPh sb="4" eb="5">
      <t>シャ</t>
    </rPh>
    <rPh sb="6" eb="7">
      <t>メイ</t>
    </rPh>
    <phoneticPr fontId="41"/>
  </si>
  <si>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</si>
  <si>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</si>
  <si>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41"/>
  </si>
  <si>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1"/>
  </si>
  <si>
    <t>原単位の指標：</t>
    <rPh sb="0" eb="3">
      <t>ゲンタンイ</t>
    </rPh>
    <rPh sb="4" eb="6">
      <t>シヒョウ</t>
    </rPh>
    <phoneticPr fontId="41"/>
  </si>
  <si>
    <t>名　称</t>
    <rPh sb="0" eb="1">
      <t>ナ</t>
    </rPh>
    <rPh sb="2" eb="3">
      <t>ショウ</t>
    </rPh>
    <phoneticPr fontId="41"/>
  </si>
  <si>
    <t>第１号又は第２号該当事業者</t>
    <rPh sb="0" eb="1">
      <t>ダイ</t>
    </rPh>
    <rPh sb="7" eb="8">
      <t>ゴウ</t>
    </rPh>
    <rPh sb="8" eb="13">
      <t>ガイトウジギョウシャ</t>
    </rPh>
    <phoneticPr fontId="41"/>
  </si>
  <si>
    <t>燃料</t>
    <rPh sb="0" eb="2">
      <t>ネンリョウ</t>
    </rPh>
    <phoneticPr fontId="41"/>
  </si>
  <si>
    <t>化石燃料</t>
    <rPh sb="0" eb="2">
      <t>カセキ</t>
    </rPh>
    <phoneticPr fontId="41"/>
  </si>
  <si>
    <t>原油のうちコンデンセート(NGL)</t>
    <rPh sb="0" eb="2">
      <t>ゲンユ</t>
    </rPh>
    <phoneticPr fontId="54"/>
  </si>
  <si>
    <t>揮発油（ガソリン）</t>
    <phoneticPr fontId="41"/>
  </si>
  <si>
    <t>ジェット燃料油</t>
    <rPh sb="4" eb="7">
      <t>ネンリョウユ</t>
    </rPh>
    <phoneticPr fontId="3"/>
  </si>
  <si>
    <t>石油ガス_液化石油ガス(ＬＰＧ)</t>
    <rPh sb="0" eb="2">
      <t>セキユ</t>
    </rPh>
    <phoneticPr fontId="41"/>
  </si>
  <si>
    <t>石油ガス_石油系炭化水素ガス</t>
    <phoneticPr fontId="41"/>
  </si>
  <si>
    <t>可燃性天然ガス_液化天然ガス（ＬＮＧ）</t>
    <phoneticPr fontId="41"/>
  </si>
  <si>
    <t>可燃性天然ガス_その他可燃性天然ガス</t>
    <phoneticPr fontId="41"/>
  </si>
  <si>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</si>
  <si>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</si>
  <si>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</si>
  <si>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</si>
  <si>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</si>
  <si>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</si>
  <si>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</si>
  <si>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41"/>
  </si>
  <si>
    <t>非化石燃料</t>
    <rPh sb="0" eb="1">
      <t>ヒ</t>
    </rPh>
    <rPh sb="1" eb="3">
      <t>カセキ</t>
    </rPh>
    <phoneticPr fontId="41"/>
  </si>
  <si>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</si>
  <si>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</si>
  <si>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</si>
  <si>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</si>
  <si>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</si>
  <si>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</si>
  <si>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</si>
  <si>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</si>
  <si>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</si>
  <si>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</si>
  <si>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</si>
  <si>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41"/>
  </si>
  <si>
    <t>その他の非化石燃料２</t>
    <rPh sb="2" eb="3">
      <t>ホカ</t>
    </rPh>
    <rPh sb="4" eb="5">
      <t>ヒ</t>
    </rPh>
    <rPh sb="5" eb="7">
      <t>カセキ</t>
    </rPh>
    <rPh sb="7" eb="9">
      <t>ネンリョウ</t>
    </rPh>
    <phoneticPr fontId="41"/>
  </si>
  <si>
    <t>熱</t>
    <rPh sb="0" eb="1">
      <t>ネツ</t>
    </rPh>
    <phoneticPr fontId="41"/>
  </si>
  <si>
    <t>他者から購入した熱</t>
    <rPh sb="0" eb="2">
      <t>タシャ</t>
    </rPh>
    <rPh sb="4" eb="6">
      <t>コウニュウ</t>
    </rPh>
    <rPh sb="8" eb="9">
      <t>ネツ</t>
    </rPh>
    <phoneticPr fontId="41"/>
  </si>
  <si>
    <t>産業用蒸気</t>
    <rPh sb="0" eb="3">
      <t>サンギョウヨウ</t>
    </rPh>
    <rPh sb="3" eb="5">
      <t>ジョウキ</t>
    </rPh>
    <phoneticPr fontId="54"/>
  </si>
  <si>
    <t>産業用以外の蒸気</t>
    <rPh sb="0" eb="3">
      <t>サンギョウヨウ</t>
    </rPh>
    <rPh sb="3" eb="5">
      <t>イガイ</t>
    </rPh>
    <rPh sb="6" eb="8">
      <t>ジョウキ</t>
    </rPh>
    <phoneticPr fontId="54"/>
  </si>
  <si>
    <t>温水</t>
    <rPh sb="0" eb="2">
      <t>オンスイ</t>
    </rPh>
    <phoneticPr fontId="54"/>
  </si>
  <si>
    <t>冷水</t>
    <rPh sb="0" eb="2">
      <t>レイスイ</t>
    </rPh>
    <phoneticPr fontId="54"/>
  </si>
  <si>
    <t>その他の購入熱</t>
    <rPh sb="2" eb="3">
      <t>タ</t>
    </rPh>
    <rPh sb="4" eb="6">
      <t>コウニュウ</t>
    </rPh>
    <rPh sb="6" eb="7">
      <t>ネツ</t>
    </rPh>
    <phoneticPr fontId="41"/>
  </si>
  <si>
    <t>その他使用した熱</t>
    <rPh sb="3" eb="5">
      <t>シヨウ</t>
    </rPh>
    <rPh sb="7" eb="8">
      <t>ネツ</t>
    </rPh>
    <phoneticPr fontId="41"/>
  </si>
  <si>
    <t>地熱</t>
    <rPh sb="0" eb="2">
      <t>チネツ</t>
    </rPh>
    <phoneticPr fontId="41"/>
  </si>
  <si>
    <t>温泉熱</t>
    <rPh sb="0" eb="2">
      <t>オンセン</t>
    </rPh>
    <rPh sb="2" eb="3">
      <t>ネツ</t>
    </rPh>
    <phoneticPr fontId="41"/>
  </si>
  <si>
    <t>太陽熱</t>
    <rPh sb="0" eb="3">
      <t>タイヨウネツ</t>
    </rPh>
    <phoneticPr fontId="41"/>
  </si>
  <si>
    <t>雪氷熱</t>
    <rPh sb="0" eb="1">
      <t>ユキ</t>
    </rPh>
    <rPh sb="1" eb="2">
      <t>コオリ</t>
    </rPh>
    <rPh sb="2" eb="3">
      <t>ネツ</t>
    </rPh>
    <phoneticPr fontId="41"/>
  </si>
  <si>
    <t>その他の熱１</t>
    <rPh sb="2" eb="3">
      <t>タ</t>
    </rPh>
    <rPh sb="4" eb="5">
      <t>ネツ</t>
    </rPh>
    <phoneticPr fontId="41"/>
  </si>
  <si>
    <t>その他の熱２</t>
    <rPh sb="2" eb="3">
      <t>タ</t>
    </rPh>
    <rPh sb="4" eb="5">
      <t>ネツ</t>
    </rPh>
    <phoneticPr fontId="41"/>
  </si>
  <si>
    <t>電気</t>
    <rPh sb="0" eb="2">
      <t>デンキ</t>
    </rPh>
    <phoneticPr fontId="41"/>
  </si>
  <si>
    <t>電気事業者からの買電</t>
    <rPh sb="0" eb="2">
      <t>デンキ</t>
    </rPh>
    <rPh sb="8" eb="10">
      <t>カイデン</t>
    </rPh>
    <phoneticPr fontId="54"/>
  </si>
  <si>
    <t>上記以外の買電</t>
    <rPh sb="0" eb="2">
      <t>ジョウキ</t>
    </rPh>
    <rPh sb="2" eb="4">
      <t>イガイ</t>
    </rPh>
    <rPh sb="5" eb="7">
      <t>カイデン</t>
    </rPh>
    <phoneticPr fontId="41"/>
  </si>
  <si>
    <t>オフサイト型ＰＰＡ</t>
    <rPh sb="5" eb="6">
      <t>ガタ</t>
    </rPh>
    <phoneticPr fontId="41"/>
  </si>
  <si>
    <t>自己託送_非燃料由来の非化石電気</t>
    <rPh sb="0" eb="2">
      <t>ジコ</t>
    </rPh>
    <rPh sb="2" eb="4">
      <t>タクソウ</t>
    </rPh>
    <phoneticPr fontId="41"/>
  </si>
  <si>
    <t>自家発電</t>
    <rPh sb="0" eb="2">
      <t>ジカ</t>
    </rPh>
    <rPh sb="2" eb="4">
      <t>ハツデン</t>
    </rPh>
    <phoneticPr fontId="3"/>
  </si>
  <si>
    <t>太陽光（メーター設置）</t>
    <rPh sb="0" eb="3">
      <t>タイヨウコウ</t>
    </rPh>
    <phoneticPr fontId="3"/>
  </si>
  <si>
    <t>太陽光（メーター非設置）</t>
    <rPh sb="0" eb="3">
      <t>タイヨウコウ</t>
    </rPh>
    <rPh sb="8" eb="9">
      <t>ヒ</t>
    </rPh>
    <phoneticPr fontId="3"/>
  </si>
  <si>
    <t>風力（メーター設置）</t>
    <rPh sb="0" eb="2">
      <t>フウリョク</t>
    </rPh>
    <rPh sb="7" eb="9">
      <t>セッチ</t>
    </rPh>
    <phoneticPr fontId="41"/>
  </si>
  <si>
    <t>風力（メーター非設置）</t>
    <rPh sb="0" eb="2">
      <t>フウリョク</t>
    </rPh>
    <rPh sb="7" eb="8">
      <t>ヒ</t>
    </rPh>
    <rPh sb="8" eb="10">
      <t>セッチ</t>
    </rPh>
    <phoneticPr fontId="41"/>
  </si>
  <si>
    <t>地熱（メーター設置）</t>
    <rPh sb="0" eb="2">
      <t>チネツ</t>
    </rPh>
    <rPh sb="7" eb="9">
      <t>セッチ</t>
    </rPh>
    <phoneticPr fontId="41"/>
  </si>
  <si>
    <t>地熱（メーター非設置）</t>
    <rPh sb="0" eb="2">
      <t>チネツ</t>
    </rPh>
    <rPh sb="7" eb="8">
      <t>ヒ</t>
    </rPh>
    <rPh sb="8" eb="10">
      <t>セッチ</t>
    </rPh>
    <phoneticPr fontId="41"/>
  </si>
  <si>
    <t>水力（メーター設置）</t>
    <rPh sb="0" eb="2">
      <t>スイリョク</t>
    </rPh>
    <phoneticPr fontId="41"/>
  </si>
  <si>
    <t>水力（メーター非設置）</t>
    <rPh sb="7" eb="8">
      <t>ヒ</t>
    </rPh>
    <phoneticPr fontId="41"/>
  </si>
  <si>
    <t>その他の非燃料由来の非化石１</t>
    <rPh sb="2" eb="3">
      <t>タ</t>
    </rPh>
    <rPh sb="4" eb="5">
      <t>ヒ</t>
    </rPh>
    <phoneticPr fontId="41"/>
  </si>
  <si>
    <t>その他の非燃料由来の非化石２</t>
    <rPh sb="2" eb="3">
      <t>タ</t>
    </rPh>
    <rPh sb="4" eb="5">
      <t>ヒ</t>
    </rPh>
    <phoneticPr fontId="41"/>
  </si>
  <si>
    <t>E</t>
    <phoneticPr fontId="41"/>
  </si>
  <si>
    <t>GJ</t>
    <phoneticPr fontId="41"/>
  </si>
  <si>
    <t>F</t>
    <phoneticPr fontId="41"/>
  </si>
  <si>
    <t>G</t>
    <phoneticPr fontId="41"/>
  </si>
  <si>
    <t>合計</t>
    <rPh sb="0" eb="2">
      <t>ゴウケイ</t>
    </rPh>
    <phoneticPr fontId="41"/>
  </si>
  <si>
    <t>H</t>
    <phoneticPr fontId="41"/>
  </si>
  <si>
    <t>I</t>
    <phoneticPr fontId="41"/>
  </si>
  <si>
    <t>I'</t>
    <phoneticPr fontId="41"/>
  </si>
  <si>
    <t>J</t>
    <phoneticPr fontId="41"/>
  </si>
  <si>
    <t>J'</t>
    <phoneticPr fontId="41"/>
  </si>
  <si>
    <t>K</t>
    <phoneticPr fontId="41"/>
  </si>
  <si>
    <t>L</t>
    <phoneticPr fontId="41"/>
  </si>
  <si>
    <t>L'</t>
    <phoneticPr fontId="41"/>
  </si>
  <si>
    <t>M</t>
    <phoneticPr fontId="41"/>
  </si>
  <si>
    <t>N</t>
    <phoneticPr fontId="41"/>
  </si>
  <si>
    <t>O</t>
    <phoneticPr fontId="41"/>
  </si>
  <si>
    <t>P</t>
    <phoneticPr fontId="41"/>
  </si>
  <si>
    <t>第３号該当事業者</t>
    <rPh sb="0" eb="1">
      <t>ダイ</t>
    </rPh>
    <rPh sb="2" eb="3">
      <t>ゴウ</t>
    </rPh>
    <rPh sb="3" eb="8">
      <t>ガイトウジギョウシャ</t>
    </rPh>
    <phoneticPr fontId="41"/>
  </si>
  <si>
    <t>a</t>
    <phoneticPr fontId="41"/>
  </si>
  <si>
    <t>d</t>
    <phoneticPr fontId="41"/>
  </si>
  <si>
    <t>A'</t>
    <phoneticPr fontId="41"/>
  </si>
  <si>
    <t>B'</t>
    <phoneticPr fontId="41"/>
  </si>
  <si>
    <t>C'</t>
    <phoneticPr fontId="41"/>
  </si>
  <si>
    <t>D'</t>
    <phoneticPr fontId="41"/>
  </si>
  <si>
    <t>E'</t>
    <phoneticPr fontId="41"/>
  </si>
  <si>
    <t>F'</t>
    <phoneticPr fontId="41"/>
  </si>
  <si>
    <t>G'</t>
    <phoneticPr fontId="41"/>
  </si>
  <si>
    <t>H'</t>
    <phoneticPr fontId="41"/>
  </si>
  <si>
    <t>第1,2号</t>
    <rPh sb="0" eb="1">
      <t>ダイ</t>
    </rPh>
    <rPh sb="4" eb="5">
      <t>ゴウ</t>
    </rPh>
    <phoneticPr fontId="41"/>
  </si>
  <si>
    <t>基礎排出量</t>
    <rPh sb="0" eb="2">
      <t>キソ</t>
    </rPh>
    <rPh sb="2" eb="4">
      <t>ハイシュツ</t>
    </rPh>
    <rPh sb="4" eb="5">
      <t>リョウ</t>
    </rPh>
    <phoneticPr fontId="41"/>
  </si>
  <si>
    <t>調整後排出量</t>
    <rPh sb="0" eb="2">
      <t>チョウセイ</t>
    </rPh>
    <rPh sb="2" eb="3">
      <t>ゴ</t>
    </rPh>
    <rPh sb="3" eb="5">
      <t>ハイシュツ</t>
    </rPh>
    <rPh sb="5" eb="6">
      <t>リョウ</t>
    </rPh>
    <phoneticPr fontId="41"/>
  </si>
  <si>
    <t>外部供給</t>
    <phoneticPr fontId="41"/>
  </si>
  <si>
    <t>第3号</t>
    <rPh sb="0" eb="1">
      <t>ダイ</t>
    </rPh>
    <rPh sb="2" eb="3">
      <t>ゴウ</t>
    </rPh>
    <phoneticPr fontId="41"/>
  </si>
  <si>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</si>
  <si>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</si>
  <si>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</si>
  <si>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</si>
  <si>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</si>
  <si>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</si>
  <si>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</si>
  <si>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</si>
  <si>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</si>
  <si>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</si>
  <si>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</si>
  <si>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41"/>
  </si>
  <si>
    <t>燃料の使用（廃棄物原燃料使用を除く）</t>
    <rPh sb="0" eb="2">
      <t>ネンリョウ</t>
    </rPh>
    <rPh sb="3" eb="5">
      <t>シヨウ</t>
    </rPh>
    <phoneticPr fontId="41"/>
  </si>
  <si>
    <t>（基礎）</t>
    <rPh sb="1" eb="3">
      <t>キソ</t>
    </rPh>
    <phoneticPr fontId="41"/>
  </si>
  <si>
    <t>燃料の使用（廃棄物原燃料使用に限る）</t>
    <rPh sb="0" eb="2">
      <t>ネンリョウ</t>
    </rPh>
    <rPh sb="3" eb="5">
      <t>シヨウ</t>
    </rPh>
    <rPh sb="6" eb="9">
      <t>ハイキブツ</t>
    </rPh>
    <rPh sb="9" eb="12">
      <t>ゲンネンリョウ</t>
    </rPh>
    <rPh sb="12" eb="14">
      <t>シヨウ</t>
    </rPh>
    <rPh sb="15" eb="16">
      <t>カギ</t>
    </rPh>
    <phoneticPr fontId="41"/>
  </si>
  <si>
    <t>間接排出</t>
    <rPh sb="0" eb="2">
      <t>カンセツ</t>
    </rPh>
    <rPh sb="2" eb="4">
      <t>ハイシュツ</t>
    </rPh>
    <phoneticPr fontId="41"/>
  </si>
  <si>
    <t>他人から供給された熱の使用</t>
    <rPh sb="0" eb="2">
      <t>タニン</t>
    </rPh>
    <rPh sb="4" eb="6">
      <t>キョウキュウ</t>
    </rPh>
    <rPh sb="9" eb="10">
      <t>ネツ</t>
    </rPh>
    <rPh sb="11" eb="13">
      <t>シヨウ</t>
    </rPh>
    <phoneticPr fontId="41"/>
  </si>
  <si>
    <t>他人から供給された電気の使用</t>
    <rPh sb="0" eb="2">
      <t>タニン</t>
    </rPh>
    <rPh sb="4" eb="6">
      <t>キョウキュウ</t>
    </rPh>
    <rPh sb="9" eb="11">
      <t>デンキ</t>
    </rPh>
    <rPh sb="12" eb="14">
      <t>シヨウ</t>
    </rPh>
    <phoneticPr fontId="41"/>
  </si>
  <si>
    <t>他人に供給した電気又は熱に伴う基礎排出量</t>
    <rPh sb="15" eb="17">
      <t>キソ</t>
    </rPh>
    <phoneticPr fontId="41"/>
  </si>
  <si>
    <t>クレジット等</t>
    <rPh sb="5" eb="6">
      <t>トウ</t>
    </rPh>
    <phoneticPr fontId="41"/>
  </si>
  <si>
    <t>国内認証排出削減量</t>
    <rPh sb="4" eb="6">
      <t>ハイシュツ</t>
    </rPh>
    <rPh sb="6" eb="8">
      <t>サクゲン</t>
    </rPh>
    <rPh sb="8" eb="9">
      <t>リョウ</t>
    </rPh>
    <phoneticPr fontId="30"/>
  </si>
  <si>
    <t>国内クレジット</t>
    <phoneticPr fontId="30"/>
  </si>
  <si>
    <t>オフセット・クレジット</t>
    <phoneticPr fontId="30"/>
  </si>
  <si>
    <t>Ｊ－クレジット</t>
    <phoneticPr fontId="30"/>
  </si>
  <si>
    <t>再エネ電力由来</t>
    <rPh sb="0" eb="1">
      <t>サイ</t>
    </rPh>
    <rPh sb="3" eb="5">
      <t>デンリョク</t>
    </rPh>
    <rPh sb="5" eb="7">
      <t>ユライ</t>
    </rPh>
    <phoneticPr fontId="30"/>
  </si>
  <si>
    <t>kWh</t>
    <phoneticPr fontId="41"/>
  </si>
  <si>
    <t>再エネ熱由来</t>
    <rPh sb="0" eb="1">
      <t>サイ</t>
    </rPh>
    <rPh sb="3" eb="4">
      <t>ネツ</t>
    </rPh>
    <rPh sb="4" eb="6">
      <t>ユライ</t>
    </rPh>
    <phoneticPr fontId="30"/>
  </si>
  <si>
    <t>その他</t>
    <rPh sb="2" eb="3">
      <t>タ</t>
    </rPh>
    <phoneticPr fontId="30"/>
  </si>
  <si>
    <t>グリーンエネルギーCO2削減相当量</t>
    <phoneticPr fontId="30"/>
  </si>
  <si>
    <t>グリーン電力証書</t>
    <rPh sb="4" eb="6">
      <t>デンリョク</t>
    </rPh>
    <rPh sb="6" eb="8">
      <t>ショウショ</t>
    </rPh>
    <phoneticPr fontId="30"/>
  </si>
  <si>
    <t>グリーン熱証書</t>
    <rPh sb="4" eb="5">
      <t>ネツ</t>
    </rPh>
    <rPh sb="5" eb="7">
      <t>ショウショ</t>
    </rPh>
    <phoneticPr fontId="30"/>
  </si>
  <si>
    <t>その他</t>
    <phoneticPr fontId="30"/>
  </si>
  <si>
    <t>海外認証排出削減量（ＪＣＭクレジット）</t>
    <rPh sb="4" eb="6">
      <t>ハイシュツ</t>
    </rPh>
    <rPh sb="6" eb="8">
      <t>サクゲン</t>
    </rPh>
    <rPh sb="8" eb="9">
      <t>リョウ</t>
    </rPh>
    <phoneticPr fontId="30"/>
  </si>
  <si>
    <t>全国平均係数</t>
    <rPh sb="0" eb="2">
      <t>ゼンコク</t>
    </rPh>
    <rPh sb="2" eb="4">
      <t>ヘイキン</t>
    </rPh>
    <rPh sb="4" eb="6">
      <t>ケイスウ</t>
    </rPh>
    <phoneticPr fontId="41"/>
  </si>
  <si>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8"/>
  </si>
  <si>
    <t>FIT非化石証書</t>
    <phoneticPr fontId="30"/>
  </si>
  <si>
    <t>非化石証書の量</t>
    <phoneticPr fontId="30"/>
  </si>
  <si>
    <t>二酸化炭素削減相当量</t>
    <phoneticPr fontId="30"/>
  </si>
  <si>
    <t>FIT補正率</t>
    <rPh sb="3" eb="5">
      <t>ホセイ</t>
    </rPh>
    <rPh sb="5" eb="6">
      <t>リツ</t>
    </rPh>
    <phoneticPr fontId="41"/>
  </si>
  <si>
    <t>非FIT非化石証書(再エネ指定)</t>
    <phoneticPr fontId="30"/>
  </si>
  <si>
    <t>非FIT補正率</t>
    <rPh sb="0" eb="1">
      <t>ヒ</t>
    </rPh>
    <rPh sb="4" eb="6">
      <t>ホセイ</t>
    </rPh>
    <rPh sb="6" eb="7">
      <t>リツ</t>
    </rPh>
    <phoneticPr fontId="41"/>
  </si>
  <si>
    <t>非FIT非化石証書(再エネ指定無し)</t>
    <phoneticPr fontId="30"/>
  </si>
  <si>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</si>
  <si>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</si>
  <si>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（A+B+C+D-E-H-I-K-L-M-O)</t>
    <phoneticPr fontId="41"/>
  </si>
  <si>
    <t>（調整後）</t>
    <rPh sb="1" eb="3">
      <t>チョウセイ</t>
    </rPh>
    <rPh sb="3" eb="4">
      <t>ゴ</t>
    </rPh>
    <phoneticPr fontId="41"/>
  </si>
  <si>
    <t>他人に供給した電気又は熱に伴う調整後排出量(調整後）</t>
    <rPh sb="15" eb="17">
      <t>チョウセイ</t>
    </rPh>
    <rPh sb="17" eb="18">
      <t>ゴ</t>
    </rPh>
    <rPh sb="18" eb="20">
      <t>ハイシュツ</t>
    </rPh>
    <rPh sb="22" eb="25">
      <t>チョウセイゴ</t>
    </rPh>
    <phoneticPr fontId="41"/>
  </si>
  <si>
    <t>K'</t>
    <phoneticPr fontId="41"/>
  </si>
  <si>
    <t>M'</t>
    <phoneticPr fontId="41"/>
  </si>
  <si>
    <t>N'</t>
    <phoneticPr fontId="41"/>
  </si>
  <si>
    <t>O1'</t>
    <phoneticPr fontId="41"/>
  </si>
  <si>
    <t>非FIT非化石証書(再エネ指定)</t>
  </si>
  <si>
    <t>O2'</t>
    <phoneticPr fontId="41"/>
  </si>
  <si>
    <t>非FIT非化石証書(再エネ指定無し)</t>
  </si>
  <si>
    <t>O3'</t>
    <phoneticPr fontId="41"/>
  </si>
  <si>
    <t>O'</t>
    <phoneticPr fontId="41"/>
  </si>
  <si>
    <t>P'</t>
    <phoneticPr fontId="41"/>
  </si>
  <si>
    <t>電力合計削減相当量（H'+K'+O1’+O2'）</t>
    <phoneticPr fontId="41"/>
  </si>
  <si>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</si>
  <si>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</si>
  <si>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（A'+C'+D'-E'-F'-G'-H'-I'-J'-K'-L'-M'-N'-O')</t>
    <phoneticPr fontId="41"/>
  </si>
  <si>
    <t>非化石燃料</t>
    <phoneticPr fontId="41"/>
  </si>
  <si>
    <t>間接排出</t>
    <rPh sb="0" eb="4">
      <t>カンセツハイシュツ</t>
    </rPh>
    <phoneticPr fontId="41"/>
  </si>
  <si>
    <t>再エネ指定FIT非化石証書</t>
    <phoneticPr fontId="30"/>
  </si>
  <si>
    <t>再エネ指定非FIT非化石証書</t>
    <phoneticPr fontId="30"/>
  </si>
  <si>
    <t>再エネ指定無し非FIT非化石証書</t>
    <phoneticPr fontId="30"/>
  </si>
  <si>
    <t>（a+b+c+d-e-f-g-i-k-l)</t>
    <phoneticPr fontId="41"/>
  </si>
  <si>
    <t>a'</t>
    <phoneticPr fontId="41"/>
  </si>
  <si>
    <t>d'</t>
  </si>
  <si>
    <t>f'</t>
    <phoneticPr fontId="41"/>
  </si>
  <si>
    <t>g'</t>
    <phoneticPr fontId="41"/>
  </si>
  <si>
    <t>h'</t>
    <phoneticPr fontId="41"/>
  </si>
  <si>
    <t>i'</t>
    <phoneticPr fontId="41"/>
  </si>
  <si>
    <t>j'</t>
    <phoneticPr fontId="41"/>
  </si>
  <si>
    <t>k'</t>
    <phoneticPr fontId="41"/>
  </si>
  <si>
    <t>l'</t>
    <phoneticPr fontId="41"/>
  </si>
  <si>
    <t>m'</t>
    <phoneticPr fontId="41"/>
  </si>
  <si>
    <t>n'</t>
    <phoneticPr fontId="41"/>
  </si>
  <si>
    <t>o'</t>
    <phoneticPr fontId="41"/>
  </si>
  <si>
    <t>p'</t>
    <phoneticPr fontId="41"/>
  </si>
  <si>
    <t>（a'+c'+d'-e'-f'-g'-h'-i'-j'-k'-l')</t>
    <phoneticPr fontId="41"/>
  </si>
  <si>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1"/>
  </si>
  <si>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1"/>
  </si>
  <si>
    <t>調整後排出係数</t>
    <rPh sb="0" eb="3">
      <t>チョウセイゴ</t>
    </rPh>
    <rPh sb="3" eb="5">
      <t>ハイシュツ</t>
    </rPh>
    <rPh sb="5" eb="7">
      <t>ケイスウ</t>
    </rPh>
    <phoneticPr fontId="41"/>
  </si>
  <si>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1"/>
  </si>
  <si>
    <t>結果６面</t>
    <rPh sb="0" eb="2">
      <t>ケッカ</t>
    </rPh>
    <rPh sb="3" eb="4">
      <t>メン</t>
    </rPh>
    <phoneticPr fontId="3"/>
  </si>
  <si>
    <t>C4-E13</t>
    <phoneticPr fontId="3"/>
  </si>
  <si>
    <t>空気比の管理を徹底する。</t>
    <phoneticPr fontId="3"/>
  </si>
  <si>
    <t>冷却水の水質管理の徹底及び熱交換器の定期的な清掃の実施</t>
    <rPh sb="0" eb="3">
      <t>レイキャクスイ</t>
    </rPh>
    <rPh sb="4" eb="6">
      <t>スイシツ</t>
    </rPh>
    <rPh sb="6" eb="8">
      <t>カンリ</t>
    </rPh>
    <rPh sb="9" eb="11">
      <t>テッテイ</t>
    </rPh>
    <rPh sb="11" eb="12">
      <t>オヨ</t>
    </rPh>
    <rPh sb="13" eb="14">
      <t>ネツ</t>
    </rPh>
    <rPh sb="14" eb="17">
      <t>コウカンキ</t>
    </rPh>
    <rPh sb="18" eb="21">
      <t>テイキテキ</t>
    </rPh>
    <rPh sb="22" eb="24">
      <t>セイソウ</t>
    </rPh>
    <rPh sb="25" eb="27">
      <t>ジッシ</t>
    </rPh>
    <phoneticPr fontId="3"/>
  </si>
  <si>
    <t>外気導入量の見直しを行い、きめの細かい運転を行うことにより、負荷を軽減する。</t>
    <rPh sb="0" eb="2">
      <t>ガイキ</t>
    </rPh>
    <rPh sb="2" eb="4">
      <t>ドウニュウ</t>
    </rPh>
    <rPh sb="4" eb="5">
      <t>リョウ</t>
    </rPh>
    <rPh sb="6" eb="8">
      <t>ミナオ</t>
    </rPh>
    <rPh sb="10" eb="11">
      <t>オコナ</t>
    </rPh>
    <rPh sb="16" eb="17">
      <t>ホソ</t>
    </rPh>
    <rPh sb="19" eb="21">
      <t>ウンテン</t>
    </rPh>
    <rPh sb="22" eb="23">
      <t>オコナ</t>
    </rPh>
    <rPh sb="30" eb="32">
      <t>フカ</t>
    </rPh>
    <rPh sb="33" eb="35">
      <t>ケイゲン</t>
    </rPh>
    <phoneticPr fontId="3"/>
  </si>
  <si>
    <t>負荷の状況に応じた適正な圧力で運転を実施する。</t>
    <rPh sb="0" eb="2">
      <t>フカ</t>
    </rPh>
    <rPh sb="3" eb="5">
      <t>ジョウキョウ</t>
    </rPh>
    <rPh sb="6" eb="7">
      <t>オウ</t>
    </rPh>
    <rPh sb="9" eb="11">
      <t>テキセイ</t>
    </rPh>
    <rPh sb="12" eb="14">
      <t>アツリョク</t>
    </rPh>
    <rPh sb="15" eb="17">
      <t>ウンテン</t>
    </rPh>
    <rPh sb="18" eb="20">
      <t>ジッシ</t>
    </rPh>
    <phoneticPr fontId="3"/>
  </si>
  <si>
    <t>事務室の照明設備をLED照明への転換する。</t>
    <rPh sb="0" eb="3">
      <t>ジムシツ</t>
    </rPh>
    <rPh sb="4" eb="6">
      <t>ショウメイ</t>
    </rPh>
    <rPh sb="6" eb="8">
      <t>セツビ</t>
    </rPh>
    <rPh sb="12" eb="14">
      <t>ショウメイ</t>
    </rPh>
    <rPh sb="16" eb="18">
      <t>テンカン</t>
    </rPh>
    <phoneticPr fontId="3"/>
  </si>
  <si>
    <t>【追加対策】
　冷却水ポンプのインバーター化を追加で実施。</t>
    <rPh sb="1" eb="3">
      <t>ツイカ</t>
    </rPh>
    <rPh sb="3" eb="5">
      <t>タイサク</t>
    </rPh>
    <phoneticPr fontId="3"/>
  </si>
  <si>
    <t>【追加対策】
　コンプレッサー３台を省エネ型に更新。</t>
    <phoneticPr fontId="3"/>
  </si>
  <si>
    <t>【追加対策】　低炭素電気事業者へ購入先を変更(排出係数が0.000***→0.000***に)した。</t>
    <phoneticPr fontId="3"/>
  </si>
  <si>
    <t>最終年度の
原単位指標の量</t>
    <rPh sb="0" eb="2">
      <t>サイシュウ</t>
    </rPh>
    <rPh sb="2" eb="4">
      <t>ネンド</t>
    </rPh>
    <rPh sb="6" eb="9">
      <t>ゲンタンイ</t>
    </rPh>
    <rPh sb="9" eb="11">
      <t>シヒョウ</t>
    </rPh>
    <rPh sb="12" eb="13">
      <t>リョウ</t>
    </rPh>
    <phoneticPr fontId="3"/>
  </si>
  <si>
    <r>
      <rPr>
        <b/>
        <sz val="14"/>
        <rFont val="Yu Gothic"/>
        <family val="3"/>
        <charset val="128"/>
      </rPr>
      <t>⇒</t>
    </r>
    <r>
      <rPr>
        <sz val="11"/>
        <rFont val="ＭＳ Ｐゴシック"/>
        <family val="3"/>
        <charset val="128"/>
      </rPr>
      <t/>
    </r>
    <phoneticPr fontId="41"/>
  </si>
  <si>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41"/>
  </si>
  <si>
    <r>
      <t>今年度名称
&lt;入力</t>
    </r>
    <r>
      <rPr>
        <b/>
        <sz val="10"/>
        <color theme="1"/>
        <rFont val="Yu Gothic"/>
        <family val="3"/>
        <charset val="128"/>
      </rPr>
      <t>セルへリンク&gt;</t>
    </r>
    <rPh sb="0" eb="3">
      <t>コンネンド</t>
    </rPh>
    <rPh sb="3" eb="5">
      <t>メイショウ</t>
    </rPh>
    <rPh sb="7" eb="9">
      <t>ニュウリョク</t>
    </rPh>
    <phoneticPr fontId="41"/>
  </si>
  <si>
    <t>要選択</t>
  </si>
  <si>
    <t/>
  </si>
  <si>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41"/>
  </si>
  <si>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41"/>
  </si>
  <si>
    <t>原油換算エネ(1,2号)</t>
    <rPh sb="0" eb="2">
      <t>ゲンユ</t>
    </rPh>
    <rPh sb="2" eb="4">
      <t>カンサン</t>
    </rPh>
    <rPh sb="10" eb="11">
      <t>ゴウ</t>
    </rPh>
    <phoneticPr fontId="41"/>
  </si>
  <si>
    <t>原油換算エネ(3号)</t>
    <rPh sb="0" eb="2">
      <t>ゲンユ</t>
    </rPh>
    <rPh sb="2" eb="4">
      <t>カンサン</t>
    </rPh>
    <rPh sb="8" eb="9">
      <t>ゴウ</t>
    </rPh>
    <phoneticPr fontId="41"/>
  </si>
  <si>
    <t>外部供給量</t>
    <rPh sb="0" eb="2">
      <t>ガイブ</t>
    </rPh>
    <rPh sb="2" eb="4">
      <t>キョウキュウ</t>
    </rPh>
    <rPh sb="4" eb="5">
      <t>リョウ</t>
    </rPh>
    <phoneticPr fontId="41"/>
  </si>
  <si>
    <t>販売副生エネルギー</t>
    <rPh sb="0" eb="2">
      <t>ハンバイ</t>
    </rPh>
    <rPh sb="2" eb="4">
      <t>フクセイ</t>
    </rPh>
    <phoneticPr fontId="41"/>
  </si>
  <si>
    <t>未利用熱</t>
    <rPh sb="0" eb="3">
      <t>ミリヨウ</t>
    </rPh>
    <rPh sb="3" eb="4">
      <t>ネツ</t>
    </rPh>
    <phoneticPr fontId="41"/>
  </si>
  <si>
    <t>単位発熱量</t>
    <rPh sb="0" eb="2">
      <t>タンイ</t>
    </rPh>
    <rPh sb="2" eb="4">
      <t>ハツネツ</t>
    </rPh>
    <rPh sb="4" eb="5">
      <t>リョウ</t>
    </rPh>
    <phoneticPr fontId="3"/>
  </si>
  <si>
    <t>エネルギー管理指定工場等</t>
    <rPh sb="5" eb="7">
      <t>カンリ</t>
    </rPh>
    <rPh sb="7" eb="9">
      <t>シテイ</t>
    </rPh>
    <rPh sb="9" eb="11">
      <t>コウジョウ</t>
    </rPh>
    <phoneticPr fontId="3"/>
  </si>
  <si>
    <t>原油換算エネルギー使用量</t>
    <rPh sb="0" eb="2">
      <t>ゲンユ</t>
    </rPh>
    <rPh sb="2" eb="4">
      <t>カンサン</t>
    </rPh>
    <rPh sb="9" eb="12">
      <t>シヨウリョウ</t>
    </rPh>
    <phoneticPr fontId="41"/>
  </si>
  <si>
    <t>千kWh</t>
    <rPh sb="0" eb="1">
      <t>セン</t>
    </rPh>
    <phoneticPr fontId="67"/>
  </si>
  <si>
    <t>うち非化石</t>
    <rPh sb="2" eb="3">
      <t>ヒ</t>
    </rPh>
    <rPh sb="3" eb="5">
      <t>カセキ</t>
    </rPh>
    <phoneticPr fontId="41"/>
  </si>
  <si>
    <t>エネルギー使用量（GJ換算後）</t>
    <rPh sb="5" eb="8">
      <t>シヨウリョウ</t>
    </rPh>
    <rPh sb="11" eb="13">
      <t>カンサン</t>
    </rPh>
    <rPh sb="13" eb="14">
      <t>ゴ</t>
    </rPh>
    <phoneticPr fontId="41"/>
  </si>
  <si>
    <t>小計（燃料）</t>
    <rPh sb="0" eb="2">
      <t>ショウケイ</t>
    </rPh>
    <rPh sb="3" eb="5">
      <t>ネンリョウ</t>
    </rPh>
    <phoneticPr fontId="41"/>
  </si>
  <si>
    <t>小計（熱）</t>
    <rPh sb="0" eb="2">
      <t>ショウケイ</t>
    </rPh>
    <rPh sb="3" eb="4">
      <t>ネツ</t>
    </rPh>
    <phoneticPr fontId="41"/>
  </si>
  <si>
    <t>小計（電気）</t>
    <rPh sb="0" eb="2">
      <t>ショウケイ</t>
    </rPh>
    <rPh sb="3" eb="5">
      <t>デンキ</t>
    </rPh>
    <phoneticPr fontId="41"/>
  </si>
  <si>
    <t>（A～Dを除く）</t>
    <rPh sb="5" eb="6">
      <t>ノゾ</t>
    </rPh>
    <phoneticPr fontId="41"/>
  </si>
  <si>
    <t>（E+F+G）</t>
    <phoneticPr fontId="41"/>
  </si>
  <si>
    <t>原油換算エネルギー使用量</t>
    <rPh sb="0" eb="4">
      <t>ゲンユカンサン</t>
    </rPh>
    <rPh sb="9" eb="12">
      <t>シヨウリョウ</t>
    </rPh>
    <phoneticPr fontId="41"/>
  </si>
  <si>
    <t>（H×0.0258）</t>
    <phoneticPr fontId="41"/>
  </si>
  <si>
    <t>ｋＬ</t>
    <phoneticPr fontId="41"/>
  </si>
  <si>
    <t>エネルギー消費原単位</t>
    <phoneticPr fontId="30"/>
  </si>
  <si>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1"/>
  </si>
  <si>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1"/>
  </si>
  <si>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1"/>
  </si>
  <si>
    <t>エネルギー消費原単位の分子 （I'-J-J'）</t>
    <rPh sb="5" eb="7">
      <t>ショウヒ</t>
    </rPh>
    <rPh sb="7" eb="10">
      <t>ゲンタンイ</t>
    </rPh>
    <rPh sb="11" eb="13">
      <t>ブンシ</t>
    </rPh>
    <phoneticPr fontId="41"/>
  </si>
  <si>
    <t>構成割合（県域）</t>
    <rPh sb="0" eb="2">
      <t>コウセイ</t>
    </rPh>
    <rPh sb="2" eb="4">
      <t>ワリアイ</t>
    </rPh>
    <rPh sb="5" eb="6">
      <t>ケン</t>
    </rPh>
    <rPh sb="6" eb="7">
      <t>イキ</t>
    </rPh>
    <phoneticPr fontId="41"/>
  </si>
  <si>
    <t>構成割合（全県）</t>
    <rPh sb="0" eb="2">
      <t>コウセイ</t>
    </rPh>
    <rPh sb="2" eb="4">
      <t>ワリアイ</t>
    </rPh>
    <rPh sb="5" eb="6">
      <t>ゼン</t>
    </rPh>
    <rPh sb="6" eb="7">
      <t>ケン</t>
    </rPh>
    <phoneticPr fontId="41"/>
  </si>
  <si>
    <t>原単位分母の名称</t>
    <rPh sb="0" eb="3">
      <t>ゲンタンイ</t>
    </rPh>
    <rPh sb="3" eb="5">
      <t>ブンボ</t>
    </rPh>
    <rPh sb="6" eb="8">
      <t>メイショウ</t>
    </rPh>
    <phoneticPr fontId="41"/>
  </si>
  <si>
    <t>原単位分母の単位</t>
    <rPh sb="0" eb="3">
      <t>ゲンタンイ</t>
    </rPh>
    <rPh sb="3" eb="5">
      <t>ブンボ</t>
    </rPh>
    <rPh sb="6" eb="8">
      <t>タンイ</t>
    </rPh>
    <phoneticPr fontId="41"/>
  </si>
  <si>
    <t>エネルギー消費原単位の指標</t>
    <rPh sb="5" eb="7">
      <t>ショウヒ</t>
    </rPh>
    <rPh sb="7" eb="10">
      <t>ゲンタンイ</t>
    </rPh>
    <rPh sb="11" eb="13">
      <t>シヒョウ</t>
    </rPh>
    <phoneticPr fontId="41"/>
  </si>
  <si>
    <t>前年度のエネルギー消費原単位</t>
    <rPh sb="0" eb="3">
      <t>ゼンネンド</t>
    </rPh>
    <rPh sb="9" eb="11">
      <t>ショウヒ</t>
    </rPh>
    <rPh sb="11" eb="14">
      <t>ゲンタンイ</t>
    </rPh>
    <phoneticPr fontId="41"/>
  </si>
  <si>
    <t>Q</t>
    <phoneticPr fontId="41"/>
  </si>
  <si>
    <t>Q'</t>
    <phoneticPr fontId="41"/>
  </si>
  <si>
    <t>再生可能エネルギー等の割合</t>
    <phoneticPr fontId="41"/>
  </si>
  <si>
    <t>電気由来クレジット量</t>
    <rPh sb="0" eb="2">
      <t>デンキ</t>
    </rPh>
    <rPh sb="2" eb="4">
      <t>ユライ</t>
    </rPh>
    <rPh sb="9" eb="10">
      <t>リョウ</t>
    </rPh>
    <phoneticPr fontId="41"/>
  </si>
  <si>
    <t>千kWh</t>
    <rPh sb="0" eb="1">
      <t>セン</t>
    </rPh>
    <phoneticPr fontId="41"/>
  </si>
  <si>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1"/>
  </si>
  <si>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1"/>
  </si>
  <si>
    <t>　販売した副生エネルギー除く</t>
    <rPh sb="1" eb="3">
      <t>ハンバイ</t>
    </rPh>
    <rPh sb="5" eb="7">
      <t>フクセイ</t>
    </rPh>
    <rPh sb="12" eb="13">
      <t>ノゾ</t>
    </rPh>
    <phoneticPr fontId="41"/>
  </si>
  <si>
    <t>使用電力量合計</t>
    <rPh sb="0" eb="2">
      <t>シヨウ</t>
    </rPh>
    <rPh sb="2" eb="4">
      <t>デンリョク</t>
    </rPh>
    <rPh sb="4" eb="5">
      <t>リョウ</t>
    </rPh>
    <rPh sb="5" eb="7">
      <t>ゴウケイ</t>
    </rPh>
    <phoneticPr fontId="41"/>
  </si>
  <si>
    <t>再生可能エネルギー等の割合</t>
    <rPh sb="0" eb="2">
      <t>サイセイ</t>
    </rPh>
    <rPh sb="2" eb="4">
      <t>カノウ</t>
    </rPh>
    <rPh sb="9" eb="10">
      <t>トウ</t>
    </rPh>
    <rPh sb="11" eb="13">
      <t>ワリアイ</t>
    </rPh>
    <phoneticPr fontId="41"/>
  </si>
  <si>
    <t>台数の合計</t>
    <rPh sb="0" eb="2">
      <t>ダイスウ</t>
    </rPh>
    <rPh sb="3" eb="5">
      <t>ゴウケイ</t>
    </rPh>
    <phoneticPr fontId="41"/>
  </si>
  <si>
    <t>乗用自動車</t>
    <rPh sb="0" eb="2">
      <t>ジョウヨウ</t>
    </rPh>
    <rPh sb="2" eb="5">
      <t>ジドウシャ</t>
    </rPh>
    <phoneticPr fontId="41"/>
  </si>
  <si>
    <t>電気自動車</t>
    <rPh sb="0" eb="2">
      <t>デンキ</t>
    </rPh>
    <rPh sb="2" eb="5">
      <t>ジドウシャ</t>
    </rPh>
    <phoneticPr fontId="41"/>
  </si>
  <si>
    <t>燃料電池自動車</t>
    <rPh sb="0" eb="2">
      <t>ネンリョウ</t>
    </rPh>
    <rPh sb="2" eb="4">
      <t>デンチ</t>
    </rPh>
    <rPh sb="4" eb="7">
      <t>ジドウシャ</t>
    </rPh>
    <phoneticPr fontId="41"/>
  </si>
  <si>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1"/>
  </si>
  <si>
    <t>kl</t>
    <phoneticPr fontId="41"/>
  </si>
  <si>
    <t>t</t>
    <phoneticPr fontId="41"/>
  </si>
  <si>
    <t>都市ガス(ＣＮＧ含む)</t>
    <rPh sb="0" eb="2">
      <t>トシ</t>
    </rPh>
    <rPh sb="8" eb="9">
      <t>フク</t>
    </rPh>
    <phoneticPr fontId="41"/>
  </si>
  <si>
    <t>その他の非化石燃料</t>
    <rPh sb="2" eb="3">
      <t>タ</t>
    </rPh>
    <rPh sb="4" eb="5">
      <t>ヒ</t>
    </rPh>
    <rPh sb="5" eb="7">
      <t>カセキ</t>
    </rPh>
    <rPh sb="7" eb="9">
      <t>ネンリョウ</t>
    </rPh>
    <phoneticPr fontId="39"/>
  </si>
  <si>
    <t>千kWh</t>
    <phoneticPr fontId="41"/>
  </si>
  <si>
    <t>kW</t>
    <phoneticPr fontId="41"/>
  </si>
  <si>
    <t>b</t>
    <phoneticPr fontId="41"/>
  </si>
  <si>
    <t>その他の熱(化石)</t>
    <rPh sb="4" eb="5">
      <t>ネツ</t>
    </rPh>
    <rPh sb="6" eb="8">
      <t>カセキ</t>
    </rPh>
    <phoneticPr fontId="3"/>
  </si>
  <si>
    <t>c</t>
    <phoneticPr fontId="41"/>
  </si>
  <si>
    <t>その他の熱(非化石)</t>
    <rPh sb="4" eb="5">
      <t>ネツ</t>
    </rPh>
    <rPh sb="6" eb="7">
      <t>ヒ</t>
    </rPh>
    <rPh sb="7" eb="9">
      <t>カセキ</t>
    </rPh>
    <phoneticPr fontId="3"/>
  </si>
  <si>
    <t>e</t>
    <phoneticPr fontId="41"/>
  </si>
  <si>
    <t>（a~dを除く）</t>
    <rPh sb="5" eb="6">
      <t>ノゾ</t>
    </rPh>
    <phoneticPr fontId="41"/>
  </si>
  <si>
    <t>g</t>
    <phoneticPr fontId="41"/>
  </si>
  <si>
    <t>（e+g）</t>
    <phoneticPr fontId="41"/>
  </si>
  <si>
    <t>h</t>
    <phoneticPr fontId="41"/>
  </si>
  <si>
    <t>（h×0.0258）</t>
    <phoneticPr fontId="41"/>
  </si>
  <si>
    <t>i</t>
    <phoneticPr fontId="41"/>
  </si>
  <si>
    <t>k</t>
    <phoneticPr fontId="41"/>
  </si>
  <si>
    <t>m</t>
    <phoneticPr fontId="41"/>
  </si>
  <si>
    <t>n</t>
    <phoneticPr fontId="41"/>
  </si>
  <si>
    <t>o</t>
    <phoneticPr fontId="41"/>
  </si>
  <si>
    <t>p</t>
    <phoneticPr fontId="41"/>
  </si>
  <si>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1"/>
  </si>
  <si>
    <t>エネルギー供給量（GJ換算後）</t>
    <rPh sb="5" eb="7">
      <t>キョウキュウ</t>
    </rPh>
    <rPh sb="7" eb="8">
      <t>リョウ</t>
    </rPh>
    <rPh sb="11" eb="13">
      <t>カンサン</t>
    </rPh>
    <rPh sb="13" eb="14">
      <t>ゴ</t>
    </rPh>
    <phoneticPr fontId="41"/>
  </si>
  <si>
    <t>（A'～D'を除く）</t>
    <rPh sb="7" eb="8">
      <t>ノゾ</t>
    </rPh>
    <phoneticPr fontId="41"/>
  </si>
  <si>
    <t>（E'+F'+G'）</t>
    <phoneticPr fontId="41"/>
  </si>
  <si>
    <t>エネルギー供給量（原油換算後）</t>
    <rPh sb="5" eb="7">
      <t>キョウキュウ</t>
    </rPh>
    <rPh sb="7" eb="8">
      <t>リョウ</t>
    </rPh>
    <rPh sb="9" eb="11">
      <t>ゲンユ</t>
    </rPh>
    <rPh sb="11" eb="13">
      <t>カンサン</t>
    </rPh>
    <rPh sb="13" eb="14">
      <t>ゴ</t>
    </rPh>
    <phoneticPr fontId="41"/>
  </si>
  <si>
    <t>（H'×0.0258）</t>
    <phoneticPr fontId="41"/>
  </si>
  <si>
    <t>販売した副生エネルギーの量（原油換算後）</t>
    <rPh sb="0" eb="2">
      <t>ハンバイ</t>
    </rPh>
    <rPh sb="4" eb="6">
      <t>フクセイ</t>
    </rPh>
    <rPh sb="12" eb="13">
      <t>リョウ</t>
    </rPh>
    <rPh sb="14" eb="16">
      <t>ゲンユ</t>
    </rPh>
    <rPh sb="16" eb="18">
      <t>カンサン</t>
    </rPh>
    <rPh sb="18" eb="19">
      <t>ゴ</t>
    </rPh>
    <phoneticPr fontId="41"/>
  </si>
  <si>
    <t>A''</t>
    <phoneticPr fontId="41"/>
  </si>
  <si>
    <t>B''</t>
    <phoneticPr fontId="41"/>
  </si>
  <si>
    <t>C''</t>
    <phoneticPr fontId="41"/>
  </si>
  <si>
    <t>D''</t>
    <phoneticPr fontId="41"/>
  </si>
  <si>
    <t>再エネ（非化石）電力量合計</t>
    <rPh sb="0" eb="1">
      <t>サイ</t>
    </rPh>
    <rPh sb="4" eb="5">
      <t>ヒ</t>
    </rPh>
    <rPh sb="5" eb="7">
      <t>カセキ</t>
    </rPh>
    <rPh sb="8" eb="10">
      <t>デンリョク</t>
    </rPh>
    <rPh sb="10" eb="11">
      <t>リョウ</t>
    </rPh>
    <rPh sb="11" eb="13">
      <t>ゴウケイ</t>
    </rPh>
    <phoneticPr fontId="41"/>
  </si>
  <si>
    <t>電力量合計</t>
    <rPh sb="0" eb="2">
      <t>デンリョク</t>
    </rPh>
    <rPh sb="2" eb="3">
      <t>リョウ</t>
    </rPh>
    <rPh sb="3" eb="5">
      <t>ゴウケイ</t>
    </rPh>
    <phoneticPr fontId="41"/>
  </si>
  <si>
    <t>副生エネルギー販売量（GJ換算後）</t>
    <rPh sb="0" eb="2">
      <t>フクセイ</t>
    </rPh>
    <rPh sb="7" eb="9">
      <t>ハンバイ</t>
    </rPh>
    <rPh sb="9" eb="10">
      <t>リョウ</t>
    </rPh>
    <rPh sb="13" eb="15">
      <t>カンサン</t>
    </rPh>
    <rPh sb="15" eb="16">
      <t>ゴ</t>
    </rPh>
    <phoneticPr fontId="41"/>
  </si>
  <si>
    <t>E''</t>
    <phoneticPr fontId="41"/>
  </si>
  <si>
    <t>F''</t>
    <phoneticPr fontId="41"/>
  </si>
  <si>
    <t>（A''～D''を除く）</t>
    <rPh sb="9" eb="10">
      <t>ノゾ</t>
    </rPh>
    <phoneticPr fontId="41"/>
  </si>
  <si>
    <t>G''</t>
    <phoneticPr fontId="41"/>
  </si>
  <si>
    <t>（E''+F''+G''）</t>
    <phoneticPr fontId="41"/>
  </si>
  <si>
    <t>H''</t>
    <phoneticPr fontId="41"/>
  </si>
  <si>
    <t>副生エネルギー販売量（原油換算後）</t>
    <rPh sb="0" eb="2">
      <t>フクセイ</t>
    </rPh>
    <rPh sb="7" eb="9">
      <t>ハンバイ</t>
    </rPh>
    <rPh sb="9" eb="10">
      <t>リョウ</t>
    </rPh>
    <rPh sb="11" eb="13">
      <t>ゲンユ</t>
    </rPh>
    <rPh sb="13" eb="15">
      <t>カンサン</t>
    </rPh>
    <rPh sb="15" eb="16">
      <t>ゴ</t>
    </rPh>
    <phoneticPr fontId="41"/>
  </si>
  <si>
    <t>（H''×0.0258）</t>
    <phoneticPr fontId="41"/>
  </si>
  <si>
    <t>購入した未利用熱の量</t>
    <rPh sb="0" eb="2">
      <t>コウニュウ</t>
    </rPh>
    <rPh sb="4" eb="7">
      <t>ミリヨウ</t>
    </rPh>
    <rPh sb="7" eb="8">
      <t>ネツ</t>
    </rPh>
    <rPh sb="9" eb="10">
      <t>リョウ</t>
    </rPh>
    <phoneticPr fontId="41"/>
  </si>
  <si>
    <t>未利用熱の購入量（GJ換算後）</t>
    <rPh sb="0" eb="3">
      <t>ミリヨウ</t>
    </rPh>
    <rPh sb="3" eb="4">
      <t>ネツ</t>
    </rPh>
    <rPh sb="5" eb="7">
      <t>コウニュウ</t>
    </rPh>
    <rPh sb="7" eb="8">
      <t>リョウ</t>
    </rPh>
    <rPh sb="11" eb="13">
      <t>カンサン</t>
    </rPh>
    <rPh sb="13" eb="14">
      <t>ゴ</t>
    </rPh>
    <phoneticPr fontId="41"/>
  </si>
  <si>
    <t>未利用熱の購入量（原油換算後）</t>
    <rPh sb="0" eb="3">
      <t>ミリヨウ</t>
    </rPh>
    <rPh sb="3" eb="4">
      <t>ネツ</t>
    </rPh>
    <rPh sb="5" eb="7">
      <t>コウニュウ</t>
    </rPh>
    <rPh sb="7" eb="8">
      <t>リョウ</t>
    </rPh>
    <rPh sb="9" eb="11">
      <t>ゲンユ</t>
    </rPh>
    <rPh sb="11" eb="13">
      <t>カンサン</t>
    </rPh>
    <rPh sb="13" eb="14">
      <t>ゴ</t>
    </rPh>
    <phoneticPr fontId="41"/>
  </si>
  <si>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</si>
  <si>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</si>
  <si>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</si>
  <si>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41"/>
  </si>
  <si>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41"/>
  </si>
  <si>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</si>
  <si>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</si>
  <si>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t-CO</t>
    </r>
    <r>
      <rPr>
        <vertAlign val="subscript"/>
        <sz val="12"/>
        <color theme="1"/>
        <rFont val="Yu Gothic"/>
        <family val="3"/>
        <charset val="128"/>
      </rPr>
      <t>2</t>
    </r>
    <phoneticPr fontId="41"/>
  </si>
  <si>
    <r>
      <t>t-CO</t>
    </r>
    <r>
      <rPr>
        <vertAlign val="subscript"/>
        <sz val="12"/>
        <rFont val="Yu Gothic"/>
        <family val="3"/>
        <charset val="128"/>
      </rPr>
      <t>2</t>
    </r>
    <phoneticPr fontId="41"/>
  </si>
  <si>
    <t>次に、「結果報告書本体」（結果1面～8面）に必要事項を入力してください。</t>
    <rPh sb="4" eb="6">
      <t>ケッカ</t>
    </rPh>
    <rPh sb="6" eb="9">
      <t>ホウコクショ</t>
    </rPh>
    <rPh sb="13" eb="15">
      <t>ケッカ</t>
    </rPh>
    <rPh sb="16" eb="17">
      <t>メン</t>
    </rPh>
    <rPh sb="19" eb="20">
      <t>メン</t>
    </rPh>
    <phoneticPr fontId="30"/>
  </si>
  <si>
    <t>B32~36</t>
    <phoneticPr fontId="41"/>
  </si>
  <si>
    <t>L32~R36</t>
    <phoneticPr fontId="41"/>
  </si>
  <si>
    <t>D11</t>
    <phoneticPr fontId="41"/>
  </si>
  <si>
    <t>I172~I175</t>
    <phoneticPr fontId="41"/>
  </si>
  <si>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41"/>
  </si>
  <si>
    <t>報告対象年度：</t>
    <rPh sb="0" eb="2">
      <t>ホウコク</t>
    </rPh>
    <rPh sb="2" eb="4">
      <t>タイショウ</t>
    </rPh>
    <rPh sb="4" eb="6">
      <t>ネンド</t>
    </rPh>
    <phoneticPr fontId="41"/>
  </si>
  <si>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1"/>
  </si>
  <si>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</si>
  <si>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</si>
  <si>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</si>
  <si>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</si>
  <si>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</si>
  <si>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</si>
  <si>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</si>
  <si>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</si>
  <si>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</si>
  <si>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</si>
  <si>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</si>
  <si>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</si>
  <si>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</si>
  <si>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</si>
  <si>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</si>
  <si>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</si>
  <si>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</si>
  <si>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</si>
  <si>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</si>
  <si>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</si>
  <si>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</si>
  <si>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</si>
  <si>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</si>
  <si>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</si>
  <si>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</si>
  <si>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</si>
  <si>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</si>
  <si>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</si>
  <si>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</si>
  <si>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</si>
  <si>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</si>
  <si>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</si>
  <si>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</si>
  <si>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</si>
  <si>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</si>
  <si>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</si>
  <si>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</si>
  <si>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</si>
  <si>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</si>
  <si>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</si>
  <si>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</si>
  <si>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</si>
  <si>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</si>
  <si>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</si>
  <si>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</si>
  <si>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</si>
  <si>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</si>
  <si>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</si>
  <si>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</si>
  <si>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</si>
  <si>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</si>
  <si>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</si>
  <si>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</si>
  <si>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</si>
  <si>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</si>
  <si>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</si>
  <si>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</si>
  <si>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</si>
  <si>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</si>
  <si>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</si>
  <si>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</si>
  <si>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</si>
  <si>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</si>
  <si>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</si>
  <si>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</si>
  <si>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</si>
  <si>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</si>
  <si>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</si>
  <si>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</si>
  <si>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</si>
  <si>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</si>
  <si>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</si>
  <si>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</si>
  <si>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</si>
  <si>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</si>
  <si>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</si>
  <si>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</si>
  <si>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</si>
  <si>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</si>
  <si>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</si>
  <si>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</si>
  <si>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</si>
  <si>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</si>
  <si>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</si>
  <si>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</si>
  <si>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</si>
  <si>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</si>
  <si>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</si>
  <si>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</si>
  <si>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</si>
  <si>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</si>
  <si>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</si>
  <si>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</si>
  <si>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</si>
  <si>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</si>
  <si>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</si>
  <si>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</si>
  <si>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</si>
  <si>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</si>
  <si>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</si>
  <si>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</si>
  <si>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</si>
  <si>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</si>
  <si>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</si>
  <si>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</si>
  <si>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</si>
  <si>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</si>
  <si>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</si>
  <si>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</si>
  <si>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</si>
  <si>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</si>
  <si>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</si>
  <si>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</si>
  <si>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</si>
  <si>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</si>
  <si>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</si>
  <si>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</si>
  <si>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</si>
  <si>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</si>
  <si>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</si>
  <si>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</si>
  <si>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</si>
  <si>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</si>
  <si>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</si>
  <si>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</si>
  <si>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</si>
  <si>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</si>
  <si>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</si>
  <si>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</si>
  <si>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</si>
  <si>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</si>
  <si>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</si>
  <si>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</si>
  <si>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</si>
  <si>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</si>
  <si>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</si>
  <si>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</si>
  <si>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</si>
  <si>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</si>
  <si>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</si>
  <si>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</si>
  <si>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</si>
  <si>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</si>
  <si>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</si>
  <si>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</si>
  <si>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</si>
  <si>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</si>
  <si>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</si>
  <si>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</si>
  <si>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</si>
  <si>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</si>
  <si>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</si>
  <si>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</si>
  <si>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</si>
  <si>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</si>
  <si>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</si>
  <si>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</si>
  <si>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</si>
  <si>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</si>
  <si>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</si>
  <si>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</si>
  <si>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</si>
  <si>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</si>
  <si>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</si>
  <si>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</si>
  <si>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</si>
  <si>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</si>
  <si>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</si>
  <si>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</si>
  <si>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</si>
  <si>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</si>
  <si>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</si>
  <si>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</si>
  <si>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</si>
  <si>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</si>
  <si>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</si>
  <si>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</si>
  <si>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</si>
  <si>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</si>
  <si>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</si>
  <si>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</si>
  <si>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</si>
  <si>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</si>
  <si>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</si>
  <si>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</si>
  <si>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</si>
  <si>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</si>
  <si>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</si>
  <si>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</si>
  <si>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</si>
  <si>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</si>
  <si>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</si>
  <si>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</si>
  <si>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</si>
  <si>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</si>
  <si>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</si>
  <si>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</si>
  <si>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</si>
  <si>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</si>
  <si>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</si>
  <si>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</si>
  <si>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</si>
  <si>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</si>
  <si>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</si>
  <si>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</si>
  <si>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</si>
  <si>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</si>
  <si>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</si>
  <si>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</si>
  <si>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</si>
  <si>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</si>
  <si>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</si>
  <si>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</si>
  <si>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</si>
  <si>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</si>
  <si>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</si>
  <si>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</si>
  <si>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</si>
  <si>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</si>
  <si>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</si>
  <si>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</si>
  <si>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</si>
  <si>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</si>
  <si>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</si>
  <si>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</si>
  <si>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</si>
  <si>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</si>
  <si>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</si>
  <si>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</si>
  <si>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</si>
  <si>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</si>
  <si>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</si>
  <si>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</si>
  <si>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</si>
  <si>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</si>
  <si>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</si>
  <si>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</si>
  <si>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</si>
  <si>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</si>
  <si>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</si>
  <si>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</si>
  <si>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</si>
  <si>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</si>
  <si>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</si>
  <si>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</si>
  <si>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41"/>
  </si>
  <si>
    <t>県域の原単位改善率</t>
    <rPh sb="0" eb="2">
      <t>ケンイキ</t>
    </rPh>
    <rPh sb="3" eb="6">
      <t>ゲンタンイ</t>
    </rPh>
    <rPh sb="6" eb="8">
      <t>カイゼン</t>
    </rPh>
    <rPh sb="8" eb="9">
      <t>リツ</t>
    </rPh>
    <phoneticPr fontId="41"/>
  </si>
  <si>
    <t>次に、「結果報告書本体」（結果1面～結果8面）に必要事項を入力してください。</t>
    <rPh sb="4" eb="6">
      <t>ケッカ</t>
    </rPh>
    <rPh sb="6" eb="9">
      <t>ホウコクショ</t>
    </rPh>
    <rPh sb="13" eb="15">
      <t>ケッカ</t>
    </rPh>
    <rPh sb="16" eb="17">
      <t>メン</t>
    </rPh>
    <rPh sb="18" eb="20">
      <t>ケッカ</t>
    </rPh>
    <rPh sb="21" eb="22">
      <t>メン</t>
    </rPh>
    <phoneticPr fontId="30"/>
  </si>
  <si>
    <t>相模原市</t>
    <rPh sb="0" eb="4">
      <t>サガミハラシ</t>
    </rPh>
    <phoneticPr fontId="3"/>
  </si>
  <si>
    <t>GJ</t>
    <phoneticPr fontId="3"/>
  </si>
  <si>
    <t>2025ver5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</si>
</sst>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00"/>
    <numFmt numFmtId="181" formatCode="\(@\)"/>
    <numFmt numFmtId="182" formatCode="0.0_ "/>
    <numFmt numFmtId="183" formatCode="#,##0.0_);[Red]\(#,##0.0\)"/>
    <numFmt numFmtId="184" formatCode="\(General\)"/>
    <numFmt numFmtId="185" formatCode="0.0"/>
    <numFmt numFmtId="186" formatCode="#,##0.0;[Red]\-#,##0.0"/>
    <numFmt numFmtId="187" formatCode="General&quot;年&quot;&quot;度&quot;"/>
  </numFmts>
  <fonts count="92">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11"/>
      <name val="ＭＳ 明朝"/>
      <family val="1"/>
      <charset val="128"/>
    </font>
    <font>
      <sz val="10"/>
      <name val="ＭＳ 明朝"/>
      <family val="1"/>
      <charset val="128"/>
    </font>
    <font>
      <b/>
      <sz val="10"/>
      <name val="ＭＳ 明朝"/>
      <family val="1"/>
      <charset val="128"/>
    </font>
    <font>
      <sz val="9"/>
      <name val="ＭＳ 明朝"/>
      <family val="1"/>
      <charset val="128"/>
    </font>
    <font>
      <sz val="9"/>
      <name val="ＭＳ ゴシック"/>
      <family val="3"/>
      <charset val="128"/>
    </font>
    <font>
      <sz val="9"/>
      <name val="ＭＳ Ｐゴシック"/>
      <family val="3"/>
      <charset val="128"/>
    </font>
    <font>
      <sz val="9"/>
      <name val="ＭＳ Ｐ明朝"/>
      <family val="1"/>
      <charset val="128"/>
    </font>
    <font>
      <vertAlign val="subscript"/>
      <sz val="9"/>
      <name val="ＭＳ 明朝"/>
      <family val="1"/>
      <charset val="128"/>
    </font>
    <font>
      <vertAlign val="superscript"/>
      <sz val="9"/>
      <name val="ＭＳ 明朝"/>
      <family val="1"/>
      <charset val="128"/>
    </font>
    <font>
      <sz val="7.5"/>
      <name val="ＭＳ 明朝"/>
      <family val="1"/>
      <charset val="128"/>
    </font>
    <font>
      <sz val="8.5"/>
      <name val="ＭＳ 明朝"/>
      <family val="1"/>
      <charset val="128"/>
    </font>
    <font>
      <sz val="8"/>
      <name val="ＭＳ 明朝"/>
      <family val="1"/>
      <charset val="128"/>
    </font>
    <font>
      <sz val="8"/>
      <name val="ＭＳ Ｐゴシック"/>
      <family val="3"/>
      <charset val="128"/>
    </font>
    <font>
      <sz val="7"/>
      <name val="ＭＳ 明朝"/>
      <family val="1"/>
      <charset val="128"/>
    </font>
    <font>
      <sz val="11"/>
      <name val="ＭＳ ゴシック"/>
      <family val="3"/>
      <charset val="128"/>
    </font>
    <font>
      <sz val="8"/>
      <name val="ＭＳ ゴシック"/>
      <family val="3"/>
      <charset val="128"/>
    </font>
    <font>
      <sz val="8.5"/>
      <name val="ＭＳ ゴシック"/>
      <family val="3"/>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u/>
      <sz val="11"/>
      <name val="ＭＳ 明朝"/>
      <family val="1"/>
      <charset val="128"/>
    </font>
    <font>
      <sz val="9"/>
      <color indexed="81"/>
      <name val="ＭＳ Ｐゴシック"/>
      <family val="3"/>
      <charset val="128"/>
    </font>
    <font>
      <b/>
      <sz val="9"/>
      <color indexed="81"/>
      <name val="ＭＳ Ｐゴシック"/>
      <family val="3"/>
      <charset val="128"/>
    </font>
    <font>
      <b/>
      <sz val="9"/>
      <name val="ＭＳ 明朝"/>
      <family val="1"/>
      <charset val="128"/>
    </font>
    <font>
      <sz val="6"/>
      <name val="ＭＳ 明朝"/>
      <family val="2"/>
      <charset val="128"/>
    </font>
    <font>
      <b/>
      <sz val="11"/>
      <name val="ＭＳ 明朝"/>
      <family val="1"/>
      <charset val="128"/>
    </font>
    <font>
      <sz val="9"/>
      <color theme="1"/>
      <name val="ＭＳ 明朝"/>
      <family val="1"/>
      <charset val="128"/>
    </font>
    <font>
      <b/>
      <sz val="9"/>
      <color theme="1"/>
      <name val="ＭＳ 明朝"/>
      <family val="1"/>
      <charset val="128"/>
    </font>
    <font>
      <sz val="8"/>
      <name val="ＭＳ Ｐ明朝"/>
      <family val="1"/>
      <charset val="128"/>
    </font>
    <font>
      <sz val="9"/>
      <color rgb="FF00B0F0"/>
      <name val="ＭＳ 明朝"/>
      <family val="1"/>
      <charset val="128"/>
    </font>
    <font>
      <sz val="8"/>
      <color rgb="FFFF0000"/>
      <name val="ＭＳ 明朝"/>
      <family val="1"/>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1"/>
      <color theme="1"/>
      <name val="ＭＳ Ｐゴシック"/>
      <family val="2"/>
      <scheme val="minor"/>
    </font>
    <font>
      <sz val="6"/>
      <name val="ＭＳ Ｐゴシック"/>
      <family val="3"/>
      <charset val="128"/>
      <scheme val="minor"/>
    </font>
    <font>
      <sz val="10"/>
      <name val="Meiryo UI"/>
      <family val="3"/>
      <charset val="128"/>
    </font>
    <font>
      <sz val="10"/>
      <color theme="1"/>
      <name val="Meiryo UI"/>
      <family val="3"/>
      <charset val="128"/>
    </font>
    <font>
      <b/>
      <sz val="18"/>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游明朝"/>
      <family val="1"/>
      <charset val="128"/>
    </font>
    <font>
      <sz val="9"/>
      <color theme="1"/>
      <name val="ＭＳ Ｐゴシック"/>
      <family val="3"/>
      <charset val="128"/>
      <scheme val="minor"/>
    </font>
    <font>
      <b/>
      <sz val="9"/>
      <color indexed="81"/>
      <name val="MS P ゴシック"/>
      <family val="3"/>
      <charset val="128"/>
    </font>
    <font>
      <sz val="9"/>
      <color indexed="81"/>
      <name val="MS P ゴシック"/>
      <family val="3"/>
      <charset val="128"/>
    </font>
    <font>
      <sz val="11"/>
      <color indexed="20"/>
      <name val="ＭＳ Ｐゴシック"/>
      <family val="3"/>
      <charset val="128"/>
    </font>
    <font>
      <sz val="11"/>
      <color indexed="60"/>
      <name val="ＭＳ Ｐゴシック"/>
      <family val="3"/>
      <charset val="128"/>
    </font>
    <font>
      <sz val="10"/>
      <name val="ＭＳ Ｐゴシック"/>
      <family val="3"/>
      <charset val="128"/>
    </font>
    <font>
      <u/>
      <sz val="11"/>
      <color rgb="FF0563C1"/>
      <name val="ＭＳ Ｐゴシック"/>
      <family val="2"/>
      <scheme val="minor"/>
    </font>
    <font>
      <u/>
      <sz val="14"/>
      <color rgb="FF0563C1"/>
      <name val="ＭＳ Ｐゴシック"/>
      <family val="3"/>
      <charset val="128"/>
    </font>
    <font>
      <b/>
      <sz val="18"/>
      <color theme="0"/>
      <name val="Yu Gothic"/>
      <family val="3"/>
      <charset val="128"/>
    </font>
    <font>
      <b/>
      <sz val="14"/>
      <name val="Yu Gothic"/>
      <family val="3"/>
      <charset val="128"/>
    </font>
    <font>
      <sz val="11"/>
      <color theme="1"/>
      <name val="Yu Gothic"/>
      <family val="3"/>
      <charset val="128"/>
    </font>
    <font>
      <b/>
      <sz val="18"/>
      <color theme="1"/>
      <name val="Yu Gothic"/>
      <family val="3"/>
      <charset val="128"/>
    </font>
    <font>
      <b/>
      <sz val="11"/>
      <color theme="1"/>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sz val="12"/>
      <color theme="1"/>
      <name val="Yu Gothic"/>
      <family val="3"/>
      <charset val="128"/>
    </font>
    <font>
      <b/>
      <sz val="12"/>
      <name val="Yu Gothic"/>
      <family val="3"/>
      <charset val="128"/>
    </font>
    <font>
      <sz val="12"/>
      <color rgb="FF3F3F76"/>
      <name val="ＭＳ 明朝"/>
      <family val="2"/>
      <charset val="128"/>
    </font>
    <font>
      <b/>
      <sz val="16"/>
      <color theme="1"/>
      <name val="Yu Gothic"/>
      <family val="3"/>
      <charset val="128"/>
    </font>
    <font>
      <sz val="16"/>
      <color theme="1"/>
      <name val="Yu Gothic"/>
      <family val="3"/>
      <charset val="128"/>
    </font>
    <font>
      <b/>
      <sz val="14"/>
      <color theme="1"/>
      <name val="Yu Gothic"/>
      <family val="3"/>
      <charset val="128"/>
    </font>
    <font>
      <sz val="14"/>
      <color theme="1"/>
      <name val="Yu Gothic"/>
      <family val="3"/>
      <charset val="128"/>
    </font>
    <font>
      <b/>
      <u/>
      <sz val="14"/>
      <color theme="10"/>
      <name val="Yu Gothic"/>
      <family val="3"/>
      <charset val="128"/>
    </font>
    <font>
      <b/>
      <u/>
      <sz val="11"/>
      <color theme="10"/>
      <name val="Yu Gothic"/>
      <family val="3"/>
      <charset val="128"/>
    </font>
    <font>
      <u/>
      <sz val="11"/>
      <color theme="10"/>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8"/>
      <color rgb="FFFF000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9"/>
      <color theme="0"/>
      <name val="Yu Gothic"/>
      <family val="3"/>
      <charset val="128"/>
    </font>
  </fonts>
  <fills count="2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FFCC"/>
        <bgColor indexed="64"/>
      </patternFill>
    </fill>
    <fill>
      <patternFill patternType="solid">
        <fgColor indexed="45"/>
      </patternFill>
    </fill>
    <fill>
      <patternFill patternType="solid">
        <fgColor indexed="43"/>
      </patternFill>
    </fill>
    <fill>
      <patternFill patternType="solid">
        <fgColor theme="0" tint="-0.14996795556505021"/>
        <bgColor indexed="64"/>
      </patternFill>
    </fill>
    <fill>
      <patternFill patternType="solid">
        <fgColor rgb="FF66FF33"/>
        <bgColor indexed="64"/>
      </patternFill>
    </fill>
    <fill>
      <patternFill patternType="solid">
        <fgColor theme="0" tint="-0.249977111117893"/>
        <bgColor indexed="64"/>
      </patternFill>
    </fill>
    <fill>
      <patternFill patternType="solid">
        <fgColor rgb="FFE2F0D9"/>
        <bgColor indexed="64"/>
      </patternFill>
    </fill>
  </fills>
  <borders count="220">
    <border>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top/>
      <bottom style="medium">
        <color indexed="64"/>
      </bottom>
      <diagonal/>
    </border>
    <border>
      <left style="thin">
        <color indexed="64"/>
      </left>
      <right/>
      <top/>
      <bottom/>
      <diagonal/>
    </border>
    <border>
      <left/>
      <right/>
      <top style="medium">
        <color indexed="64"/>
      </top>
      <bottom/>
      <diagonal/>
    </border>
    <border>
      <left/>
      <right/>
      <top/>
      <bottom style="medium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style="mediumDashed">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5">
    <xf numFmtId="0" fontId="0" fillId="0" borderId="0"/>
    <xf numFmtId="0" fontId="90" fillId="0" borderId="0" applyNumberFormat="0" applyFill="0" applyBorder="0" applyAlignment="0" applyProtection="0">
      <alignment vertical="top"/>
      <protection locked="0"/>
    </xf>
    <xf numFmtId="0" fontId="40" fillId="0" borderId="0"/>
    <xf numFmtId="38" fontId="40" fillId="0" borderId="0" applyFont="0" applyFill="0" applyBorder="0" applyAlignment="0" applyProtection="0">
      <alignment vertical="center"/>
    </xf>
    <xf numFmtId="0" fontId="37" fillId="0" borderId="0">
      <alignment vertical="center"/>
    </xf>
    <xf numFmtId="9" fontId="40"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2" fillId="0" borderId="0">
      <alignment vertical="center"/>
    </xf>
    <xf numFmtId="38" fontId="37" fillId="0" borderId="0" applyFont="0" applyFill="0" applyBorder="0" applyAlignment="0" applyProtection="0">
      <alignment vertical="center"/>
    </xf>
    <xf numFmtId="0" fontId="56" fillId="0" borderId="0" applyNumberFormat="0" applyFill="0" applyBorder="0" applyAlignment="0" applyProtection="0"/>
  </cellStyleXfs>
  <cellXfs count="1944">
    <xf numFmtId="0" fontId="0" fillId="0" borderId="0" xfId="0"/>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center" vertical="center"/>
      <protection locked="0"/>
    </xf>
    <xf numFmtId="176" fontId="7" fillId="2" borderId="16" xfId="0" applyNumberFormat="1" applyFont="1" applyFill="1" applyBorder="1" applyAlignment="1" applyProtection="1">
      <alignment vertical="center" wrapText="1"/>
      <protection locked="0"/>
    </xf>
    <xf numFmtId="176" fontId="7" fillId="2" borderId="17" xfId="0" applyNumberFormat="1" applyFont="1" applyFill="1" applyBorder="1" applyAlignment="1" applyProtection="1">
      <alignment vertical="center" wrapText="1"/>
      <protection locked="0"/>
    </xf>
    <xf numFmtId="0" fontId="7" fillId="0" borderId="18"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178" fontId="7" fillId="2" borderId="0" xfId="0" applyNumberFormat="1" applyFont="1" applyFill="1" applyBorder="1" applyAlignment="1" applyProtection="1">
      <alignment horizontal="right" vertical="center" shrinkToFit="1"/>
      <protection locked="0"/>
    </xf>
    <xf numFmtId="0" fontId="7" fillId="0" borderId="0" xfId="0" applyFont="1" applyFill="1" applyProtection="1"/>
    <xf numFmtId="0" fontId="21" fillId="0" borderId="0" xfId="0" applyFont="1" applyAlignment="1" applyProtection="1">
      <alignment shrinkToFit="1"/>
    </xf>
    <xf numFmtId="0" fontId="7" fillId="0" borderId="0" xfId="0" applyFont="1" applyProtection="1"/>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24" xfId="0" applyFont="1" applyBorder="1" applyProtection="1"/>
    <xf numFmtId="0" fontId="7" fillId="0" borderId="25" xfId="0" applyFont="1" applyFill="1" applyBorder="1" applyAlignment="1" applyProtection="1">
      <alignment vertical="center"/>
    </xf>
    <xf numFmtId="0" fontId="7" fillId="0" borderId="0" xfId="0" applyFont="1" applyBorder="1" applyAlignment="1" applyProtection="1">
      <alignment vertical="center"/>
    </xf>
    <xf numFmtId="0" fontId="15" fillId="0" borderId="25" xfId="0" applyFont="1" applyFill="1" applyBorder="1" applyAlignment="1" applyProtection="1">
      <alignment horizontal="center" wrapText="1"/>
    </xf>
    <xf numFmtId="0" fontId="7" fillId="0" borderId="21" xfId="0" applyFont="1" applyFill="1" applyBorder="1" applyAlignment="1" applyProtection="1">
      <alignment vertical="center"/>
    </xf>
    <xf numFmtId="0" fontId="7" fillId="0" borderId="0" xfId="0" applyFont="1" applyAlignment="1" applyProtection="1">
      <alignment vertical="top"/>
    </xf>
    <xf numFmtId="0" fontId="7" fillId="0" borderId="0" xfId="0" applyFont="1" applyFill="1" applyAlignment="1" applyProtection="1">
      <alignment vertical="top"/>
    </xf>
    <xf numFmtId="0" fontId="7" fillId="0" borderId="2"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0" borderId="25" xfId="0" applyFont="1" applyFill="1" applyBorder="1" applyProtection="1"/>
    <xf numFmtId="0" fontId="7" fillId="0" borderId="26" xfId="0" applyFont="1" applyBorder="1" applyProtection="1"/>
    <xf numFmtId="0" fontId="7" fillId="2" borderId="9"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0" borderId="0" xfId="0" applyFont="1" applyBorder="1" applyProtection="1"/>
    <xf numFmtId="0" fontId="7" fillId="0" borderId="26" xfId="0" applyFont="1" applyBorder="1" applyAlignment="1" applyProtection="1">
      <alignment vertical="center"/>
    </xf>
    <xf numFmtId="0" fontId="7" fillId="0" borderId="4" xfId="0" applyFont="1" applyFill="1" applyBorder="1" applyAlignment="1" applyProtection="1">
      <alignment vertical="center" textRotation="255"/>
    </xf>
    <xf numFmtId="0" fontId="5" fillId="0" borderId="0" xfId="0" applyFont="1" applyFill="1" applyProtection="1"/>
    <xf numFmtId="0" fontId="6" fillId="0" borderId="0" xfId="0" applyFont="1" applyFill="1" applyProtection="1"/>
    <xf numFmtId="0" fontId="4" fillId="0" borderId="0" xfId="0" applyFont="1" applyFill="1" applyBorder="1" applyProtection="1"/>
    <xf numFmtId="0" fontId="4" fillId="0" borderId="0" xfId="0" applyFont="1" applyFill="1" applyProtection="1"/>
    <xf numFmtId="0" fontId="5" fillId="0" borderId="0" xfId="0" applyFont="1" applyFill="1" applyBorder="1" applyProtection="1"/>
    <xf numFmtId="0" fontId="4" fillId="0" borderId="0" xfId="0" applyFont="1" applyFill="1" applyAlignment="1" applyProtection="1">
      <alignment vertical="top"/>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7" fillId="0" borderId="11"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6" xfId="0" applyFont="1" applyFill="1" applyBorder="1" applyAlignment="1" applyProtection="1">
      <alignment vertical="center"/>
    </xf>
    <xf numFmtId="0" fontId="5" fillId="0" borderId="0" xfId="0" applyFont="1" applyFill="1" applyAlignment="1" applyProtection="1">
      <alignment vertical="top"/>
    </xf>
    <xf numFmtId="0" fontId="21" fillId="0" borderId="0" xfId="0" applyFont="1" applyAlignment="1" applyProtection="1">
      <alignment vertical="center" shrinkToFit="1"/>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top"/>
    </xf>
    <xf numFmtId="176" fontId="7" fillId="2" borderId="16" xfId="0" applyNumberFormat="1" applyFont="1" applyFill="1" applyBorder="1" applyAlignment="1" applyProtection="1">
      <alignment vertical="center" wrapText="1"/>
    </xf>
    <xf numFmtId="176" fontId="7" fillId="2" borderId="17" xfId="0" applyNumberFormat="1" applyFont="1" applyFill="1" applyBorder="1" applyAlignment="1" applyProtection="1">
      <alignment vertical="center" wrapText="1"/>
    </xf>
    <xf numFmtId="0" fontId="9" fillId="0" borderId="0" xfId="0" applyFont="1" applyFill="1" applyProtection="1"/>
    <xf numFmtId="0" fontId="7" fillId="0" borderId="0" xfId="0" applyFont="1" applyAlignment="1" applyProtection="1">
      <alignment horizontal="left" vertical="center"/>
    </xf>
    <xf numFmtId="0" fontId="7" fillId="0" borderId="27" xfId="0" applyFont="1" applyBorder="1" applyProtection="1"/>
    <xf numFmtId="0" fontId="7" fillId="0" borderId="0"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49" fontId="7" fillId="0"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right" vertical="center" shrinkToFit="1"/>
    </xf>
    <xf numFmtId="0" fontId="7" fillId="0" borderId="0" xfId="0" applyFont="1" applyFill="1" applyBorder="1" applyAlignment="1" applyProtection="1">
      <alignment vertical="center" shrinkToFit="1"/>
    </xf>
    <xf numFmtId="0" fontId="7" fillId="0" borderId="0" xfId="0" applyFont="1" applyFill="1" applyAlignment="1" applyProtection="1">
      <alignment vertical="center" shrinkToFit="1"/>
    </xf>
    <xf numFmtId="176" fontId="7" fillId="0" borderId="0" xfId="0" applyNumberFormat="1" applyFont="1" applyFill="1" applyProtection="1"/>
    <xf numFmtId="0" fontId="7" fillId="0" borderId="21" xfId="0" applyFont="1" applyFill="1" applyBorder="1" applyAlignment="1" applyProtection="1">
      <alignment vertical="center" shrinkToFit="1"/>
    </xf>
    <xf numFmtId="0" fontId="15" fillId="0" borderId="1" xfId="0" applyFont="1" applyFill="1" applyBorder="1" applyAlignment="1" applyProtection="1">
      <alignment horizontal="left" vertical="center" shrinkToFit="1"/>
    </xf>
    <xf numFmtId="0" fontId="7" fillId="0" borderId="1" xfId="0" applyFont="1" applyFill="1" applyBorder="1" applyAlignment="1" applyProtection="1">
      <alignment horizontal="left" vertical="center" shrinkToFit="1"/>
    </xf>
    <xf numFmtId="0" fontId="7" fillId="0" borderId="22" xfId="0" applyFont="1" applyFill="1" applyBorder="1" applyAlignment="1" applyProtection="1">
      <alignment vertical="center" shrinkToFit="1"/>
    </xf>
    <xf numFmtId="176" fontId="7" fillId="0" borderId="0" xfId="0" applyNumberFormat="1" applyFont="1" applyFill="1" applyAlignment="1" applyProtection="1">
      <alignment vertical="top"/>
    </xf>
    <xf numFmtId="0" fontId="7" fillId="0" borderId="2" xfId="0" applyFont="1" applyFill="1" applyBorder="1" applyAlignment="1" applyProtection="1">
      <alignment vertical="center" shrinkToFit="1"/>
    </xf>
    <xf numFmtId="0" fontId="7" fillId="0" borderId="3" xfId="0" applyFont="1" applyBorder="1" applyAlignment="1" applyProtection="1">
      <alignment horizontal="left" vertical="center" shrinkToFit="1"/>
    </xf>
    <xf numFmtId="0" fontId="7" fillId="0" borderId="23" xfId="0" applyFont="1" applyFill="1" applyBorder="1" applyAlignment="1" applyProtection="1">
      <alignment vertical="center" shrinkToFit="1"/>
    </xf>
    <xf numFmtId="0" fontId="7" fillId="0" borderId="0" xfId="0" applyFont="1" applyFill="1" applyAlignment="1" applyProtection="1">
      <alignment shrinkToFit="1"/>
    </xf>
    <xf numFmtId="0" fontId="7" fillId="0" borderId="0" xfId="0" applyFont="1" applyFill="1" applyAlignment="1" applyProtection="1"/>
    <xf numFmtId="0" fontId="7" fillId="0" borderId="0" xfId="0" applyFont="1" applyFill="1" applyAlignment="1" applyProtection="1">
      <alignment horizontal="right"/>
    </xf>
    <xf numFmtId="49" fontId="7"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center"/>
    </xf>
    <xf numFmtId="0" fontId="7" fillId="0" borderId="13" xfId="0" applyFont="1" applyFill="1" applyBorder="1" applyAlignment="1" applyProtection="1">
      <alignment horizontal="justify" vertical="center"/>
    </xf>
    <xf numFmtId="0" fontId="29" fillId="0" borderId="0" xfId="0" applyFont="1" applyFill="1" applyProtection="1"/>
    <xf numFmtId="49" fontId="7" fillId="4" borderId="4" xfId="0" applyNumberFormat="1" applyFont="1" applyFill="1" applyBorder="1" applyAlignment="1" applyProtection="1">
      <alignment vertical="center"/>
    </xf>
    <xf numFmtId="180" fontId="7" fillId="4" borderId="4" xfId="0" applyNumberFormat="1" applyFont="1" applyFill="1" applyBorder="1" applyAlignment="1" applyProtection="1">
      <alignment vertical="center"/>
    </xf>
    <xf numFmtId="49" fontId="7" fillId="0" borderId="0" xfId="0" applyNumberFormat="1" applyFont="1" applyFill="1" applyProtection="1"/>
    <xf numFmtId="0" fontId="7" fillId="4" borderId="4" xfId="0" applyFont="1" applyFill="1" applyBorder="1" applyAlignment="1" applyProtection="1">
      <alignment vertical="center"/>
    </xf>
    <xf numFmtId="49" fontId="7" fillId="0" borderId="0" xfId="0" quotePrefix="1" applyNumberFormat="1" applyFont="1" applyFill="1" applyBorder="1" applyAlignment="1" applyProtection="1">
      <alignment vertical="top"/>
    </xf>
    <xf numFmtId="0" fontId="7" fillId="0" borderId="24" xfId="0" applyFont="1" applyBorder="1" applyAlignment="1" applyProtection="1">
      <alignment vertical="center"/>
    </xf>
    <xf numFmtId="0" fontId="7" fillId="0" borderId="0" xfId="0" applyFont="1" applyBorder="1" applyAlignment="1" applyProtection="1">
      <alignment vertical="top"/>
    </xf>
    <xf numFmtId="0" fontId="32" fillId="0" borderId="0" xfId="0" applyFont="1" applyAlignment="1" applyProtection="1">
      <alignment shrinkToFi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12"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Border="1" applyAlignment="1" applyProtection="1">
      <alignment vertical="center" wrapText="1"/>
    </xf>
    <xf numFmtId="0" fontId="7" fillId="0" borderId="0" xfId="0" applyFont="1" applyFill="1" applyAlignment="1" applyProtection="1">
      <alignment horizontal="left"/>
    </xf>
    <xf numFmtId="178" fontId="7" fillId="2" borderId="5"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xf>
    <xf numFmtId="0" fontId="7" fillId="0" borderId="11" xfId="0" applyFont="1" applyFill="1" applyBorder="1" applyAlignment="1" applyProtection="1">
      <alignment horizontal="left" vertical="center"/>
    </xf>
    <xf numFmtId="0" fontId="7" fillId="0" borderId="5" xfId="0" applyFont="1" applyFill="1" applyBorder="1" applyAlignment="1" applyProtection="1">
      <alignment horizontal="center" vertical="center" wrapText="1"/>
    </xf>
    <xf numFmtId="0" fontId="7" fillId="0" borderId="10" xfId="0"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12" xfId="0" applyFont="1" applyFill="1" applyBorder="1" applyAlignment="1" applyProtection="1">
      <alignment horizontal="center" vertical="center" wrapText="1"/>
    </xf>
    <xf numFmtId="0" fontId="33" fillId="0" borderId="0" xfId="0" applyFont="1" applyAlignment="1" applyProtection="1">
      <alignment shrinkToFit="1"/>
    </xf>
    <xf numFmtId="0" fontId="32" fillId="0" borderId="0" xfId="0" applyFont="1" applyAlignment="1" applyProtection="1">
      <alignment vertical="center"/>
    </xf>
    <xf numFmtId="0" fontId="32" fillId="0" borderId="0" xfId="0" applyFont="1" applyAlignment="1" applyProtection="1">
      <alignment vertical="top"/>
    </xf>
    <xf numFmtId="178" fontId="7" fillId="0" borderId="0" xfId="0" applyNumberFormat="1" applyFont="1" applyFill="1" applyBorder="1" applyAlignment="1" applyProtection="1">
      <alignment horizontal="right" vertical="center" shrinkToFit="1"/>
    </xf>
    <xf numFmtId="178" fontId="7" fillId="0" borderId="8" xfId="0" applyNumberFormat="1" applyFont="1" applyFill="1" applyBorder="1" applyAlignment="1" applyProtection="1">
      <alignment horizontal="right" vertical="center"/>
    </xf>
    <xf numFmtId="0" fontId="32" fillId="0" borderId="0" xfId="0" applyFont="1" applyProtection="1"/>
    <xf numFmtId="176" fontId="7" fillId="0" borderId="0" xfId="0" applyNumberFormat="1" applyFont="1" applyFill="1" applyBorder="1" applyAlignment="1" applyProtection="1">
      <alignment horizontal="right" vertical="center"/>
    </xf>
    <xf numFmtId="0" fontId="32" fillId="0" borderId="0" xfId="0" applyFont="1" applyAlignment="1" applyProtection="1">
      <alignment horizontal="right" shrinkToFit="1"/>
    </xf>
    <xf numFmtId="178" fontId="7" fillId="0" borderId="0" xfId="0" applyNumberFormat="1" applyFont="1" applyFill="1" applyBorder="1" applyAlignment="1" applyProtection="1">
      <alignment horizontal="right" vertical="center"/>
    </xf>
    <xf numFmtId="0" fontId="7" fillId="0" borderId="26" xfId="0" applyFont="1" applyBorder="1" applyAlignment="1" applyProtection="1">
      <alignment vertical="top"/>
    </xf>
    <xf numFmtId="0" fontId="7" fillId="0" borderId="24" xfId="0" applyFont="1" applyBorder="1" applyAlignment="1" applyProtection="1">
      <alignment vertical="top"/>
    </xf>
    <xf numFmtId="0" fontId="32" fillId="0" borderId="0" xfId="0" applyFont="1" applyBorder="1" applyAlignment="1" applyProtection="1">
      <alignment horizontal="right" shrinkToFit="1"/>
    </xf>
    <xf numFmtId="0" fontId="33" fillId="0" borderId="0" xfId="0" applyFont="1" applyBorder="1" applyAlignment="1" applyProtection="1">
      <alignment shrinkToFit="1"/>
    </xf>
    <xf numFmtId="0" fontId="7" fillId="0" borderId="26" xfId="0" applyFont="1" applyFill="1" applyBorder="1" applyProtection="1"/>
    <xf numFmtId="0" fontId="33" fillId="0" borderId="0" xfId="0" applyFont="1" applyBorder="1" applyAlignment="1" applyProtection="1">
      <alignment vertical="center" shrinkToFit="1"/>
    </xf>
    <xf numFmtId="0" fontId="7" fillId="0" borderId="76" xfId="0" applyFont="1" applyBorder="1" applyProtection="1"/>
    <xf numFmtId="0" fontId="33" fillId="0" borderId="0" xfId="0" applyFont="1" applyAlignment="1" applyProtection="1">
      <alignment vertical="center" shrinkToFit="1"/>
    </xf>
    <xf numFmtId="0" fontId="7" fillId="0" borderId="0" xfId="0" applyFont="1" applyFill="1" applyAlignment="1" applyProtection="1">
      <alignment horizontal="right" vertical="center"/>
    </xf>
    <xf numFmtId="0" fontId="7" fillId="0" borderId="0" xfId="0" applyFont="1" applyFill="1" applyBorder="1" applyProtection="1"/>
    <xf numFmtId="0" fontId="0" fillId="0" borderId="0" xfId="0" applyBorder="1" applyAlignment="1" applyProtection="1"/>
    <xf numFmtId="0" fontId="7" fillId="5" borderId="4" xfId="0" applyFont="1" applyFill="1" applyBorder="1" applyAlignment="1" applyProtection="1">
      <alignment horizontal="center" vertical="center" wrapText="1"/>
    </xf>
    <xf numFmtId="0" fontId="9" fillId="0" borderId="0" xfId="0" applyFont="1" applyFill="1" applyAlignment="1" applyProtection="1">
      <alignment vertical="center"/>
    </xf>
    <xf numFmtId="0" fontId="9" fillId="0" borderId="0" xfId="0" applyFont="1" applyFill="1" applyBorder="1" applyProtection="1"/>
    <xf numFmtId="0" fontId="4" fillId="0" borderId="0" xfId="0" applyFont="1" applyFill="1" applyAlignment="1" applyProtection="1">
      <alignment vertical="center"/>
    </xf>
    <xf numFmtId="0" fontId="6"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quotePrefix="1" applyFont="1" applyProtection="1"/>
    <xf numFmtId="0" fontId="7" fillId="3" borderId="70" xfId="0" applyFont="1" applyFill="1" applyBorder="1" applyAlignment="1" applyProtection="1">
      <alignment horizontal="center" vertical="center"/>
      <protection locked="0"/>
    </xf>
    <xf numFmtId="0" fontId="7" fillId="3" borderId="74" xfId="0" applyFont="1" applyFill="1" applyBorder="1" applyAlignment="1" applyProtection="1">
      <alignment horizontal="center" vertical="center"/>
      <protection locked="0"/>
    </xf>
    <xf numFmtId="0" fontId="7" fillId="3" borderId="71" xfId="0" applyFont="1" applyFill="1" applyBorder="1" applyAlignment="1" applyProtection="1">
      <alignment horizontal="center" vertical="center"/>
      <protection locked="0"/>
    </xf>
    <xf numFmtId="0" fontId="7" fillId="3" borderId="75"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7" fillId="3" borderId="72"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7" fillId="3" borderId="73" xfId="0" applyFont="1" applyFill="1" applyBorder="1" applyAlignment="1" applyProtection="1">
      <alignment horizontal="center" vertical="center"/>
    </xf>
    <xf numFmtId="0" fontId="7" fillId="0" borderId="0" xfId="0" applyFont="1" applyFill="1" applyAlignment="1" applyProtection="1">
      <alignment horizontal="right" vertical="top"/>
    </xf>
    <xf numFmtId="0" fontId="5" fillId="0" borderId="0" xfId="0" applyFont="1" applyFill="1" applyBorder="1" applyAlignment="1" applyProtection="1">
      <alignment horizontal="right" vertical="top"/>
    </xf>
    <xf numFmtId="0" fontId="29" fillId="0" borderId="0" xfId="0" applyFont="1" applyFill="1" applyAlignment="1" applyProtection="1">
      <alignment horizontal="left" vertical="center" shrinkToFit="1"/>
    </xf>
    <xf numFmtId="0" fontId="7" fillId="0" borderId="0" xfId="0" applyFont="1" applyFill="1" applyBorder="1" applyAlignment="1" applyProtection="1">
      <alignment vertical="center"/>
    </xf>
    <xf numFmtId="0" fontId="7" fillId="0" borderId="0" xfId="0" applyFont="1" applyFill="1" applyAlignment="1" applyProtection="1">
      <alignment horizontal="center" vertical="center"/>
    </xf>
    <xf numFmtId="0" fontId="21" fillId="0" borderId="0" xfId="0" applyFont="1" applyAlignment="1" applyProtection="1">
      <alignment vertical="center"/>
    </xf>
    <xf numFmtId="0" fontId="21" fillId="0" borderId="0" xfId="0" applyFont="1" applyFill="1" applyBorder="1" applyProtection="1"/>
    <xf numFmtId="0" fontId="7" fillId="0"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20" xfId="0" applyFont="1" applyFill="1" applyBorder="1" applyAlignment="1" applyProtection="1">
      <alignment vertical="center"/>
    </xf>
    <xf numFmtId="0" fontId="35" fillId="4" borderId="4" xfId="0" applyFont="1" applyFill="1" applyBorder="1" applyAlignment="1" applyProtection="1">
      <alignment vertical="center"/>
    </xf>
    <xf numFmtId="49" fontId="35" fillId="4" borderId="4" xfId="0" applyNumberFormat="1" applyFont="1" applyFill="1" applyBorder="1" applyAlignment="1" applyProtection="1">
      <alignment vertical="center"/>
    </xf>
    <xf numFmtId="49" fontId="35" fillId="4" borderId="70" xfId="0" applyNumberFormat="1" applyFont="1" applyFill="1" applyBorder="1" applyAlignment="1" applyProtection="1">
      <alignment vertical="center"/>
    </xf>
    <xf numFmtId="0" fontId="9" fillId="4" borderId="4" xfId="0" applyFont="1" applyFill="1" applyBorder="1" applyProtection="1"/>
    <xf numFmtId="0" fontId="7" fillId="4" borderId="29" xfId="0" applyFont="1" applyFill="1" applyBorder="1" applyAlignment="1" applyProtection="1">
      <alignment vertical="center"/>
    </xf>
    <xf numFmtId="49" fontId="35" fillId="4" borderId="77" xfId="0"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vertical="center"/>
    </xf>
    <xf numFmtId="0" fontId="7" fillId="0" borderId="0" xfId="0" applyFont="1" applyAlignment="1" applyProtection="1">
      <alignment horizontal="center" vertical="center" wrapText="1"/>
    </xf>
    <xf numFmtId="0" fontId="7" fillId="0" borderId="0" xfId="0" applyFont="1" applyFill="1" applyBorder="1" applyAlignment="1" applyProtection="1">
      <alignment horizontal="center" vertical="center" shrinkToFit="1"/>
    </xf>
    <xf numFmtId="0" fontId="7" fillId="0" borderId="22" xfId="0" applyFont="1" applyFill="1" applyBorder="1" applyAlignment="1" applyProtection="1">
      <alignment vertical="center"/>
    </xf>
    <xf numFmtId="0" fontId="7" fillId="6" borderId="0" xfId="0" applyFont="1" applyFill="1" applyAlignment="1" applyProtection="1">
      <alignment horizontal="right" shrinkToFit="1"/>
    </xf>
    <xf numFmtId="0" fontId="15" fillId="0" borderId="3" xfId="0" applyFont="1" applyFill="1" applyBorder="1" applyAlignment="1" applyProtection="1">
      <alignment horizontal="left" vertical="center" shrinkToFit="1"/>
    </xf>
    <xf numFmtId="0" fontId="43" fillId="8" borderId="0" xfId="2" applyFont="1" applyFill="1" applyAlignment="1">
      <alignment vertical="center"/>
    </xf>
    <xf numFmtId="0" fontId="43" fillId="8" borderId="79" xfId="2" applyFont="1" applyFill="1" applyBorder="1" applyAlignment="1">
      <alignment vertical="center"/>
    </xf>
    <xf numFmtId="178" fontId="7" fillId="10" borderId="8" xfId="0" applyNumberFormat="1" applyFont="1" applyFill="1" applyBorder="1" applyAlignment="1" applyProtection="1">
      <alignment horizontal="right" vertical="center"/>
    </xf>
    <xf numFmtId="0" fontId="43" fillId="11" borderId="0" xfId="7" applyFont="1" applyFill="1" applyAlignment="1">
      <alignment vertical="center"/>
    </xf>
    <xf numFmtId="0" fontId="43" fillId="11" borderId="79" xfId="7" applyFont="1" applyFill="1" applyBorder="1" applyAlignment="1">
      <alignment vertical="center"/>
    </xf>
    <xf numFmtId="0" fontId="43" fillId="8" borderId="0" xfId="7" applyFont="1" applyFill="1" applyAlignment="1">
      <alignment vertical="center"/>
    </xf>
    <xf numFmtId="0" fontId="43" fillId="8" borderId="79" xfId="7" applyFont="1" applyFill="1" applyBorder="1" applyAlignment="1">
      <alignment vertical="center"/>
    </xf>
    <xf numFmtId="0" fontId="7" fillId="5" borderId="77" xfId="0" applyFont="1" applyFill="1" applyBorder="1" applyAlignment="1" applyProtection="1">
      <alignment horizontal="center" vertical="center" wrapText="1"/>
    </xf>
    <xf numFmtId="0" fontId="15" fillId="5" borderId="70" xfId="0" applyFont="1" applyFill="1" applyBorder="1" applyAlignment="1" applyProtection="1">
      <alignment horizontal="center" vertical="center" wrapText="1"/>
    </xf>
    <xf numFmtId="0" fontId="31" fillId="12" borderId="4" xfId="0" applyFont="1" applyFill="1" applyBorder="1" applyAlignment="1" applyProtection="1">
      <alignment horizontal="center" vertical="center" shrinkToFit="1"/>
    </xf>
    <xf numFmtId="181" fontId="31" fillId="12" borderId="4" xfId="0" applyNumberFormat="1" applyFont="1" applyFill="1" applyBorder="1" applyAlignment="1" applyProtection="1">
      <alignment horizontal="center" vertical="center" shrinkToFit="1"/>
    </xf>
    <xf numFmtId="178" fontId="7" fillId="2" borderId="5" xfId="0" applyNumberFormat="1" applyFont="1" applyFill="1" applyBorder="1" applyAlignment="1" applyProtection="1">
      <alignment horizontal="right" vertical="center"/>
      <protection locked="0"/>
    </xf>
    <xf numFmtId="49" fontId="7" fillId="2" borderId="0" xfId="0" applyNumberFormat="1" applyFont="1" applyFill="1" applyBorder="1" applyAlignment="1" applyProtection="1">
      <alignment horizontal="left" vertical="center"/>
      <protection locked="0"/>
    </xf>
    <xf numFmtId="38" fontId="7" fillId="4" borderId="219" xfId="13" applyFont="1" applyFill="1" applyBorder="1" applyAlignment="1" applyProtection="1">
      <alignment vertical="center"/>
      <protection locked="0"/>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43" fillId="8" borderId="0" xfId="0" applyFont="1" applyFill="1" applyAlignment="1">
      <alignment vertical="center"/>
    </xf>
    <xf numFmtId="0" fontId="43" fillId="11" borderId="0" xfId="0" applyFont="1" applyFill="1" applyAlignment="1">
      <alignment vertical="center"/>
    </xf>
    <xf numFmtId="0" fontId="43" fillId="10" borderId="0" xfId="0" applyFont="1" applyFill="1" applyAlignment="1">
      <alignment vertical="center"/>
    </xf>
    <xf numFmtId="0" fontId="43" fillId="8" borderId="79" xfId="0" applyFont="1" applyFill="1" applyBorder="1" applyAlignment="1">
      <alignment vertical="center"/>
    </xf>
    <xf numFmtId="0" fontId="43" fillId="8" borderId="0" xfId="0" applyFont="1" applyFill="1" applyAlignment="1">
      <alignment horizontal="center" vertical="center" wrapText="1" shrinkToFit="1"/>
    </xf>
    <xf numFmtId="0" fontId="43" fillId="8" borderId="0" xfId="0" applyFont="1" applyFill="1" applyAlignment="1">
      <alignment horizontal="right" vertical="center" shrinkToFit="1"/>
    </xf>
    <xf numFmtId="0" fontId="43" fillId="8" borderId="79" xfId="0" applyFont="1" applyFill="1" applyBorder="1" applyAlignment="1">
      <alignment vertical="center" shrinkToFit="1"/>
    </xf>
    <xf numFmtId="0" fontId="42" fillId="8" borderId="79" xfId="0" applyFont="1" applyFill="1" applyBorder="1" applyAlignment="1">
      <alignment vertical="center"/>
    </xf>
    <xf numFmtId="0" fontId="42" fillId="8" borderId="79" xfId="0" quotePrefix="1" applyFont="1" applyFill="1" applyBorder="1" applyAlignment="1">
      <alignment vertical="center"/>
    </xf>
    <xf numFmtId="0" fontId="43" fillId="10" borderId="79" xfId="0" applyFont="1" applyFill="1" applyBorder="1" applyAlignment="1">
      <alignment vertical="center"/>
    </xf>
    <xf numFmtId="0" fontId="0" fillId="0" borderId="0" xfId="0" applyAlignment="1">
      <alignment vertical="center"/>
    </xf>
    <xf numFmtId="0" fontId="69" fillId="0" borderId="0" xfId="7" applyFont="1">
      <alignment vertical="center"/>
    </xf>
    <xf numFmtId="0" fontId="65" fillId="6" borderId="0" xfId="7" applyFont="1" applyFill="1">
      <alignment vertical="center"/>
    </xf>
    <xf numFmtId="0" fontId="68" fillId="6" borderId="0" xfId="7" applyFont="1" applyFill="1">
      <alignment vertical="center"/>
    </xf>
    <xf numFmtId="0" fontId="70" fillId="6" borderId="0" xfId="7" applyFont="1" applyFill="1" applyAlignment="1">
      <alignment horizontal="left" vertical="center"/>
    </xf>
    <xf numFmtId="0" fontId="64" fillId="0" borderId="0" xfId="7" applyFont="1">
      <alignment vertical="center"/>
    </xf>
    <xf numFmtId="0" fontId="64" fillId="0" borderId="0" xfId="7" applyFont="1" applyAlignment="1">
      <alignment vertical="center" wrapText="1"/>
    </xf>
    <xf numFmtId="0" fontId="71" fillId="0" borderId="0" xfId="7" applyFont="1">
      <alignment vertical="center"/>
    </xf>
    <xf numFmtId="0" fontId="70" fillId="6" borderId="0" xfId="7" applyFont="1" applyFill="1">
      <alignment vertical="center"/>
    </xf>
    <xf numFmtId="0" fontId="62" fillId="7" borderId="0" xfId="7" applyFont="1" applyFill="1">
      <alignment vertical="center"/>
    </xf>
    <xf numFmtId="0" fontId="62" fillId="7" borderId="0" xfId="7" applyFont="1" applyFill="1" applyProtection="1">
      <alignment vertical="center"/>
    </xf>
    <xf numFmtId="0" fontId="69" fillId="7" borderId="0" xfId="7" applyFont="1" applyFill="1" applyProtection="1">
      <alignment vertical="center"/>
    </xf>
    <xf numFmtId="0" fontId="69" fillId="7" borderId="0" xfId="7" applyFont="1" applyFill="1" applyAlignment="1" applyProtection="1">
      <alignment vertical="center" wrapText="1"/>
    </xf>
    <xf numFmtId="0" fontId="77" fillId="0" borderId="0" xfId="7" applyFont="1" applyProtection="1">
      <alignment vertical="center"/>
    </xf>
    <xf numFmtId="0" fontId="69" fillId="0" borderId="0" xfId="7" applyFont="1" applyProtection="1">
      <alignment vertical="center"/>
    </xf>
    <xf numFmtId="0" fontId="69" fillId="7" borderId="0" xfId="7" applyFont="1" applyFill="1">
      <alignment vertical="center"/>
    </xf>
    <xf numFmtId="0" fontId="78" fillId="7" borderId="0" xfId="7" applyFont="1" applyFill="1">
      <alignment vertical="center"/>
    </xf>
    <xf numFmtId="0" fontId="78" fillId="7" borderId="0" xfId="7" applyFont="1" applyFill="1" applyAlignment="1">
      <alignment vertical="center" wrapText="1"/>
    </xf>
    <xf numFmtId="0" fontId="69" fillId="0" borderId="0" xfId="7" applyFont="1" applyAlignment="1" applyProtection="1">
      <alignment vertical="center" wrapText="1"/>
    </xf>
    <xf numFmtId="0" fontId="64" fillId="0" borderId="0" xfId="7" applyFont="1" applyProtection="1">
      <alignment vertical="center"/>
      <protection locked="0"/>
    </xf>
    <xf numFmtId="0" fontId="64" fillId="0" borderId="24" xfId="7" applyFont="1" applyBorder="1" applyProtection="1">
      <alignment vertical="center"/>
      <protection locked="0"/>
    </xf>
    <xf numFmtId="0" fontId="69" fillId="9" borderId="0" xfId="7" applyFont="1" applyFill="1">
      <alignment vertical="center"/>
    </xf>
    <xf numFmtId="0" fontId="80" fillId="0" borderId="0" xfId="7" applyFont="1">
      <alignment vertical="center"/>
    </xf>
    <xf numFmtId="0" fontId="65" fillId="4" borderId="0" xfId="7" applyFont="1" applyFill="1">
      <alignment vertical="center"/>
    </xf>
    <xf numFmtId="0" fontId="65" fillId="0" borderId="30" xfId="7" applyFont="1" applyBorder="1">
      <alignment vertical="center"/>
    </xf>
    <xf numFmtId="0" fontId="65" fillId="0" borderId="8" xfId="7" applyFont="1" applyBorder="1">
      <alignment vertical="center"/>
    </xf>
    <xf numFmtId="0" fontId="65" fillId="0" borderId="36" xfId="7" applyFont="1" applyBorder="1">
      <alignment vertical="center"/>
    </xf>
    <xf numFmtId="0" fontId="64" fillId="9" borderId="0" xfId="7" applyFont="1" applyFill="1">
      <alignment vertical="center"/>
    </xf>
    <xf numFmtId="0" fontId="64" fillId="0" borderId="4" xfId="7" applyFont="1" applyBorder="1" applyAlignment="1">
      <alignment horizontal="center" vertical="center"/>
    </xf>
    <xf numFmtId="0" fontId="64" fillId="0" borderId="28" xfId="7" applyFont="1" applyBorder="1">
      <alignment vertical="center"/>
    </xf>
    <xf numFmtId="0" fontId="64" fillId="0" borderId="5" xfId="7" applyFont="1" applyBorder="1" applyAlignment="1">
      <alignment vertical="center" wrapText="1"/>
    </xf>
    <xf numFmtId="0" fontId="64" fillId="0" borderId="5" xfId="7" applyFont="1" applyBorder="1">
      <alignment vertical="center"/>
    </xf>
    <xf numFmtId="0" fontId="64" fillId="0" borderId="4" xfId="7" applyFont="1" applyBorder="1">
      <alignment vertical="center"/>
    </xf>
    <xf numFmtId="0" fontId="64" fillId="0" borderId="190" xfId="7" applyFont="1" applyBorder="1">
      <alignment vertical="center"/>
    </xf>
    <xf numFmtId="0" fontId="64" fillId="0" borderId="109" xfId="7" applyFont="1" applyBorder="1">
      <alignment vertical="center"/>
    </xf>
    <xf numFmtId="0" fontId="75" fillId="0" borderId="4" xfId="7" applyFont="1" applyBorder="1" applyAlignment="1">
      <alignment vertical="center" shrinkToFit="1"/>
    </xf>
    <xf numFmtId="0" fontId="75" fillId="0" borderId="105" xfId="7" applyFont="1" applyBorder="1">
      <alignment vertical="center"/>
    </xf>
    <xf numFmtId="0" fontId="75" fillId="0" borderId="29" xfId="7" applyFont="1" applyBorder="1">
      <alignment vertical="center"/>
    </xf>
    <xf numFmtId="0" fontId="75" fillId="0" borderId="4" xfId="7" applyFont="1" applyBorder="1">
      <alignment vertical="center"/>
    </xf>
    <xf numFmtId="0" fontId="75" fillId="0" borderId="0" xfId="7" applyFont="1">
      <alignment vertical="center"/>
    </xf>
    <xf numFmtId="0" fontId="64" fillId="0" borderId="4" xfId="7" applyFont="1" applyBorder="1" applyAlignment="1">
      <alignment vertical="center" shrinkToFit="1"/>
    </xf>
    <xf numFmtId="0" fontId="64" fillId="0" borderId="105" xfId="7" applyFont="1" applyBorder="1">
      <alignment vertical="center"/>
    </xf>
    <xf numFmtId="0" fontId="64" fillId="0" borderId="29" xfId="7" applyFont="1" applyBorder="1">
      <alignment vertical="center"/>
    </xf>
    <xf numFmtId="0" fontId="64" fillId="0" borderId="117" xfId="7" applyFont="1" applyBorder="1" applyAlignment="1">
      <alignment vertical="center" shrinkToFit="1"/>
    </xf>
    <xf numFmtId="0" fontId="64" fillId="0" borderId="102" xfId="7" applyFont="1" applyBorder="1">
      <alignment vertical="center"/>
    </xf>
    <xf numFmtId="0" fontId="64" fillId="0" borderId="101" xfId="7" applyFont="1" applyBorder="1">
      <alignment vertical="center"/>
    </xf>
    <xf numFmtId="0" fontId="64" fillId="0" borderId="117" xfId="7" applyFont="1" applyBorder="1">
      <alignment vertical="center"/>
    </xf>
    <xf numFmtId="0" fontId="68" fillId="0" borderId="0" xfId="0" applyFont="1" applyAlignment="1">
      <alignment vertical="center"/>
    </xf>
    <xf numFmtId="14" fontId="69" fillId="0" borderId="0" xfId="0" applyNumberFormat="1" applyFont="1" applyAlignment="1">
      <alignment vertical="center"/>
    </xf>
    <xf numFmtId="0" fontId="69" fillId="0" borderId="0" xfId="0" applyFont="1" applyAlignment="1">
      <alignment vertical="center"/>
    </xf>
    <xf numFmtId="0" fontId="70" fillId="0" borderId="0" xfId="0" applyFont="1"/>
    <xf numFmtId="0" fontId="71" fillId="0" borderId="0" xfId="0" applyFont="1"/>
    <xf numFmtId="0" fontId="59" fillId="9" borderId="0" xfId="0" applyFont="1" applyFill="1"/>
    <xf numFmtId="0" fontId="58" fillId="6" borderId="0" xfId="1" applyFont="1" applyFill="1" applyAlignment="1" applyProtection="1">
      <alignment horizontal="left" vertical="center"/>
    </xf>
    <xf numFmtId="0" fontId="72" fillId="6" borderId="0" xfId="1" applyFont="1" applyFill="1" applyAlignment="1" applyProtection="1">
      <alignment vertical="center"/>
    </xf>
    <xf numFmtId="0" fontId="61" fillId="6" borderId="0" xfId="0" applyFont="1" applyFill="1"/>
    <xf numFmtId="0" fontId="73" fillId="6" borderId="0" xfId="1" applyFont="1" applyFill="1" applyAlignment="1" applyProtection="1">
      <alignment horizontal="center" vertical="center"/>
    </xf>
    <xf numFmtId="0" fontId="70" fillId="6" borderId="0" xfId="0" applyFont="1" applyFill="1"/>
    <xf numFmtId="0" fontId="74" fillId="0" borderId="0" xfId="1" applyFont="1" applyAlignment="1" applyProtection="1">
      <alignment vertical="center"/>
    </xf>
    <xf numFmtId="0" fontId="72" fillId="6" borderId="0" xfId="1" applyFont="1" applyFill="1" applyBorder="1" applyAlignment="1" applyProtection="1">
      <alignment horizontal="left" vertical="center"/>
    </xf>
    <xf numFmtId="0" fontId="70" fillId="6" borderId="0" xfId="0" applyFont="1" applyFill="1" applyAlignment="1">
      <alignment horizontal="right"/>
    </xf>
    <xf numFmtId="0" fontId="75" fillId="0" borderId="83" xfId="0" applyFont="1" applyBorder="1" applyAlignment="1" applyProtection="1">
      <alignment horizontal="left" vertical="center"/>
    </xf>
    <xf numFmtId="0" fontId="75" fillId="0" borderId="5" xfId="0" applyFont="1" applyBorder="1" applyAlignment="1" applyProtection="1">
      <alignment horizontal="left" vertical="center"/>
    </xf>
    <xf numFmtId="0" fontId="75" fillId="0" borderId="84" xfId="0" applyFont="1" applyBorder="1" applyAlignment="1" applyProtection="1">
      <alignment horizontal="left" vertical="center"/>
    </xf>
    <xf numFmtId="0" fontId="79" fillId="0" borderId="0" xfId="0" applyFont="1" applyAlignment="1" applyProtection="1">
      <alignment vertical="center"/>
    </xf>
    <xf numFmtId="0" fontId="70" fillId="13" borderId="89" xfId="0" applyFont="1" applyFill="1" applyBorder="1" applyAlignment="1" applyProtection="1">
      <alignment horizontal="center" vertical="center" wrapText="1"/>
      <protection locked="0"/>
    </xf>
    <xf numFmtId="0" fontId="64" fillId="14" borderId="90" xfId="0" applyFont="1" applyFill="1" applyBorder="1" applyAlignment="1" applyProtection="1">
      <alignment horizontal="right" vertical="center"/>
      <protection locked="0"/>
    </xf>
    <xf numFmtId="0" fontId="64" fillId="0" borderId="88" xfId="0" applyFont="1" applyBorder="1" applyAlignment="1" applyProtection="1">
      <alignment horizontal="left" vertical="center" wrapText="1"/>
      <protection locked="0"/>
    </xf>
    <xf numFmtId="0" fontId="64" fillId="0" borderId="91" xfId="0" applyFont="1" applyBorder="1" applyAlignment="1" applyProtection="1">
      <alignment vertical="center" wrapText="1"/>
      <protection locked="0"/>
    </xf>
    <xf numFmtId="0" fontId="59" fillId="14" borderId="92" xfId="0" applyFont="1" applyFill="1" applyBorder="1" applyAlignment="1" applyProtection="1">
      <alignment horizontal="center" vertical="center" wrapText="1"/>
      <protection locked="0"/>
    </xf>
    <xf numFmtId="0" fontId="64" fillId="0" borderId="86"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93" xfId="0" applyFont="1" applyBorder="1" applyAlignment="1" applyProtection="1">
      <alignment vertical="center" wrapText="1"/>
      <protection locked="0"/>
    </xf>
    <xf numFmtId="0" fontId="64" fillId="0" borderId="94" xfId="0" applyFont="1" applyBorder="1" applyAlignment="1" applyProtection="1">
      <alignment horizontal="center" vertical="center"/>
      <protection locked="0"/>
    </xf>
    <xf numFmtId="0" fontId="64" fillId="0" borderId="95" xfId="0" applyFont="1" applyBorder="1" applyAlignment="1" applyProtection="1">
      <alignment horizontal="center" vertical="center"/>
      <protection locked="0"/>
    </xf>
    <xf numFmtId="0" fontId="64" fillId="0" borderId="96"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80" fillId="0" borderId="89" xfId="0" applyFont="1" applyFill="1" applyBorder="1" applyAlignment="1" applyProtection="1">
      <alignment vertical="center" wrapText="1"/>
      <protection locked="0"/>
    </xf>
    <xf numFmtId="0" fontId="80" fillId="0" borderId="94" xfId="0" applyFont="1" applyFill="1" applyBorder="1" applyAlignment="1" applyProtection="1">
      <alignment vertical="top" wrapText="1"/>
      <protection locked="0"/>
    </xf>
    <xf numFmtId="0" fontId="80" fillId="0" borderId="90" xfId="0" applyFont="1" applyFill="1" applyBorder="1" applyAlignment="1" applyProtection="1">
      <alignment vertical="top" wrapText="1"/>
      <protection locked="0"/>
    </xf>
    <xf numFmtId="0" fontId="80" fillId="0" borderId="95" xfId="0" applyFont="1" applyFill="1" applyBorder="1" applyAlignment="1" applyProtection="1">
      <alignment vertical="top" wrapText="1"/>
      <protection locked="0"/>
    </xf>
    <xf numFmtId="0" fontId="61" fillId="0" borderId="99" xfId="0" applyFont="1" applyBorder="1" applyAlignment="1">
      <alignment horizontal="center" vertical="center" wrapText="1"/>
    </xf>
    <xf numFmtId="0" fontId="61" fillId="0" borderId="102" xfId="0" applyFont="1" applyBorder="1" applyAlignment="1">
      <alignment horizontal="center" vertical="center" wrapText="1"/>
    </xf>
    <xf numFmtId="0" fontId="64" fillId="0" borderId="103" xfId="0" applyFont="1" applyBorder="1" applyAlignment="1" applyProtection="1">
      <alignment vertical="center"/>
      <protection locked="0"/>
    </xf>
    <xf numFmtId="0" fontId="64" fillId="14" borderId="33" xfId="0" applyFont="1" applyFill="1" applyBorder="1" applyAlignment="1" applyProtection="1">
      <alignment horizontal="left" vertical="center"/>
      <protection locked="0"/>
    </xf>
    <xf numFmtId="0" fontId="64" fillId="14" borderId="34" xfId="0" applyFont="1" applyFill="1" applyBorder="1" applyAlignment="1" applyProtection="1">
      <alignment horizontal="left" vertical="center"/>
      <protection locked="0"/>
    </xf>
    <xf numFmtId="0" fontId="64" fillId="0" borderId="104" xfId="0" applyFont="1" applyBorder="1" applyAlignment="1" applyProtection="1">
      <alignment vertical="center"/>
      <protection locked="0"/>
    </xf>
    <xf numFmtId="0" fontId="64" fillId="14" borderId="105" xfId="0" applyFont="1" applyFill="1" applyBorder="1" applyAlignment="1" applyProtection="1">
      <alignment horizontal="center" vertical="center"/>
      <protection locked="0"/>
    </xf>
    <xf numFmtId="0" fontId="64" fillId="14" borderId="105" xfId="0" applyFont="1" applyFill="1" applyBorder="1" applyAlignment="1" applyProtection="1">
      <alignment vertical="center"/>
      <protection locked="0"/>
    </xf>
    <xf numFmtId="0" fontId="64" fillId="0" borderId="29" xfId="0" applyFont="1" applyBorder="1" applyAlignment="1" applyProtection="1">
      <alignment vertical="center"/>
      <protection locked="0"/>
    </xf>
    <xf numFmtId="0" fontId="64" fillId="14" borderId="28" xfId="0" applyFont="1" applyFill="1" applyBorder="1" applyAlignment="1" applyProtection="1">
      <alignment horizontal="center" vertical="center" shrinkToFit="1"/>
      <protection locked="0"/>
    </xf>
    <xf numFmtId="0" fontId="64" fillId="14" borderId="105" xfId="0" applyFont="1" applyFill="1" applyBorder="1" applyAlignment="1" applyProtection="1">
      <alignment horizontal="center" vertical="center" shrinkToFit="1"/>
      <protection locked="0"/>
    </xf>
    <xf numFmtId="0" fontId="64" fillId="8" borderId="106" xfId="0" applyFont="1" applyFill="1" applyBorder="1" applyAlignment="1" applyProtection="1">
      <alignment horizontal="center" vertical="center"/>
      <protection locked="0"/>
    </xf>
    <xf numFmtId="0" fontId="64" fillId="0" borderId="107" xfId="0" applyFont="1" applyBorder="1" applyAlignment="1" applyProtection="1">
      <alignment vertical="center"/>
      <protection locked="0"/>
    </xf>
    <xf numFmtId="0" fontId="64" fillId="0" borderId="108" xfId="0" applyFont="1" applyFill="1" applyBorder="1" applyAlignment="1" applyProtection="1">
      <alignment vertical="center"/>
      <protection locked="0"/>
    </xf>
    <xf numFmtId="176" fontId="64" fillId="0" borderId="109" xfId="0" applyNumberFormat="1" applyFont="1" applyFill="1" applyBorder="1" applyAlignment="1" applyProtection="1">
      <alignment vertical="center" shrinkToFit="1"/>
      <protection locked="0"/>
    </xf>
    <xf numFmtId="0" fontId="64" fillId="0" borderId="109" xfId="0" applyFont="1" applyFill="1" applyBorder="1" applyAlignment="1" applyProtection="1">
      <alignment vertical="center"/>
      <protection locked="0"/>
    </xf>
    <xf numFmtId="0" fontId="64" fillId="0" borderId="110" xfId="0" applyFont="1" applyFill="1" applyBorder="1" applyAlignment="1" applyProtection="1">
      <alignment vertical="center"/>
      <protection locked="0"/>
    </xf>
    <xf numFmtId="0" fontId="64" fillId="0" borderId="132" xfId="0" applyFont="1" applyFill="1" applyBorder="1" applyAlignment="1" applyProtection="1">
      <alignment vertical="center"/>
      <protection locked="0"/>
    </xf>
    <xf numFmtId="0" fontId="61" fillId="0" borderId="111" xfId="0" applyFont="1" applyBorder="1" applyAlignment="1">
      <alignment vertical="center"/>
    </xf>
    <xf numFmtId="0" fontId="64" fillId="0" borderId="104" xfId="0" applyFont="1" applyBorder="1" applyAlignment="1" applyProtection="1">
      <alignment horizontal="left" vertical="center"/>
      <protection locked="0"/>
    </xf>
    <xf numFmtId="0" fontId="64" fillId="0" borderId="28" xfId="0" applyFont="1" applyBorder="1" applyAlignment="1" applyProtection="1">
      <alignment horizontal="right" vertical="center"/>
      <protection locked="0"/>
    </xf>
    <xf numFmtId="0" fontId="64" fillId="14" borderId="5" xfId="0" applyFont="1" applyFill="1" applyBorder="1" applyAlignment="1" applyProtection="1">
      <alignment horizontal="left" vertical="center"/>
      <protection locked="0"/>
    </xf>
    <xf numFmtId="0" fontId="64" fillId="0" borderId="5" xfId="0" applyFont="1" applyBorder="1" applyAlignment="1" applyProtection="1">
      <alignment horizontal="right" vertical="center"/>
      <protection locked="0"/>
    </xf>
    <xf numFmtId="0" fontId="64" fillId="14" borderId="84" xfId="0" applyFont="1" applyFill="1" applyBorder="1" applyAlignment="1" applyProtection="1">
      <alignment horizontal="left" vertical="center"/>
      <protection locked="0"/>
    </xf>
    <xf numFmtId="0" fontId="64" fillId="14" borderId="106" xfId="0" applyFont="1" applyFill="1" applyBorder="1" applyAlignment="1" applyProtection="1">
      <alignment horizontal="center" vertical="center"/>
      <protection locked="0"/>
    </xf>
    <xf numFmtId="49" fontId="64" fillId="14" borderId="106" xfId="0" applyNumberFormat="1" applyFont="1" applyFill="1" applyBorder="1" applyAlignment="1" applyProtection="1">
      <alignment horizontal="center" vertical="center"/>
      <protection locked="0"/>
    </xf>
    <xf numFmtId="0" fontId="64" fillId="14" borderId="104" xfId="0" applyFont="1" applyFill="1" applyBorder="1" applyAlignment="1" applyProtection="1">
      <alignment vertical="center"/>
      <protection locked="0"/>
    </xf>
    <xf numFmtId="0" fontId="64" fillId="14" borderId="4" xfId="0" applyFont="1" applyFill="1" applyBorder="1" applyAlignment="1" applyProtection="1">
      <alignment vertical="center"/>
      <protection locked="0"/>
    </xf>
    <xf numFmtId="0" fontId="64" fillId="14" borderId="28" xfId="0" applyFont="1" applyFill="1" applyBorder="1" applyAlignment="1" applyProtection="1">
      <alignment vertical="center"/>
      <protection locked="0"/>
    </xf>
    <xf numFmtId="0" fontId="61" fillId="0" borderId="83" xfId="0" applyFont="1" applyBorder="1" applyAlignment="1">
      <alignment vertical="center"/>
    </xf>
    <xf numFmtId="0" fontId="64" fillId="0" borderId="99" xfId="0" applyFont="1" applyBorder="1" applyAlignment="1" applyProtection="1">
      <alignment vertical="center"/>
      <protection locked="0"/>
    </xf>
    <xf numFmtId="0" fontId="64" fillId="0" borderId="100" xfId="0" applyFont="1" applyBorder="1" applyAlignment="1" applyProtection="1">
      <alignment vertical="center"/>
      <protection locked="0"/>
    </xf>
    <xf numFmtId="0" fontId="64" fillId="0" borderId="100" xfId="0" applyFont="1" applyBorder="1" applyAlignment="1" applyProtection="1">
      <alignment horizontal="left" vertical="center"/>
      <protection locked="0"/>
    </xf>
    <xf numFmtId="0" fontId="64" fillId="14" borderId="100" xfId="0" applyFont="1" applyFill="1" applyBorder="1" applyAlignment="1" applyProtection="1">
      <alignment horizontal="left" vertical="center"/>
      <protection locked="0"/>
    </xf>
    <xf numFmtId="0" fontId="64" fillId="14" borderId="113" xfId="0" applyFont="1" applyFill="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4" borderId="102" xfId="0" applyFont="1" applyFill="1" applyBorder="1" applyAlignment="1" applyProtection="1">
      <alignment horizontal="center" vertical="center"/>
      <protection locked="0"/>
    </xf>
    <xf numFmtId="0" fontId="64" fillId="0" borderId="115"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0" borderId="101" xfId="0" applyFont="1" applyBorder="1" applyAlignment="1" applyProtection="1">
      <alignment vertical="center"/>
      <protection locked="0"/>
    </xf>
    <xf numFmtId="176" fontId="64" fillId="14" borderId="117" xfId="0" applyNumberFormat="1" applyFont="1" applyFill="1" applyBorder="1" applyAlignment="1" applyProtection="1">
      <alignment vertical="center" shrinkToFit="1"/>
      <protection locked="0"/>
    </xf>
    <xf numFmtId="176" fontId="64" fillId="14" borderId="102" xfId="0" applyNumberFormat="1" applyFont="1" applyFill="1" applyBorder="1" applyAlignment="1" applyProtection="1">
      <alignment vertical="center" shrinkToFit="1"/>
      <protection locked="0"/>
    </xf>
    <xf numFmtId="0" fontId="64" fillId="8" borderId="98" xfId="0" applyFont="1" applyFill="1" applyBorder="1" applyAlignment="1" applyProtection="1">
      <alignment horizontal="center" vertical="center"/>
      <protection locked="0"/>
    </xf>
    <xf numFmtId="0" fontId="64" fillId="0" borderId="98" xfId="0" applyFont="1" applyBorder="1" applyAlignment="1" applyProtection="1">
      <alignment vertical="center"/>
      <protection locked="0"/>
    </xf>
    <xf numFmtId="0" fontId="64" fillId="0" borderId="115" xfId="0" applyFont="1" applyFill="1" applyBorder="1" applyAlignment="1" applyProtection="1">
      <alignment horizontal="center" vertical="center" shrinkToFit="1"/>
      <protection locked="0"/>
    </xf>
    <xf numFmtId="0" fontId="64" fillId="0" borderId="118" xfId="0" applyFont="1" applyFill="1" applyBorder="1" applyAlignment="1" applyProtection="1">
      <alignment vertical="center"/>
      <protection locked="0"/>
    </xf>
    <xf numFmtId="0" fontId="64" fillId="0" borderId="119" xfId="0" applyFont="1" applyFill="1" applyBorder="1" applyAlignment="1" applyProtection="1">
      <alignment vertical="center"/>
      <protection locked="0"/>
    </xf>
    <xf numFmtId="0" fontId="64" fillId="0" borderId="116" xfId="0" applyFont="1" applyFill="1" applyBorder="1" applyAlignment="1" applyProtection="1">
      <alignment vertical="center"/>
      <protection locked="0"/>
    </xf>
    <xf numFmtId="0" fontId="64" fillId="0" borderId="0" xfId="0" applyFont="1" applyAlignment="1" applyProtection="1">
      <alignment vertical="center"/>
      <protection locked="0"/>
    </xf>
    <xf numFmtId="0" fontId="75" fillId="0" borderId="97" xfId="0" applyFont="1" applyBorder="1" applyAlignment="1" applyProtection="1">
      <alignment vertical="center"/>
      <protection locked="0"/>
    </xf>
    <xf numFmtId="0" fontId="75" fillId="0" borderId="0" xfId="0" applyFont="1" applyAlignment="1" applyProtection="1">
      <alignment vertical="center"/>
      <protection locked="0"/>
    </xf>
    <xf numFmtId="0" fontId="75" fillId="0" borderId="95" xfId="0" applyFont="1" applyBorder="1" applyAlignment="1" applyProtection="1">
      <alignment horizontal="center" vertical="center"/>
      <protection locked="0"/>
    </xf>
    <xf numFmtId="0" fontId="75" fillId="0" borderId="82" xfId="0" applyFont="1" applyBorder="1" applyAlignment="1" applyProtection="1">
      <alignment vertical="center"/>
      <protection locked="0"/>
    </xf>
    <xf numFmtId="0" fontId="75" fillId="0" borderId="111" xfId="0" applyFont="1" applyBorder="1" applyAlignment="1" applyProtection="1">
      <alignment vertical="center"/>
      <protection locked="0"/>
    </xf>
    <xf numFmtId="0" fontId="75" fillId="0" borderId="34" xfId="0" applyFont="1" applyBorder="1" applyAlignment="1" applyProtection="1">
      <alignment vertical="center"/>
      <protection locked="0"/>
    </xf>
    <xf numFmtId="0" fontId="75" fillId="0" borderId="88" xfId="0" applyFont="1" applyBorder="1" applyAlignment="1" applyProtection="1">
      <alignment vertical="center"/>
      <protection locked="0"/>
    </xf>
    <xf numFmtId="0" fontId="75" fillId="0" borderId="86" xfId="0" applyFont="1" applyBorder="1" applyAlignment="1" applyProtection="1">
      <alignment vertical="center"/>
      <protection locked="0"/>
    </xf>
    <xf numFmtId="0" fontId="75" fillId="0" borderId="87" xfId="0" applyFont="1" applyBorder="1" applyAlignment="1" applyProtection="1">
      <alignment vertical="center"/>
      <protection locked="0"/>
    </xf>
    <xf numFmtId="0" fontId="75" fillId="0" borderId="87" xfId="0" applyFont="1" applyBorder="1" applyAlignment="1" applyProtection="1">
      <alignment vertical="center" shrinkToFit="1"/>
      <protection locked="0"/>
    </xf>
    <xf numFmtId="0" fontId="75" fillId="14" borderId="88" xfId="0" applyFont="1" applyFill="1" applyBorder="1" applyAlignment="1" applyProtection="1">
      <alignment vertical="center"/>
      <protection locked="0"/>
    </xf>
    <xf numFmtId="0" fontId="75" fillId="0" borderId="23" xfId="0" applyFont="1" applyBorder="1" applyAlignment="1" applyProtection="1">
      <alignment vertical="center"/>
      <protection locked="0"/>
    </xf>
    <xf numFmtId="0" fontId="75" fillId="0" borderId="105" xfId="0" applyFont="1" applyBorder="1" applyAlignment="1" applyProtection="1">
      <alignment horizontal="center" vertical="center"/>
      <protection locked="0"/>
    </xf>
    <xf numFmtId="0" fontId="75" fillId="0" borderId="122" xfId="0" applyFont="1" applyBorder="1" applyAlignment="1" applyProtection="1">
      <alignment vertical="center"/>
      <protection locked="0"/>
    </xf>
    <xf numFmtId="0" fontId="75" fillId="0" borderId="111" xfId="0" applyFont="1" applyBorder="1" applyAlignment="1" applyProtection="1">
      <alignment horizontal="left" vertical="center"/>
      <protection locked="0"/>
    </xf>
    <xf numFmtId="0" fontId="75" fillId="0" borderId="122" xfId="0" applyFont="1" applyBorder="1" applyAlignment="1" applyProtection="1">
      <alignment horizontal="center" vertical="center" shrinkToFit="1"/>
      <protection locked="0"/>
    </xf>
    <xf numFmtId="0" fontId="75" fillId="0" borderId="83" xfId="0" applyFont="1" applyBorder="1" applyAlignment="1" applyProtection="1">
      <alignment horizontal="left" vertical="center"/>
      <protection locked="0"/>
    </xf>
    <xf numFmtId="0" fontId="75" fillId="14" borderId="5" xfId="0" applyFont="1" applyFill="1" applyBorder="1" applyAlignment="1" applyProtection="1">
      <alignment horizontal="left" vertical="center"/>
      <protection locked="0"/>
    </xf>
    <xf numFmtId="0" fontId="75" fillId="14" borderId="84" xfId="0" applyFont="1" applyFill="1" applyBorder="1" applyAlignment="1" applyProtection="1">
      <alignment horizontal="left" vertical="center"/>
      <protection locked="0"/>
    </xf>
    <xf numFmtId="0" fontId="59" fillId="0" borderId="82" xfId="0" applyFont="1" applyBorder="1"/>
    <xf numFmtId="0" fontId="75" fillId="0" borderId="39" xfId="0" applyFont="1" applyBorder="1" applyAlignment="1" applyProtection="1">
      <alignment vertical="center"/>
      <protection locked="0"/>
    </xf>
    <xf numFmtId="0" fontId="75" fillId="0" borderId="112" xfId="0" applyFont="1" applyBorder="1" applyAlignment="1" applyProtection="1">
      <alignment horizontal="center" vertical="center"/>
      <protection locked="0"/>
    </xf>
    <xf numFmtId="0" fontId="75" fillId="0" borderId="104" xfId="0" applyFont="1" applyBorder="1" applyAlignment="1" applyProtection="1">
      <alignment horizontal="center" vertical="center" shrinkToFit="1"/>
      <protection locked="0"/>
    </xf>
    <xf numFmtId="0" fontId="75" fillId="0" borderId="105" xfId="0" applyFont="1" applyBorder="1" applyAlignment="1" applyProtection="1">
      <alignment horizontal="center" vertical="center" shrinkToFit="1"/>
      <protection locked="0"/>
    </xf>
    <xf numFmtId="0" fontId="75" fillId="0" borderId="0" xfId="0" applyFont="1" applyAlignment="1" applyProtection="1">
      <alignment horizontal="left" vertical="center"/>
      <protection locked="0"/>
    </xf>
    <xf numFmtId="0" fontId="75" fillId="14" borderId="34" xfId="0" applyFont="1" applyFill="1" applyBorder="1" applyAlignment="1" applyProtection="1">
      <alignment horizontal="left" vertical="center"/>
      <protection locked="0"/>
    </xf>
    <xf numFmtId="0" fontId="75" fillId="14" borderId="122" xfId="0" applyFont="1" applyFill="1" applyBorder="1" applyAlignment="1" applyProtection="1">
      <alignment horizontal="left" vertical="center"/>
      <protection locked="0"/>
    </xf>
    <xf numFmtId="0" fontId="59" fillId="0" borderId="123" xfId="0" applyFont="1" applyBorder="1"/>
    <xf numFmtId="0" fontId="75" fillId="0" borderId="24" xfId="0" applyFont="1" applyBorder="1" applyAlignment="1" applyProtection="1">
      <alignment vertical="center"/>
      <protection locked="0"/>
    </xf>
    <xf numFmtId="0" fontId="75" fillId="0" borderId="124" xfId="0" applyFont="1" applyBorder="1" applyAlignment="1" applyProtection="1">
      <alignment vertical="center"/>
      <protection locked="0"/>
    </xf>
    <xf numFmtId="0" fontId="75" fillId="0" borderId="121" xfId="0" applyFont="1" applyBorder="1" applyAlignment="1" applyProtection="1">
      <alignment horizontal="center" vertical="center"/>
      <protection locked="0"/>
    </xf>
    <xf numFmtId="0" fontId="75" fillId="0" borderId="125" xfId="0" applyFont="1" applyBorder="1" applyAlignment="1" applyProtection="1">
      <alignment horizontal="center" vertical="center" shrinkToFit="1"/>
      <protection locked="0"/>
    </xf>
    <xf numFmtId="0" fontId="75" fillId="0" borderId="126" xfId="0" applyFont="1" applyBorder="1" applyAlignment="1" applyProtection="1">
      <alignment horizontal="center" vertical="center" shrinkToFit="1"/>
      <protection locked="0"/>
    </xf>
    <xf numFmtId="0" fontId="75" fillId="0" borderId="114" xfId="0" applyFont="1" applyBorder="1" applyAlignment="1" applyProtection="1">
      <alignment horizontal="center" vertical="center" shrinkToFit="1"/>
      <protection locked="0"/>
    </xf>
    <xf numFmtId="0" fontId="75" fillId="0" borderId="102" xfId="0" applyFont="1" applyBorder="1" applyAlignment="1" applyProtection="1">
      <alignment horizontal="center" vertical="center" shrinkToFit="1"/>
      <protection locked="0"/>
    </xf>
    <xf numFmtId="0" fontId="75" fillId="0" borderId="125" xfId="0" applyFont="1" applyBorder="1" applyAlignment="1" applyProtection="1">
      <alignment horizontal="center" vertical="center"/>
      <protection locked="0"/>
    </xf>
    <xf numFmtId="0" fontId="75" fillId="0" borderId="70" xfId="0" applyFont="1" applyBorder="1" applyAlignment="1" applyProtection="1">
      <alignment horizontal="center" vertical="center" shrinkToFit="1"/>
      <protection locked="0"/>
    </xf>
    <xf numFmtId="0" fontId="75" fillId="0" borderId="127" xfId="0" applyFont="1" applyBorder="1" applyAlignment="1">
      <alignment horizontal="center" vertical="center"/>
    </xf>
    <xf numFmtId="0" fontId="75" fillId="0" borderId="75" xfId="0" applyFont="1" applyBorder="1" applyAlignment="1">
      <alignment horizontal="center" vertical="center" shrinkToFit="1"/>
    </xf>
    <xf numFmtId="0" fontId="75" fillId="0" borderId="128" xfId="0" applyFont="1" applyBorder="1" applyAlignment="1">
      <alignment horizontal="center" vertical="center" shrinkToFit="1"/>
    </xf>
    <xf numFmtId="0" fontId="75" fillId="0" borderId="129" xfId="0" applyFont="1" applyBorder="1" applyAlignment="1" applyProtection="1">
      <alignment vertical="center"/>
      <protection locked="0"/>
    </xf>
    <xf numFmtId="0" fontId="75" fillId="0" borderId="90" xfId="0" applyFont="1" applyBorder="1" applyAlignment="1" applyProtection="1">
      <alignment vertical="center"/>
      <protection locked="0"/>
    </xf>
    <xf numFmtId="0" fontId="75" fillId="0" borderId="93" xfId="0" applyFont="1" applyBorder="1" applyAlignment="1" applyProtection="1">
      <alignment vertical="center"/>
      <protection locked="0"/>
    </xf>
    <xf numFmtId="0" fontId="75" fillId="0" borderId="89" xfId="0" applyFont="1" applyBorder="1" applyAlignment="1" applyProtection="1">
      <alignment vertical="center"/>
      <protection locked="0"/>
    </xf>
    <xf numFmtId="0" fontId="75" fillId="0" borderId="95" xfId="0" applyFont="1" applyBorder="1" applyAlignment="1" applyProtection="1">
      <alignment vertical="center"/>
      <protection locked="0"/>
    </xf>
    <xf numFmtId="0" fontId="75" fillId="0" borderId="130" xfId="0" applyFont="1" applyBorder="1" applyAlignment="1" applyProtection="1">
      <alignment vertical="center"/>
      <protection locked="0"/>
    </xf>
    <xf numFmtId="0" fontId="75" fillId="0" borderId="131" xfId="0" applyFont="1" applyBorder="1" applyAlignment="1" applyProtection="1">
      <alignment vertical="center"/>
      <protection locked="0"/>
    </xf>
    <xf numFmtId="0" fontId="75" fillId="14" borderId="89" xfId="0" applyFont="1" applyFill="1" applyBorder="1" applyAlignment="1" applyProtection="1">
      <alignment vertical="center"/>
      <protection locked="0"/>
    </xf>
    <xf numFmtId="0" fontId="75" fillId="14" borderId="94" xfId="0" applyFont="1" applyFill="1" applyBorder="1" applyAlignment="1" applyProtection="1">
      <alignment vertical="center"/>
      <protection locked="0"/>
    </xf>
    <xf numFmtId="0" fontId="75" fillId="0" borderId="89" xfId="0" applyFont="1" applyBorder="1" applyAlignment="1">
      <alignment vertical="center"/>
    </xf>
    <xf numFmtId="0" fontId="75" fillId="0" borderId="94" xfId="0" applyFont="1" applyBorder="1" applyAlignment="1">
      <alignment vertical="center"/>
    </xf>
    <xf numFmtId="0" fontId="75" fillId="0" borderId="131" xfId="0" applyFont="1" applyBorder="1" applyAlignment="1">
      <alignment vertical="center"/>
    </xf>
    <xf numFmtId="0" fontId="75" fillId="0" borderId="127" xfId="0" applyFont="1" applyBorder="1" applyAlignment="1" applyProtection="1">
      <alignment vertical="center"/>
      <protection locked="0"/>
    </xf>
    <xf numFmtId="0" fontId="75" fillId="0" borderId="28" xfId="0"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29" xfId="0" applyFont="1" applyBorder="1" applyAlignment="1" applyProtection="1">
      <alignment vertical="center"/>
      <protection locked="0"/>
    </xf>
    <xf numFmtId="0" fontId="75" fillId="0" borderId="104" xfId="0" applyFont="1" applyBorder="1" applyAlignment="1" applyProtection="1">
      <alignment vertical="center"/>
      <protection locked="0"/>
    </xf>
    <xf numFmtId="0" fontId="75" fillId="0" borderId="105" xfId="0" applyFont="1" applyBorder="1" applyAlignment="1" applyProtection="1">
      <alignment vertical="center"/>
      <protection locked="0"/>
    </xf>
    <xf numFmtId="0" fontId="75" fillId="0" borderId="108" xfId="0" applyFont="1" applyBorder="1" applyAlignment="1" applyProtection="1">
      <alignment vertical="center"/>
      <protection locked="0"/>
    </xf>
    <xf numFmtId="0" fontId="75" fillId="0" borderId="132" xfId="0" applyFont="1" applyBorder="1" applyAlignment="1" applyProtection="1">
      <alignment vertical="center"/>
      <protection locked="0"/>
    </xf>
    <xf numFmtId="0" fontId="75" fillId="14" borderId="104" xfId="0" applyFont="1" applyFill="1" applyBorder="1" applyAlignment="1" applyProtection="1">
      <alignment vertical="center"/>
      <protection locked="0"/>
    </xf>
    <xf numFmtId="0" fontId="75" fillId="14" borderId="4" xfId="0" applyFont="1" applyFill="1" applyBorder="1" applyAlignment="1" applyProtection="1">
      <alignment vertical="center"/>
      <protection locked="0"/>
    </xf>
    <xf numFmtId="0" fontId="75" fillId="0" borderId="104" xfId="0" applyFont="1" applyBorder="1" applyAlignment="1">
      <alignment vertical="center"/>
    </xf>
    <xf numFmtId="0" fontId="75" fillId="0" borderId="4" xfId="0" applyFont="1" applyBorder="1" applyAlignment="1">
      <alignment vertical="center"/>
    </xf>
    <xf numFmtId="0" fontId="75" fillId="0" borderId="132" xfId="0" applyFont="1" applyBorder="1" applyAlignment="1">
      <alignment vertical="center"/>
    </xf>
    <xf numFmtId="0" fontId="75" fillId="14" borderId="105" xfId="0" applyFont="1" applyFill="1" applyBorder="1" applyAlignment="1" applyProtection="1">
      <alignment vertical="center"/>
      <protection locked="0"/>
    </xf>
    <xf numFmtId="185" fontId="75" fillId="0" borderId="104" xfId="0" applyNumberFormat="1" applyFont="1" applyBorder="1" applyAlignment="1" applyProtection="1">
      <alignment vertical="center"/>
      <protection locked="0"/>
    </xf>
    <xf numFmtId="0" fontId="75" fillId="0" borderId="70" xfId="0" applyFont="1" applyBorder="1" applyAlignment="1" applyProtection="1">
      <alignment vertical="center"/>
      <protection locked="0"/>
    </xf>
    <xf numFmtId="0" fontId="75" fillId="0" borderId="77" xfId="0" applyFont="1" applyBorder="1" applyAlignment="1" applyProtection="1">
      <alignment vertical="center"/>
      <protection locked="0"/>
    </xf>
    <xf numFmtId="0" fontId="75" fillId="0" borderId="75" xfId="0" applyFont="1" applyBorder="1" applyAlignment="1" applyProtection="1">
      <alignment vertical="center"/>
      <protection locked="0"/>
    </xf>
    <xf numFmtId="0" fontId="75" fillId="0" borderId="103" xfId="0" applyFont="1" applyBorder="1" applyAlignment="1" applyProtection="1">
      <alignment vertical="center"/>
      <protection locked="0"/>
    </xf>
    <xf numFmtId="0" fontId="75" fillId="0" borderId="29" xfId="0" applyFont="1" applyBorder="1" applyAlignment="1" applyProtection="1">
      <alignment horizontal="center" vertical="center"/>
      <protection locked="0"/>
    </xf>
    <xf numFmtId="0" fontId="75" fillId="14" borderId="29" xfId="0" applyFont="1" applyFill="1" applyBorder="1" applyAlignment="1" applyProtection="1">
      <alignment vertical="center"/>
      <protection locked="0"/>
    </xf>
    <xf numFmtId="0" fontId="75" fillId="14" borderId="28" xfId="0" applyFont="1" applyFill="1" applyBorder="1" applyAlignment="1" applyProtection="1">
      <alignment vertical="center"/>
      <protection locked="0"/>
    </xf>
    <xf numFmtId="0" fontId="75" fillId="0" borderId="125" xfId="0" applyFont="1" applyBorder="1" applyAlignment="1" applyProtection="1">
      <alignment vertical="center"/>
      <protection locked="0"/>
    </xf>
    <xf numFmtId="0" fontId="61" fillId="0" borderId="99" xfId="0" applyFont="1" applyBorder="1" applyAlignment="1">
      <alignment vertical="center"/>
    </xf>
    <xf numFmtId="0" fontId="75" fillId="0" borderId="4" xfId="0" applyFont="1" applyBorder="1" applyAlignment="1" applyProtection="1">
      <alignment vertical="center"/>
      <protection locked="0"/>
    </xf>
    <xf numFmtId="0" fontId="75" fillId="0" borderId="70" xfId="0" applyFont="1" applyBorder="1" applyAlignment="1" applyProtection="1">
      <alignment vertical="center" wrapText="1"/>
      <protection locked="0"/>
    </xf>
    <xf numFmtId="0" fontId="75" fillId="0" borderId="30" xfId="0" applyFont="1" applyBorder="1" applyAlignment="1" applyProtection="1">
      <alignment vertical="center"/>
      <protection locked="0"/>
    </xf>
    <xf numFmtId="0" fontId="75" fillId="0" borderId="109" xfId="0" applyFont="1" applyBorder="1" applyAlignment="1" applyProtection="1">
      <alignment vertical="center"/>
      <protection locked="0"/>
    </xf>
    <xf numFmtId="0" fontId="75" fillId="0" borderId="109" xfId="0" applyFont="1" applyBorder="1" applyAlignment="1">
      <alignment vertical="center"/>
    </xf>
    <xf numFmtId="0" fontId="75" fillId="0" borderId="105" xfId="0" applyFont="1" applyBorder="1" applyAlignment="1">
      <alignment vertical="center"/>
    </xf>
    <xf numFmtId="0" fontId="75" fillId="0" borderId="77"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locked="0"/>
    </xf>
    <xf numFmtId="0" fontId="75" fillId="0" borderId="134" xfId="0" applyFont="1" applyBorder="1" applyAlignment="1" applyProtection="1">
      <alignment vertical="center"/>
      <protection locked="0"/>
    </xf>
    <xf numFmtId="0" fontId="75" fillId="14" borderId="36" xfId="0" applyFont="1" applyFill="1" applyBorder="1" applyAlignment="1" applyProtection="1">
      <alignment vertical="center"/>
      <protection locked="0"/>
    </xf>
    <xf numFmtId="0" fontId="75" fillId="14" borderId="125" xfId="0" applyFont="1" applyFill="1" applyBorder="1" applyAlignment="1" applyProtection="1">
      <alignment vertical="center"/>
      <protection locked="0"/>
    </xf>
    <xf numFmtId="0" fontId="75" fillId="14" borderId="126" xfId="0" applyFont="1" applyFill="1" applyBorder="1" applyAlignment="1" applyProtection="1">
      <alignment vertical="center"/>
      <protection locked="0"/>
    </xf>
    <xf numFmtId="0" fontId="75" fillId="0" borderId="135" xfId="0" applyFont="1" applyBorder="1" applyAlignment="1" applyProtection="1">
      <alignment vertical="center"/>
      <protection locked="0"/>
    </xf>
    <xf numFmtId="0" fontId="75" fillId="14" borderId="70" xfId="0" applyFont="1" applyFill="1" applyBorder="1" applyAlignment="1" applyProtection="1">
      <alignment vertical="center"/>
      <protection locked="0"/>
    </xf>
    <xf numFmtId="0" fontId="75" fillId="0" borderId="125" xfId="0" applyFont="1" applyBorder="1" applyAlignment="1">
      <alignment vertical="center"/>
    </xf>
    <xf numFmtId="0" fontId="75" fillId="0" borderId="135" xfId="0" applyFont="1" applyBorder="1" applyAlignment="1">
      <alignment vertical="center"/>
    </xf>
    <xf numFmtId="0" fontId="75" fillId="0" borderId="70" xfId="0" applyFont="1" applyBorder="1" applyAlignment="1">
      <alignment vertical="center"/>
    </xf>
    <xf numFmtId="0" fontId="75" fillId="0" borderId="126" xfId="0" applyFont="1" applyBorder="1" applyAlignment="1">
      <alignment vertical="center"/>
    </xf>
    <xf numFmtId="0" fontId="75" fillId="0" borderId="75" xfId="0" applyFont="1" applyBorder="1" applyAlignment="1" applyProtection="1">
      <alignment vertical="center" wrapText="1"/>
      <protection locked="0"/>
    </xf>
    <xf numFmtId="0" fontId="75" fillId="0" borderId="25" xfId="0" applyFont="1" applyBorder="1" applyAlignment="1" applyProtection="1">
      <alignment vertical="center"/>
      <protection locked="0"/>
    </xf>
    <xf numFmtId="0" fontId="75" fillId="0" borderId="33" xfId="0" applyFont="1" applyBorder="1" applyAlignment="1" applyProtection="1">
      <alignment vertical="center"/>
      <protection locked="0"/>
    </xf>
    <xf numFmtId="0" fontId="75" fillId="0" borderId="136" xfId="0" applyFont="1" applyBorder="1" applyAlignment="1" applyProtection="1">
      <alignment vertical="center"/>
      <protection locked="0"/>
    </xf>
    <xf numFmtId="0" fontId="75" fillId="14" borderId="103" xfId="0" applyFont="1" applyFill="1" applyBorder="1" applyAlignment="1" applyProtection="1">
      <alignment vertical="center"/>
      <protection locked="0"/>
    </xf>
    <xf numFmtId="0" fontId="75" fillId="14" borderId="112" xfId="0" applyFont="1" applyFill="1" applyBorder="1" applyAlignment="1" applyProtection="1">
      <alignment vertical="center"/>
      <protection locked="0"/>
    </xf>
    <xf numFmtId="0" fontId="75" fillId="0" borderId="137" xfId="0" applyFont="1" applyBorder="1" applyAlignment="1" applyProtection="1">
      <alignment vertical="center"/>
      <protection locked="0"/>
    </xf>
    <xf numFmtId="0" fontId="75" fillId="0" borderId="103" xfId="0" applyFont="1" applyBorder="1" applyAlignment="1">
      <alignment vertical="center"/>
    </xf>
    <xf numFmtId="0" fontId="75" fillId="0" borderId="137" xfId="0" applyFont="1" applyBorder="1" applyAlignment="1">
      <alignment vertical="center"/>
    </xf>
    <xf numFmtId="0" fontId="75" fillId="0" borderId="136" xfId="0" applyFont="1" applyBorder="1" applyAlignment="1">
      <alignment vertical="center"/>
    </xf>
    <xf numFmtId="0" fontId="75" fillId="0" borderId="77" xfId="0" applyFont="1" applyBorder="1" applyAlignment="1" applyProtection="1">
      <alignment horizontal="center" vertical="center"/>
      <protection locked="0"/>
    </xf>
    <xf numFmtId="0" fontId="75" fillId="0" borderId="75" xfId="0" applyFont="1" applyBorder="1" applyAlignment="1" applyProtection="1">
      <alignment horizontal="left" vertical="center"/>
      <protection locked="0"/>
    </xf>
    <xf numFmtId="0" fontId="75" fillId="0" borderId="70" xfId="0" applyFont="1" applyBorder="1" applyAlignment="1" applyProtection="1">
      <alignment horizontal="left" vertical="center"/>
      <protection locked="0"/>
    </xf>
    <xf numFmtId="0" fontId="75" fillId="0" borderId="36" xfId="0" applyFont="1" applyBorder="1" applyAlignment="1" applyProtection="1">
      <alignment vertical="center"/>
      <protection locked="0"/>
    </xf>
    <xf numFmtId="0" fontId="75" fillId="14" borderId="30" xfId="0" applyFont="1" applyFill="1" applyBorder="1" applyAlignment="1" applyProtection="1">
      <alignment vertical="center"/>
      <protection locked="0"/>
    </xf>
    <xf numFmtId="0" fontId="75" fillId="14" borderId="33" xfId="0" applyFont="1" applyFill="1" applyBorder="1" applyAlignment="1" applyProtection="1">
      <alignment vertical="center"/>
      <protection locked="0"/>
    </xf>
    <xf numFmtId="0" fontId="75" fillId="14" borderId="39" xfId="0" applyFont="1" applyFill="1" applyBorder="1" applyAlignment="1" applyProtection="1">
      <alignment vertical="center"/>
      <protection locked="0"/>
    </xf>
    <xf numFmtId="0" fontId="75" fillId="0" borderId="138" xfId="0" applyFont="1" applyBorder="1" applyAlignment="1" applyProtection="1">
      <alignment vertical="center"/>
      <protection locked="0"/>
    </xf>
    <xf numFmtId="0" fontId="75" fillId="0" borderId="139" xfId="0" applyFont="1" applyBorder="1" applyAlignment="1" applyProtection="1">
      <alignment vertical="center"/>
      <protection locked="0"/>
    </xf>
    <xf numFmtId="0" fontId="75" fillId="0" borderId="121" xfId="0" applyFont="1" applyBorder="1" applyAlignment="1" applyProtection="1">
      <alignment vertical="center"/>
      <protection locked="0"/>
    </xf>
    <xf numFmtId="0" fontId="75" fillId="0" borderId="114" xfId="0" applyFont="1" applyBorder="1" applyAlignment="1" applyProtection="1">
      <alignment vertical="center"/>
      <protection locked="0"/>
    </xf>
    <xf numFmtId="0" fontId="75" fillId="14" borderId="102" xfId="0" applyFont="1" applyFill="1" applyBorder="1" applyAlignment="1" applyProtection="1">
      <alignment vertical="center"/>
      <protection locked="0"/>
    </xf>
    <xf numFmtId="0" fontId="75" fillId="14" borderId="114" xfId="0" applyFont="1" applyFill="1" applyBorder="1" applyAlignment="1" applyProtection="1">
      <alignment vertical="center"/>
      <protection locked="0"/>
    </xf>
    <xf numFmtId="0" fontId="75" fillId="0" borderId="118" xfId="0" applyFont="1" applyBorder="1" applyAlignment="1" applyProtection="1">
      <alignment vertical="center"/>
      <protection locked="0"/>
    </xf>
    <xf numFmtId="0" fontId="75" fillId="14" borderId="117" xfId="0" applyFont="1" applyFill="1" applyBorder="1" applyAlignment="1" applyProtection="1">
      <alignment vertical="center"/>
      <protection locked="0"/>
    </xf>
    <xf numFmtId="0" fontId="75" fillId="0" borderId="116" xfId="0" applyFont="1" applyBorder="1" applyAlignment="1" applyProtection="1">
      <alignment vertical="center"/>
      <protection locked="0"/>
    </xf>
    <xf numFmtId="0" fontId="75" fillId="0" borderId="114" xfId="0" applyFont="1" applyBorder="1" applyAlignment="1">
      <alignment vertical="center"/>
    </xf>
    <xf numFmtId="0" fontId="75" fillId="0" borderId="118" xfId="0" applyFont="1" applyBorder="1" applyAlignment="1">
      <alignment vertical="center"/>
    </xf>
    <xf numFmtId="0" fontId="75" fillId="0" borderId="117" xfId="0" applyFont="1" applyBorder="1" applyAlignment="1">
      <alignment vertical="center"/>
    </xf>
    <xf numFmtId="0" fontId="75" fillId="0" borderId="116" xfId="0" applyFont="1" applyBorder="1" applyAlignment="1">
      <alignment vertical="center"/>
    </xf>
    <xf numFmtId="0" fontId="75" fillId="0" borderId="140" xfId="0" applyFont="1" applyBorder="1" applyAlignment="1" applyProtection="1">
      <alignment vertical="center"/>
      <protection locked="0"/>
    </xf>
    <xf numFmtId="0" fontId="59" fillId="0" borderId="26" xfId="0" applyFont="1" applyBorder="1" applyAlignment="1" applyProtection="1">
      <alignment vertical="center"/>
      <protection locked="0"/>
    </xf>
    <xf numFmtId="0" fontId="75" fillId="0" borderId="26" xfId="0" applyFont="1" applyBorder="1" applyAlignment="1" applyProtection="1">
      <alignment vertical="center"/>
      <protection locked="0"/>
    </xf>
    <xf numFmtId="0" fontId="75" fillId="14" borderId="89" xfId="0" applyFont="1" applyFill="1" applyBorder="1" applyAlignment="1" applyProtection="1">
      <alignment horizontal="left" vertical="center"/>
      <protection locked="0"/>
    </xf>
    <xf numFmtId="0" fontId="75" fillId="14" borderId="95" xfId="0" applyFont="1" applyFill="1" applyBorder="1" applyAlignment="1" applyProtection="1">
      <alignment horizontal="left" vertical="center"/>
      <protection locked="0"/>
    </xf>
    <xf numFmtId="0" fontId="75" fillId="0" borderId="141" xfId="0" applyFont="1" applyBorder="1" applyAlignment="1" applyProtection="1">
      <alignment vertical="center"/>
      <protection locked="0"/>
    </xf>
    <xf numFmtId="0" fontId="75" fillId="0" borderId="142" xfId="0" applyFont="1" applyBorder="1" applyAlignment="1" applyProtection="1">
      <alignment vertical="center"/>
      <protection locked="0"/>
    </xf>
    <xf numFmtId="0" fontId="75" fillId="0" borderId="143" xfId="0" applyFont="1" applyBorder="1" applyAlignment="1" applyProtection="1">
      <alignment vertical="center"/>
      <protection locked="0"/>
    </xf>
    <xf numFmtId="0" fontId="59" fillId="0" borderId="5" xfId="0" applyFont="1" applyBorder="1" applyAlignment="1" applyProtection="1">
      <alignment vertical="center"/>
      <protection locked="0"/>
    </xf>
    <xf numFmtId="0" fontId="75" fillId="0" borderId="84" xfId="0" applyFont="1" applyBorder="1" applyAlignment="1" applyProtection="1">
      <alignment vertical="center"/>
      <protection locked="0"/>
    </xf>
    <xf numFmtId="0" fontId="75" fillId="14" borderId="104" xfId="0" applyFont="1" applyFill="1" applyBorder="1" applyAlignment="1" applyProtection="1">
      <alignment horizontal="left" vertical="center"/>
      <protection locked="0"/>
    </xf>
    <xf numFmtId="0" fontId="75" fillId="14" borderId="105" xfId="0" applyFont="1" applyFill="1" applyBorder="1" applyAlignment="1" applyProtection="1">
      <alignment horizontal="left" vertical="center"/>
      <protection locked="0"/>
    </xf>
    <xf numFmtId="0" fontId="75" fillId="0" borderId="110" xfId="0" applyFont="1" applyBorder="1" applyAlignment="1" applyProtection="1">
      <alignment vertical="center"/>
      <protection locked="0"/>
    </xf>
    <xf numFmtId="0" fontId="75" fillId="0" borderId="144" xfId="0" applyFont="1" applyBorder="1" applyAlignment="1" applyProtection="1">
      <alignment vertical="center"/>
      <protection locked="0"/>
    </xf>
    <xf numFmtId="0" fontId="75" fillId="0" borderId="145" xfId="0" applyFont="1" applyBorder="1" applyAlignment="1" applyProtection="1">
      <alignment vertical="center"/>
      <protection locked="0"/>
    </xf>
    <xf numFmtId="0" fontId="75" fillId="0" borderId="1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75" fillId="0" borderId="100" xfId="0" applyFont="1" applyBorder="1" applyAlignment="1" applyProtection="1">
      <alignment vertical="center"/>
      <protection locked="0"/>
    </xf>
    <xf numFmtId="0" fontId="75" fillId="0" borderId="113" xfId="0" applyFont="1" applyBorder="1" applyAlignment="1" applyProtection="1">
      <alignment vertical="center"/>
      <protection locked="0"/>
    </xf>
    <xf numFmtId="0" fontId="75" fillId="14" borderId="114" xfId="0" applyFont="1" applyFill="1" applyBorder="1" applyAlignment="1" applyProtection="1">
      <alignment horizontal="left" vertical="center"/>
      <protection locked="0"/>
    </xf>
    <xf numFmtId="0" fontId="75" fillId="14" borderId="102" xfId="0" applyFont="1" applyFill="1" applyBorder="1" applyAlignment="1" applyProtection="1">
      <alignment horizontal="left" vertical="center"/>
      <protection locked="0"/>
    </xf>
    <xf numFmtId="0" fontId="75" fillId="0" borderId="119" xfId="0" applyFont="1" applyBorder="1" applyAlignment="1" applyProtection="1">
      <alignment vertical="center"/>
      <protection locked="0"/>
    </xf>
    <xf numFmtId="0" fontId="75" fillId="0" borderId="147" xfId="0" applyFont="1" applyBorder="1" applyAlignment="1" applyProtection="1">
      <alignment vertical="center"/>
      <protection locked="0"/>
    </xf>
    <xf numFmtId="0" fontId="75" fillId="0" borderId="148" xfId="0" applyFont="1" applyBorder="1" applyAlignment="1" applyProtection="1">
      <alignment vertical="center"/>
      <protection locked="0"/>
    </xf>
    <xf numFmtId="0" fontId="75" fillId="0" borderId="86" xfId="0" applyFont="1" applyBorder="1" applyAlignment="1" applyProtection="1">
      <alignment horizontal="left" vertical="center"/>
      <protection locked="0"/>
    </xf>
    <xf numFmtId="0" fontId="75" fillId="0" borderId="94" xfId="0" applyFont="1" applyBorder="1" applyAlignment="1" applyProtection="1">
      <alignment vertical="center"/>
      <protection locked="0"/>
    </xf>
    <xf numFmtId="0" fontId="75" fillId="0" borderId="94" xfId="0" applyFont="1" applyBorder="1" applyAlignment="1" applyProtection="1">
      <alignment horizontal="left" vertical="center"/>
      <protection locked="0"/>
    </xf>
    <xf numFmtId="0" fontId="75" fillId="0" borderId="95" xfId="0" applyFont="1" applyBorder="1" applyAlignment="1" applyProtection="1">
      <alignment horizontal="left" vertical="center"/>
      <protection locked="0"/>
    </xf>
    <xf numFmtId="0" fontId="75" fillId="0" borderId="91" xfId="0" applyFont="1" applyBorder="1" applyAlignment="1" applyProtection="1">
      <alignment horizontal="center" vertical="center" shrinkToFit="1"/>
      <protection locked="0"/>
    </xf>
    <xf numFmtId="0" fontId="75" fillId="0" borderId="149" xfId="0" applyFont="1" applyBorder="1" applyAlignment="1" applyProtection="1">
      <alignment horizontal="center" vertical="center" shrinkToFit="1"/>
      <protection locked="0"/>
    </xf>
    <xf numFmtId="0" fontId="75" fillId="0" borderId="89" xfId="0" applyFont="1" applyBorder="1" applyAlignment="1" applyProtection="1">
      <alignment horizontal="center" vertical="center"/>
      <protection locked="0"/>
    </xf>
    <xf numFmtId="0" fontId="75" fillId="0" borderId="150" xfId="0" applyFont="1" applyBorder="1" applyAlignment="1" applyProtection="1">
      <alignment horizontal="center" vertical="center" shrinkToFit="1"/>
      <protection locked="0"/>
    </xf>
    <xf numFmtId="0" fontId="75" fillId="0" borderId="151" xfId="0" applyFont="1" applyBorder="1" applyAlignment="1" applyProtection="1">
      <alignment horizontal="center" vertical="center" shrinkToFit="1"/>
      <protection locked="0"/>
    </xf>
    <xf numFmtId="0" fontId="75" fillId="0" borderId="89" xfId="0" applyFont="1" applyBorder="1" applyAlignment="1">
      <alignment horizontal="center" vertical="center"/>
    </xf>
    <xf numFmtId="0" fontId="75" fillId="0" borderId="150" xfId="0" applyFont="1" applyBorder="1" applyAlignment="1">
      <alignment horizontal="center" vertical="center" shrinkToFit="1"/>
    </xf>
    <xf numFmtId="0" fontId="75" fillId="0" borderId="151" xfId="0" applyFont="1" applyBorder="1" applyAlignment="1">
      <alignment horizontal="center" vertical="center" shrinkToFit="1"/>
    </xf>
    <xf numFmtId="0" fontId="75" fillId="0" borderId="152" xfId="0" applyFont="1" applyBorder="1" applyAlignment="1" applyProtection="1">
      <alignment vertical="top"/>
      <protection locked="0"/>
    </xf>
    <xf numFmtId="0" fontId="75" fillId="14" borderId="72" xfId="0" applyFont="1" applyFill="1" applyBorder="1" applyAlignment="1" applyProtection="1">
      <alignment vertical="center"/>
      <protection locked="0"/>
    </xf>
    <xf numFmtId="0" fontId="75" fillId="14" borderId="72" xfId="0" applyFont="1" applyFill="1" applyBorder="1" applyAlignment="1" applyProtection="1">
      <alignment horizontal="left" vertical="center"/>
      <protection locked="0"/>
    </xf>
    <xf numFmtId="0" fontId="75" fillId="14" borderId="153" xfId="0" applyFont="1" applyFill="1" applyBorder="1" applyAlignment="1" applyProtection="1">
      <alignment horizontal="left" vertical="center"/>
      <protection locked="0"/>
    </xf>
    <xf numFmtId="0" fontId="75" fillId="0" borderId="130" xfId="0" applyFont="1" applyBorder="1" applyAlignment="1" applyProtection="1">
      <alignment horizontal="left" vertical="center"/>
      <protection locked="0"/>
    </xf>
    <xf numFmtId="0" fontId="75" fillId="0" borderId="131" xfId="0" applyFont="1" applyBorder="1" applyAlignment="1" applyProtection="1">
      <alignment horizontal="left" vertical="center"/>
      <protection locked="0"/>
    </xf>
    <xf numFmtId="0" fontId="75" fillId="14" borderId="152" xfId="0" applyFont="1" applyFill="1" applyBorder="1" applyAlignment="1" applyProtection="1">
      <alignment vertical="center"/>
      <protection locked="0"/>
    </xf>
    <xf numFmtId="0" fontId="75" fillId="0" borderId="154" xfId="0" applyFont="1" applyBorder="1" applyAlignment="1" applyProtection="1">
      <alignment vertical="center"/>
      <protection locked="0"/>
    </xf>
    <xf numFmtId="0" fontId="75" fillId="0" borderId="152" xfId="0" applyFont="1" applyBorder="1" applyAlignment="1">
      <alignment vertical="center"/>
    </xf>
    <xf numFmtId="0" fontId="75" fillId="0" borderId="72" xfId="0" applyFont="1" applyBorder="1" applyAlignment="1">
      <alignment vertical="center"/>
    </xf>
    <xf numFmtId="0" fontId="75" fillId="0" borderId="154" xfId="0" applyFont="1" applyBorder="1" applyAlignment="1">
      <alignment vertical="center"/>
    </xf>
    <xf numFmtId="0" fontId="75" fillId="0" borderId="155" xfId="0" applyFont="1" applyBorder="1" applyAlignment="1" applyProtection="1">
      <alignment vertical="top"/>
      <protection locked="0"/>
    </xf>
    <xf numFmtId="0" fontId="75" fillId="14" borderId="71" xfId="0" applyFont="1" applyFill="1" applyBorder="1" applyAlignment="1" applyProtection="1">
      <alignment vertical="center"/>
      <protection locked="0"/>
    </xf>
    <xf numFmtId="0" fontId="75" fillId="14" borderId="71" xfId="0" applyFont="1" applyFill="1" applyBorder="1" applyAlignment="1" applyProtection="1">
      <alignment horizontal="left" vertical="center"/>
      <protection locked="0"/>
    </xf>
    <xf numFmtId="0" fontId="75" fillId="14" borderId="156" xfId="0" applyFont="1" applyFill="1" applyBorder="1" applyAlignment="1" applyProtection="1">
      <alignment horizontal="left" vertical="center"/>
      <protection locked="0"/>
    </xf>
    <xf numFmtId="0" fontId="75" fillId="0" borderId="108" xfId="0" applyFont="1" applyBorder="1" applyAlignment="1" applyProtection="1">
      <alignment horizontal="left" vertical="center"/>
      <protection locked="0"/>
    </xf>
    <xf numFmtId="0" fontId="75" fillId="0" borderId="132" xfId="0" applyFont="1" applyBorder="1" applyAlignment="1" applyProtection="1">
      <alignment horizontal="left" vertical="center"/>
      <protection locked="0"/>
    </xf>
    <xf numFmtId="0" fontId="75" fillId="14" borderId="155" xfId="0" applyFont="1" applyFill="1" applyBorder="1" applyAlignment="1" applyProtection="1">
      <alignment vertical="center"/>
      <protection locked="0"/>
    </xf>
    <xf numFmtId="0" fontId="75" fillId="0" borderId="157" xfId="0" applyFont="1" applyBorder="1" applyAlignment="1" applyProtection="1">
      <alignment vertical="center"/>
      <protection locked="0"/>
    </xf>
    <xf numFmtId="0" fontId="75" fillId="0" borderId="158" xfId="0" applyFont="1" applyBorder="1" applyAlignment="1">
      <alignment vertical="center"/>
    </xf>
    <xf numFmtId="0" fontId="75" fillId="0" borderId="159" xfId="0" applyFont="1" applyBorder="1" applyAlignment="1">
      <alignment vertical="center"/>
    </xf>
    <xf numFmtId="0" fontId="75" fillId="0" borderId="160" xfId="0" applyFont="1" applyBorder="1" applyAlignment="1">
      <alignment vertical="center"/>
    </xf>
    <xf numFmtId="0" fontId="75" fillId="0" borderId="71" xfId="0" applyFont="1" applyBorder="1" applyAlignment="1">
      <alignment vertical="center"/>
    </xf>
    <xf numFmtId="0" fontId="75" fillId="0" borderId="157" xfId="0" applyFont="1" applyBorder="1" applyAlignment="1">
      <alignment vertical="center"/>
    </xf>
    <xf numFmtId="0" fontId="75" fillId="0" borderId="155" xfId="0" applyFont="1" applyBorder="1" applyAlignment="1">
      <alignment vertical="center"/>
    </xf>
    <xf numFmtId="0" fontId="75" fillId="0" borderId="161" xfId="0" applyFont="1" applyBorder="1" applyAlignment="1" applyProtection="1">
      <alignment horizontal="left" vertical="center"/>
      <protection locked="0"/>
    </xf>
    <xf numFmtId="0" fontId="75" fillId="0" borderId="154" xfId="0" applyFont="1" applyBorder="1" applyAlignment="1" applyProtection="1">
      <alignment horizontal="left" vertical="center"/>
      <protection locked="0"/>
    </xf>
    <xf numFmtId="0" fontId="75" fillId="14" borderId="159" xfId="0" applyFont="1" applyFill="1" applyBorder="1" applyAlignment="1" applyProtection="1">
      <alignment vertical="center"/>
      <protection locked="0"/>
    </xf>
    <xf numFmtId="0" fontId="75" fillId="14" borderId="162" xfId="0" applyFont="1" applyFill="1" applyBorder="1" applyAlignment="1" applyProtection="1">
      <alignment horizontal="left" vertical="center"/>
      <protection locked="0"/>
    </xf>
    <xf numFmtId="0" fontId="75" fillId="0" borderId="163" xfId="0" applyFont="1" applyBorder="1" applyAlignment="1" applyProtection="1">
      <alignment horizontal="left" vertical="center"/>
      <protection locked="0"/>
    </xf>
    <xf numFmtId="0" fontId="75" fillId="0" borderId="136" xfId="0" applyFont="1" applyBorder="1" applyAlignment="1" applyProtection="1">
      <alignment horizontal="left" vertical="center"/>
      <protection locked="0"/>
    </xf>
    <xf numFmtId="0" fontId="75" fillId="14" borderId="158" xfId="0" applyFont="1" applyFill="1" applyBorder="1" applyAlignment="1" applyProtection="1">
      <alignment vertical="center"/>
      <protection locked="0"/>
    </xf>
    <xf numFmtId="0" fontId="75" fillId="0" borderId="160" xfId="0" applyFont="1" applyBorder="1" applyAlignment="1" applyProtection="1">
      <alignment vertical="center"/>
      <protection locked="0"/>
    </xf>
    <xf numFmtId="0" fontId="75" fillId="0" borderId="164" xfId="0" applyFont="1" applyBorder="1" applyAlignment="1" applyProtection="1">
      <alignment vertical="top"/>
      <protection locked="0"/>
    </xf>
    <xf numFmtId="0" fontId="75" fillId="14" borderId="73" xfId="0" applyFont="1" applyFill="1" applyBorder="1" applyAlignment="1" applyProtection="1">
      <alignment vertical="center"/>
      <protection locked="0"/>
    </xf>
    <xf numFmtId="0" fontId="75" fillId="14" borderId="73" xfId="0" applyFont="1" applyFill="1" applyBorder="1" applyAlignment="1" applyProtection="1">
      <alignment horizontal="left" vertical="center"/>
      <protection locked="0"/>
    </xf>
    <xf numFmtId="0" fontId="75" fillId="0" borderId="164" xfId="0" applyFont="1" applyBorder="1" applyAlignment="1">
      <alignment vertical="center"/>
    </xf>
    <xf numFmtId="0" fontId="75" fillId="0" borderId="73" xfId="0" applyFont="1" applyBorder="1" applyAlignment="1">
      <alignment vertical="center"/>
    </xf>
    <xf numFmtId="0" fontId="75" fillId="0" borderId="165" xfId="0" applyFont="1" applyBorder="1" applyAlignment="1">
      <alignment vertical="center"/>
    </xf>
    <xf numFmtId="0" fontId="75" fillId="0" borderId="166" xfId="0" applyFont="1" applyBorder="1" applyAlignment="1" applyProtection="1">
      <alignment vertical="center"/>
      <protection locked="0"/>
    </xf>
    <xf numFmtId="0" fontId="75" fillId="14" borderId="153" xfId="0" applyFont="1" applyFill="1" applyBorder="1" applyAlignment="1" applyProtection="1">
      <alignment vertical="center"/>
      <protection locked="0"/>
    </xf>
    <xf numFmtId="0" fontId="75" fillId="0" borderId="166" xfId="0" applyFont="1" applyBorder="1" applyAlignment="1">
      <alignment vertical="center"/>
    </xf>
    <xf numFmtId="0" fontId="75" fillId="0" borderId="153" xfId="0" applyFont="1" applyBorder="1" applyAlignment="1">
      <alignment vertical="center"/>
    </xf>
    <xf numFmtId="0" fontId="75" fillId="0" borderId="157" xfId="0" applyFont="1" applyBorder="1" applyAlignment="1" applyProtection="1">
      <alignment horizontal="left" vertical="center"/>
      <protection locked="0"/>
    </xf>
    <xf numFmtId="0" fontId="75" fillId="0" borderId="167" xfId="0" applyFont="1" applyBorder="1" applyAlignment="1" applyProtection="1">
      <alignment vertical="center"/>
      <protection locked="0"/>
    </xf>
    <xf numFmtId="0" fontId="75" fillId="14" borderId="156" xfId="0" applyFont="1" applyFill="1" applyBorder="1" applyAlignment="1" applyProtection="1">
      <alignment vertical="center"/>
      <protection locked="0"/>
    </xf>
    <xf numFmtId="0" fontId="75" fillId="0" borderId="167" xfId="0" applyFont="1" applyBorder="1" applyAlignment="1">
      <alignment vertical="center"/>
    </xf>
    <xf numFmtId="0" fontId="75" fillId="0" borderId="156" xfId="0" applyFont="1" applyBorder="1" applyAlignment="1">
      <alignment vertical="center"/>
    </xf>
    <xf numFmtId="0" fontId="75" fillId="14" borderId="74" xfId="0" applyFont="1" applyFill="1" applyBorder="1" applyAlignment="1" applyProtection="1">
      <alignment vertical="center"/>
      <protection locked="0"/>
    </xf>
    <xf numFmtId="0" fontId="75" fillId="0" borderId="168" xfId="0" applyFont="1" applyBorder="1" applyAlignment="1" applyProtection="1">
      <alignment horizontal="left" vertical="center"/>
      <protection locked="0"/>
    </xf>
    <xf numFmtId="0" fontId="75" fillId="14" borderId="169" xfId="0" applyFont="1" applyFill="1" applyBorder="1" applyAlignment="1" applyProtection="1">
      <alignment vertical="center"/>
      <protection locked="0"/>
    </xf>
    <xf numFmtId="0" fontId="75" fillId="0" borderId="170" xfId="0" applyFont="1" applyBorder="1" applyAlignment="1" applyProtection="1">
      <alignment vertical="center"/>
      <protection locked="0"/>
    </xf>
    <xf numFmtId="0" fontId="75" fillId="14" borderId="171" xfId="0" applyFont="1" applyFill="1" applyBorder="1" applyAlignment="1" applyProtection="1">
      <alignment vertical="center"/>
      <protection locked="0"/>
    </xf>
    <xf numFmtId="0" fontId="75" fillId="0" borderId="169" xfId="0" applyFont="1" applyBorder="1" applyAlignment="1">
      <alignment vertical="center"/>
    </xf>
    <xf numFmtId="0" fontId="75" fillId="0" borderId="170" xfId="0" applyFont="1" applyBorder="1" applyAlignment="1">
      <alignment vertical="center"/>
    </xf>
    <xf numFmtId="0" fontId="75" fillId="0" borderId="74" xfId="0" applyFont="1" applyBorder="1" applyAlignment="1">
      <alignment vertical="center"/>
    </xf>
    <xf numFmtId="0" fontId="75" fillId="0" borderId="171" xfId="0" applyFont="1" applyBorder="1" applyAlignment="1">
      <alignment vertical="center"/>
    </xf>
    <xf numFmtId="0" fontId="75" fillId="0" borderId="165" xfId="0" applyFont="1" applyBorder="1" applyAlignment="1" applyProtection="1">
      <alignment horizontal="left" vertical="center"/>
      <protection locked="0"/>
    </xf>
    <xf numFmtId="0" fontId="75" fillId="14" borderId="164" xfId="0" applyFont="1" applyFill="1" applyBorder="1" applyAlignment="1" applyProtection="1">
      <alignment vertical="center"/>
      <protection locked="0"/>
    </xf>
    <xf numFmtId="0" fontId="75" fillId="0" borderId="172" xfId="0" applyFont="1" applyBorder="1" applyAlignment="1" applyProtection="1">
      <alignment vertical="center"/>
      <protection locked="0"/>
    </xf>
    <xf numFmtId="0" fontId="75" fillId="14" borderId="173" xfId="0" applyFont="1" applyFill="1" applyBorder="1" applyAlignment="1" applyProtection="1">
      <alignment vertical="center"/>
      <protection locked="0"/>
    </xf>
    <xf numFmtId="0" fontId="75" fillId="0" borderId="172" xfId="0" applyFont="1" applyBorder="1" applyAlignment="1">
      <alignment vertical="center"/>
    </xf>
    <xf numFmtId="0" fontId="75" fillId="0" borderId="173" xfId="0" applyFont="1" applyBorder="1" applyAlignment="1">
      <alignment vertical="center"/>
    </xf>
    <xf numFmtId="0" fontId="75" fillId="14" borderId="75" xfId="0" applyFont="1" applyFill="1" applyBorder="1" applyAlignment="1" applyProtection="1">
      <alignment vertical="center"/>
      <protection locked="0"/>
    </xf>
    <xf numFmtId="0" fontId="75" fillId="0" borderId="174" xfId="0" applyFont="1" applyBorder="1" applyAlignment="1" applyProtection="1">
      <alignment horizontal="left" vertical="center"/>
      <protection locked="0"/>
    </xf>
    <xf numFmtId="0" fontId="75" fillId="14" borderId="127" xfId="0" applyFont="1" applyFill="1" applyBorder="1" applyAlignment="1" applyProtection="1">
      <alignment vertical="center"/>
      <protection locked="0"/>
    </xf>
    <xf numFmtId="0" fontId="75" fillId="0" borderId="175" xfId="0" applyFont="1" applyBorder="1" applyAlignment="1" applyProtection="1">
      <alignment vertical="center"/>
      <protection locked="0"/>
    </xf>
    <xf numFmtId="0" fontId="75" fillId="14" borderId="128" xfId="0" applyFont="1" applyFill="1" applyBorder="1" applyAlignment="1" applyProtection="1">
      <alignment vertical="center"/>
      <protection locked="0"/>
    </xf>
    <xf numFmtId="0" fontId="75" fillId="0" borderId="127" xfId="0" applyFont="1" applyBorder="1" applyAlignment="1">
      <alignment vertical="center"/>
    </xf>
    <xf numFmtId="0" fontId="75" fillId="0" borderId="175" xfId="0" applyFont="1" applyBorder="1" applyAlignment="1">
      <alignment vertical="center"/>
    </xf>
    <xf numFmtId="0" fontId="75" fillId="0" borderId="75" xfId="0" applyFont="1" applyBorder="1" applyAlignment="1">
      <alignment vertical="center"/>
    </xf>
    <xf numFmtId="0" fontId="75" fillId="0" borderId="128" xfId="0" applyFont="1" applyBorder="1" applyAlignment="1">
      <alignment vertical="center"/>
    </xf>
    <xf numFmtId="0" fontId="75" fillId="0" borderId="165" xfId="0" applyFont="1" applyBorder="1" applyAlignment="1" applyProtection="1">
      <alignment vertical="center"/>
      <protection locked="0"/>
    </xf>
    <xf numFmtId="0" fontId="75" fillId="0" borderId="169" xfId="0" applyFont="1" applyBorder="1" applyAlignment="1" applyProtection="1">
      <alignment vertical="top"/>
      <protection locked="0"/>
    </xf>
    <xf numFmtId="0" fontId="75" fillId="0" borderId="176" xfId="0" applyFont="1" applyBorder="1" applyAlignment="1" applyProtection="1">
      <alignment horizontal="left" vertical="center"/>
      <protection locked="0"/>
    </xf>
    <xf numFmtId="0" fontId="75" fillId="0" borderId="134" xfId="0" applyFont="1" applyBorder="1" applyAlignment="1" applyProtection="1">
      <alignment horizontal="left" vertical="center"/>
      <protection locked="0"/>
    </xf>
    <xf numFmtId="0" fontId="75" fillId="14" borderId="177" xfId="0" applyFont="1" applyFill="1" applyBorder="1" applyAlignment="1" applyProtection="1">
      <alignment vertical="center"/>
      <protection locked="0"/>
    </xf>
    <xf numFmtId="0" fontId="75" fillId="0" borderId="178" xfId="0" applyFont="1" applyBorder="1" applyAlignment="1" applyProtection="1">
      <alignment vertical="center"/>
      <protection locked="0"/>
    </xf>
    <xf numFmtId="0" fontId="75" fillId="0" borderId="179" xfId="0" applyFont="1" applyBorder="1" applyAlignment="1" applyProtection="1">
      <alignment vertical="center"/>
      <protection locked="0"/>
    </xf>
    <xf numFmtId="0" fontId="75" fillId="0" borderId="177" xfId="0" applyFont="1" applyBorder="1" applyAlignment="1">
      <alignment vertical="center"/>
    </xf>
    <xf numFmtId="0" fontId="75" fillId="0" borderId="178" xfId="0" applyFont="1" applyBorder="1" applyAlignment="1">
      <alignment vertical="center"/>
    </xf>
    <xf numFmtId="0" fontId="75" fillId="0" borderId="179" xfId="0" applyFont="1" applyBorder="1" applyAlignment="1">
      <alignment vertical="center"/>
    </xf>
    <xf numFmtId="0" fontId="75" fillId="0" borderId="180" xfId="0" applyFont="1" applyBorder="1" applyAlignment="1" applyProtection="1">
      <alignment vertical="center"/>
      <protection locked="0"/>
    </xf>
    <xf numFmtId="0" fontId="75" fillId="0" borderId="181" xfId="0" applyFont="1" applyBorder="1" applyAlignment="1" applyProtection="1">
      <alignment vertical="center"/>
      <protection locked="0"/>
    </xf>
    <xf numFmtId="0" fontId="75"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5" fillId="0" borderId="70" xfId="0" applyFont="1" applyBorder="1" applyAlignment="1" applyProtection="1">
      <alignment vertical="top"/>
      <protection locked="0"/>
    </xf>
    <xf numFmtId="0" fontId="75" fillId="0" borderId="28" xfId="0" applyFont="1" applyBorder="1" applyAlignment="1" applyProtection="1">
      <alignment vertical="top"/>
      <protection locked="0"/>
    </xf>
    <xf numFmtId="0" fontId="75" fillId="0" borderId="5" xfId="0" applyFont="1" applyBorder="1" applyAlignment="1" applyProtection="1">
      <alignment vertical="top"/>
      <protection locked="0"/>
    </xf>
    <xf numFmtId="0" fontId="75" fillId="0" borderId="84" xfId="0" applyFont="1" applyBorder="1" applyAlignment="1" applyProtection="1">
      <alignment vertical="top"/>
      <protection locked="0"/>
    </xf>
    <xf numFmtId="0" fontId="75" fillId="0" borderId="83" xfId="0" applyFont="1" applyBorder="1" applyAlignment="1" applyProtection="1">
      <alignment vertical="center"/>
      <protection locked="0"/>
    </xf>
    <xf numFmtId="0" fontId="75" fillId="0" borderId="75" xfId="0" applyFont="1" applyBorder="1" applyAlignment="1" applyProtection="1">
      <alignment vertical="top"/>
      <protection locked="0"/>
    </xf>
    <xf numFmtId="0" fontId="75" fillId="0" borderId="4" xfId="0" applyFont="1" applyBorder="1" applyAlignment="1" applyProtection="1">
      <alignment vertical="top"/>
      <protection locked="0"/>
    </xf>
    <xf numFmtId="0" fontId="75" fillId="0" borderId="30" xfId="0" applyFont="1" applyBorder="1" applyAlignment="1" applyProtection="1">
      <alignment vertical="top"/>
      <protection locked="0"/>
    </xf>
    <xf numFmtId="0" fontId="75" fillId="0" borderId="25" xfId="0" applyFont="1" applyBorder="1" applyAlignment="1" applyProtection="1">
      <alignment vertical="top"/>
      <protection locked="0"/>
    </xf>
    <xf numFmtId="0" fontId="75" fillId="0" borderId="33" xfId="0" applyFont="1" applyBorder="1" applyAlignment="1" applyProtection="1">
      <alignment vertical="top"/>
      <protection locked="0"/>
    </xf>
    <xf numFmtId="0" fontId="75" fillId="0" borderId="77" xfId="0" applyFont="1" applyBorder="1" applyAlignment="1" applyProtection="1">
      <alignment vertical="top"/>
      <protection locked="0"/>
    </xf>
    <xf numFmtId="0" fontId="75" fillId="14" borderId="28" xfId="0" applyFont="1" applyFill="1" applyBorder="1" applyAlignment="1" applyProtection="1">
      <alignment vertical="top"/>
      <protection locked="0"/>
    </xf>
    <xf numFmtId="0" fontId="59" fillId="0" borderId="84" xfId="0" applyFont="1" applyBorder="1" applyAlignment="1" applyProtection="1">
      <alignment vertical="center"/>
      <protection locked="0"/>
    </xf>
    <xf numFmtId="0" fontId="75" fillId="0" borderId="8" xfId="0" applyFont="1" applyBorder="1" applyAlignment="1" applyProtection="1">
      <alignment vertical="top"/>
      <protection locked="0"/>
    </xf>
    <xf numFmtId="0" fontId="75" fillId="0" borderId="182" xfId="0" applyFont="1" applyBorder="1" applyAlignment="1" applyProtection="1">
      <alignment vertical="top"/>
      <protection locked="0"/>
    </xf>
    <xf numFmtId="0" fontId="75" fillId="0" borderId="120" xfId="0" applyFont="1" applyBorder="1" applyAlignment="1" applyProtection="1">
      <alignment vertical="center"/>
      <protection locked="0"/>
    </xf>
    <xf numFmtId="0" fontId="75" fillId="0" borderId="30" xfId="0" applyFont="1" applyBorder="1" applyAlignment="1" applyProtection="1">
      <alignment vertical="center" wrapText="1"/>
      <protection locked="0"/>
    </xf>
    <xf numFmtId="0" fontId="75" fillId="14" borderId="88" xfId="0" applyFont="1" applyFill="1" applyBorder="1" applyAlignment="1" applyProtection="1">
      <alignment vertical="top"/>
      <protection locked="0"/>
    </xf>
    <xf numFmtId="0" fontId="75" fillId="0" borderId="28" xfId="0" applyFont="1" applyBorder="1" applyAlignment="1" applyProtection="1">
      <alignment vertical="top" wrapText="1"/>
      <protection locked="0"/>
    </xf>
    <xf numFmtId="0" fontId="75" fillId="0" borderId="83" xfId="0" applyFont="1" applyBorder="1" applyAlignment="1" applyProtection="1">
      <alignment vertical="top"/>
      <protection locked="0"/>
    </xf>
    <xf numFmtId="0" fontId="75" fillId="14" borderId="84" xfId="0" applyFont="1" applyFill="1" applyBorder="1" applyAlignment="1" applyProtection="1">
      <alignment vertical="center"/>
      <protection locked="0"/>
    </xf>
    <xf numFmtId="0" fontId="75" fillId="0" borderId="146" xfId="0" applyFont="1" applyBorder="1" applyAlignment="1" applyProtection="1">
      <alignment vertical="top"/>
      <protection locked="0"/>
    </xf>
    <xf numFmtId="0" fontId="75" fillId="0" borderId="121" xfId="0" applyFont="1" applyBorder="1" applyAlignment="1" applyProtection="1">
      <alignment vertical="top"/>
      <protection locked="0"/>
    </xf>
    <xf numFmtId="0" fontId="59" fillId="0" borderId="121" xfId="0" applyFont="1" applyBorder="1" applyAlignment="1" applyProtection="1">
      <alignment vertical="center" wrapText="1"/>
      <protection locked="0"/>
    </xf>
    <xf numFmtId="0" fontId="75" fillId="0" borderId="113" xfId="0" applyFont="1" applyBorder="1" applyAlignment="1" applyProtection="1">
      <alignment vertical="top"/>
      <protection locked="0"/>
    </xf>
    <xf numFmtId="0" fontId="75" fillId="0" borderId="99" xfId="0" applyFont="1" applyBorder="1" applyAlignment="1" applyProtection="1">
      <alignment vertical="center"/>
      <protection locked="0"/>
    </xf>
    <xf numFmtId="0" fontId="59" fillId="0" borderId="99" xfId="0" applyFont="1" applyBorder="1" applyAlignment="1" applyProtection="1">
      <alignment vertical="center"/>
      <protection locked="0"/>
    </xf>
    <xf numFmtId="0" fontId="75" fillId="14" borderId="113" xfId="0" applyFont="1" applyFill="1" applyBorder="1" applyAlignment="1" applyProtection="1">
      <alignment vertical="top"/>
      <protection locked="0"/>
    </xf>
    <xf numFmtId="0" fontId="75" fillId="0" borderId="94" xfId="0" applyFont="1" applyBorder="1" applyAlignment="1" applyProtection="1">
      <alignment vertical="top"/>
      <protection locked="0"/>
    </xf>
    <xf numFmtId="0" fontId="59" fillId="0" borderId="94"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59" fillId="0" borderId="94" xfId="0" applyFont="1" applyBorder="1" applyProtection="1">
      <protection locked="0"/>
    </xf>
    <xf numFmtId="0" fontId="59" fillId="0" borderId="95" xfId="0" applyFont="1" applyBorder="1" applyProtection="1">
      <protection locked="0"/>
    </xf>
    <xf numFmtId="0" fontId="59" fillId="0" borderId="4" xfId="0" applyFont="1" applyBorder="1" applyAlignment="1" applyProtection="1">
      <alignment vertical="center"/>
      <protection locked="0"/>
    </xf>
    <xf numFmtId="0" fontId="64" fillId="0" borderId="4" xfId="0" applyFont="1" applyBorder="1" applyAlignment="1" applyProtection="1">
      <alignment vertical="center"/>
      <protection locked="0"/>
    </xf>
    <xf numFmtId="0" fontId="59" fillId="0" borderId="4" xfId="0" applyFont="1" applyBorder="1" applyProtection="1">
      <protection locked="0"/>
    </xf>
    <xf numFmtId="0" fontId="59" fillId="0" borderId="105" xfId="0" applyFont="1" applyBorder="1" applyProtection="1">
      <protection locked="0"/>
    </xf>
    <xf numFmtId="0" fontId="75" fillId="0" borderId="117" xfId="0" applyFont="1" applyBorder="1" applyAlignment="1" applyProtection="1">
      <alignment vertical="top"/>
      <protection locked="0"/>
    </xf>
    <xf numFmtId="0" fontId="75" fillId="0" borderId="117" xfId="0" applyFont="1" applyBorder="1" applyAlignment="1" applyProtection="1">
      <alignment vertical="center"/>
      <protection locked="0"/>
    </xf>
    <xf numFmtId="0" fontId="59" fillId="0" borderId="117" xfId="0" applyFont="1" applyBorder="1" applyAlignment="1" applyProtection="1">
      <alignment vertical="center"/>
      <protection locked="0"/>
    </xf>
    <xf numFmtId="0" fontId="64" fillId="0" borderId="117" xfId="0" applyFont="1" applyBorder="1" applyAlignment="1" applyProtection="1">
      <alignment vertical="center"/>
      <protection locked="0"/>
    </xf>
    <xf numFmtId="0" fontId="59" fillId="0" borderId="117" xfId="0" applyFont="1" applyBorder="1" applyProtection="1">
      <protection locked="0"/>
    </xf>
    <xf numFmtId="0" fontId="59" fillId="0" borderId="102" xfId="0" applyFont="1" applyBorder="1" applyProtection="1">
      <protection locked="0"/>
    </xf>
    <xf numFmtId="0" fontId="75" fillId="0" borderId="111" xfId="0" applyFont="1" applyBorder="1" applyAlignment="1" applyProtection="1">
      <alignment horizontal="left" vertical="center" wrapText="1"/>
      <protection locked="0"/>
    </xf>
    <xf numFmtId="0" fontId="75" fillId="0" borderId="77" xfId="0" applyFont="1" applyBorder="1" applyAlignment="1" applyProtection="1">
      <alignment horizontal="left" vertical="center" wrapText="1"/>
      <protection locked="0"/>
    </xf>
    <xf numFmtId="0" fontId="75" fillId="0" borderId="33" xfId="0" applyFont="1" applyBorder="1" applyAlignment="1" applyProtection="1">
      <alignment horizontal="left" vertical="center" wrapText="1"/>
      <protection locked="0"/>
    </xf>
    <xf numFmtId="0" fontId="75" fillId="0" borderId="77" xfId="0" applyFont="1" applyBorder="1" applyAlignment="1" applyProtection="1">
      <alignment horizontal="center" vertical="center" wrapText="1" shrinkToFit="1"/>
      <protection locked="0"/>
    </xf>
    <xf numFmtId="0" fontId="75" fillId="0" borderId="112" xfId="0" applyFont="1" applyBorder="1" applyAlignment="1" applyProtection="1">
      <alignment horizontal="center" vertical="center" wrapText="1" shrinkToFit="1"/>
      <protection locked="0"/>
    </xf>
    <xf numFmtId="0" fontId="66" fillId="0" borderId="103" xfId="0" applyFont="1" applyBorder="1" applyAlignment="1" applyProtection="1">
      <alignment vertical="center" shrinkToFit="1"/>
      <protection locked="0"/>
    </xf>
    <xf numFmtId="0" fontId="75" fillId="0" borderId="77" xfId="0" applyFont="1" applyBorder="1" applyAlignment="1" applyProtection="1">
      <alignment vertical="center" shrinkToFit="1"/>
      <protection locked="0"/>
    </xf>
    <xf numFmtId="0" fontId="75" fillId="0" borderId="112" xfId="0" applyFont="1" applyBorder="1" applyAlignment="1" applyProtection="1">
      <alignment vertical="center" shrinkToFit="1"/>
      <protection locked="0"/>
    </xf>
    <xf numFmtId="0" fontId="75" fillId="14" borderId="183" xfId="0" applyFont="1" applyFill="1" applyBorder="1" applyAlignment="1" applyProtection="1">
      <alignment horizontal="left" vertical="center"/>
      <protection locked="0"/>
    </xf>
    <xf numFmtId="0" fontId="75" fillId="0" borderId="104" xfId="0" applyFont="1" applyBorder="1" applyAlignment="1" applyProtection="1">
      <alignment vertical="center" shrinkToFit="1"/>
      <protection locked="0"/>
    </xf>
    <xf numFmtId="0" fontId="75" fillId="14" borderId="4" xfId="0" applyFont="1" applyFill="1" applyBorder="1" applyAlignment="1" applyProtection="1">
      <alignment vertical="center" shrinkToFit="1"/>
      <protection locked="0"/>
    </xf>
    <xf numFmtId="0" fontId="75" fillId="14" borderId="105" xfId="0" applyFont="1" applyFill="1" applyBorder="1" applyAlignment="1" applyProtection="1">
      <alignment vertical="center" shrinkToFit="1"/>
      <protection locked="0"/>
    </xf>
    <xf numFmtId="0" fontId="75" fillId="14" borderId="184" xfId="0" applyFont="1" applyFill="1" applyBorder="1" applyAlignment="1" applyProtection="1">
      <alignment horizontal="left" vertical="center"/>
      <protection locked="0"/>
    </xf>
    <xf numFmtId="0" fontId="75" fillId="0" borderId="104" xfId="0" applyFont="1" applyBorder="1" applyAlignment="1" applyProtection="1">
      <alignment horizontal="right" vertical="center" shrinkToFit="1"/>
      <protection locked="0"/>
    </xf>
    <xf numFmtId="0" fontId="75" fillId="14" borderId="173" xfId="0" applyFont="1" applyFill="1" applyBorder="1" applyAlignment="1" applyProtection="1">
      <alignment horizontal="left" vertical="center"/>
      <protection locked="0"/>
    </xf>
    <xf numFmtId="0" fontId="75" fillId="0" borderId="185" xfId="0" applyFont="1" applyBorder="1" applyAlignment="1" applyProtection="1">
      <alignment horizontal="left" vertical="center"/>
      <protection locked="0"/>
    </xf>
    <xf numFmtId="0" fontId="75" fillId="0" borderId="186" xfId="0" applyFont="1" applyBorder="1" applyAlignment="1" applyProtection="1">
      <alignment horizontal="left" vertical="center"/>
      <protection locked="0"/>
    </xf>
    <xf numFmtId="0" fontId="75" fillId="0" borderId="114" xfId="0" applyFont="1" applyBorder="1" applyAlignment="1" applyProtection="1">
      <alignment vertical="center" shrinkToFit="1"/>
      <protection locked="0"/>
    </xf>
    <xf numFmtId="0" fontId="75" fillId="14" borderId="117" xfId="0" applyFont="1" applyFill="1" applyBorder="1" applyAlignment="1" applyProtection="1">
      <alignment vertical="center" shrinkToFit="1"/>
      <protection locked="0"/>
    </xf>
    <xf numFmtId="0" fontId="75" fillId="0" borderId="0" xfId="0" applyFont="1" applyAlignment="1" applyProtection="1">
      <alignment vertical="center" shrinkToFit="1"/>
      <protection locked="0"/>
    </xf>
    <xf numFmtId="0" fontId="75" fillId="0" borderId="177" xfId="0" applyFont="1" applyBorder="1" applyAlignment="1" applyProtection="1">
      <alignment vertical="top"/>
      <protection locked="0"/>
    </xf>
    <xf numFmtId="0" fontId="75" fillId="14" borderId="187" xfId="0" applyFont="1" applyFill="1" applyBorder="1" applyAlignment="1" applyProtection="1">
      <alignment vertical="center"/>
      <protection locked="0"/>
    </xf>
    <xf numFmtId="0" fontId="75" fillId="0" borderId="188" xfId="0" applyFont="1" applyBorder="1" applyAlignment="1" applyProtection="1">
      <alignment horizontal="left" vertical="center"/>
      <protection locked="0"/>
    </xf>
    <xf numFmtId="0" fontId="75" fillId="14" borderId="187" xfId="0" applyFont="1" applyFill="1" applyBorder="1" applyAlignment="1" applyProtection="1">
      <alignment horizontal="left" vertical="center"/>
      <protection locked="0"/>
    </xf>
    <xf numFmtId="0" fontId="75" fillId="14" borderId="189" xfId="0" applyFont="1" applyFill="1" applyBorder="1" applyAlignment="1" applyProtection="1">
      <alignment horizontal="left" vertical="center"/>
      <protection locked="0"/>
    </xf>
    <xf numFmtId="0" fontId="75" fillId="14" borderId="102" xfId="0" applyFont="1" applyFill="1" applyBorder="1" applyAlignment="1" applyProtection="1">
      <alignment vertical="center" shrinkToFit="1"/>
      <protection locked="0"/>
    </xf>
    <xf numFmtId="0" fontId="75" fillId="0" borderId="0" xfId="0" applyFont="1" applyAlignment="1">
      <alignment vertical="center"/>
    </xf>
    <xf numFmtId="0" fontId="75" fillId="0" borderId="0" xfId="0" applyFont="1" applyAlignment="1">
      <alignment vertical="top"/>
    </xf>
    <xf numFmtId="0" fontId="65" fillId="0" borderId="28" xfId="0" applyFont="1" applyBorder="1"/>
    <xf numFmtId="0" fontId="65" fillId="0" borderId="29" xfId="0" applyFont="1" applyBorder="1"/>
    <xf numFmtId="0" fontId="59" fillId="0" borderId="4" xfId="0" applyFont="1" applyBorder="1"/>
    <xf numFmtId="0" fontId="75" fillId="0" borderId="4" xfId="0" applyFont="1" applyBorder="1" applyAlignment="1">
      <alignment horizontal="center" vertical="center"/>
    </xf>
    <xf numFmtId="0" fontId="75" fillId="0" borderId="4" xfId="0" applyFont="1" applyBorder="1" applyAlignment="1">
      <alignment horizontal="center" vertical="center" shrinkToFit="1"/>
    </xf>
    <xf numFmtId="0" fontId="61" fillId="4"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93" xfId="0" applyFont="1" applyBorder="1" applyAlignment="1">
      <alignment vertical="center" wrapText="1"/>
    </xf>
    <xf numFmtId="0" fontId="59" fillId="0" borderId="194" xfId="0" applyFont="1" applyBorder="1" applyAlignment="1">
      <alignment vertical="center" wrapText="1"/>
    </xf>
    <xf numFmtId="0" fontId="59" fillId="0" borderId="149" xfId="0" applyFont="1" applyBorder="1" applyAlignment="1">
      <alignment vertical="center" wrapText="1"/>
    </xf>
    <xf numFmtId="0" fontId="59" fillId="0" borderId="94" xfId="0" applyFont="1" applyBorder="1" applyAlignment="1">
      <alignment shrinkToFit="1"/>
    </xf>
    <xf numFmtId="0" fontId="59" fillId="0" borderId="95" xfId="0" applyFont="1" applyBorder="1" applyAlignment="1">
      <alignment vertical="center"/>
    </xf>
    <xf numFmtId="0" fontId="59" fillId="0" borderId="93" xfId="0" applyFont="1" applyBorder="1" applyAlignment="1">
      <alignment vertical="center"/>
    </xf>
    <xf numFmtId="0" fontId="59" fillId="0" borderId="4" xfId="0" applyFont="1" applyBorder="1" applyAlignment="1">
      <alignment vertical="center" shrinkToFit="1"/>
    </xf>
    <xf numFmtId="0" fontId="59" fillId="0" borderId="105" xfId="0" applyFont="1" applyBorder="1" applyAlignment="1">
      <alignment vertical="center"/>
    </xf>
    <xf numFmtId="0" fontId="59" fillId="0" borderId="29" xfId="0" applyFont="1" applyBorder="1" applyAlignment="1">
      <alignment vertical="center"/>
    </xf>
    <xf numFmtId="0" fontId="59" fillId="0" borderId="4" xfId="0" applyFont="1" applyBorder="1" applyAlignment="1">
      <alignment vertical="center"/>
    </xf>
    <xf numFmtId="0" fontId="59" fillId="9" borderId="0" xfId="0" applyFont="1" applyFill="1" applyAlignment="1">
      <alignment vertical="center"/>
    </xf>
    <xf numFmtId="0" fontId="59" fillId="0" borderId="8" xfId="0" applyFont="1" applyBorder="1" applyAlignment="1">
      <alignment vertical="center"/>
    </xf>
    <xf numFmtId="0" fontId="59" fillId="14" borderId="4" xfId="0" applyFont="1" applyFill="1" applyBorder="1" applyAlignment="1">
      <alignment vertical="center" shrinkToFit="1"/>
    </xf>
    <xf numFmtId="0" fontId="59" fillId="14" borderId="105" xfId="0" applyFont="1" applyFill="1" applyBorder="1" applyAlignment="1">
      <alignment vertical="center"/>
    </xf>
    <xf numFmtId="0" fontId="59" fillId="14" borderId="29" xfId="0" applyFont="1" applyFill="1" applyBorder="1" applyAlignment="1">
      <alignment vertical="center"/>
    </xf>
    <xf numFmtId="0" fontId="59" fillId="14" borderId="4" xfId="0" applyFont="1" applyFill="1" applyBorder="1" applyAlignment="1">
      <alignment vertical="center"/>
    </xf>
    <xf numFmtId="0" fontId="59" fillId="0" borderId="195" xfId="0" applyFont="1" applyBorder="1" applyAlignment="1">
      <alignment horizontal="left" vertical="top"/>
    </xf>
    <xf numFmtId="0" fontId="59" fillId="0" borderId="197" xfId="0" applyFont="1" applyBorder="1"/>
    <xf numFmtId="0" fontId="59" fillId="0" borderId="199" xfId="0" applyFont="1" applyBorder="1" applyAlignment="1">
      <alignment horizontal="left" vertical="top"/>
    </xf>
    <xf numFmtId="0" fontId="59" fillId="0" borderId="201" xfId="0" applyFont="1" applyBorder="1"/>
    <xf numFmtId="0" fontId="59" fillId="0" borderId="203" xfId="0" applyFont="1" applyBorder="1"/>
    <xf numFmtId="0" fontId="59" fillId="0" borderId="91" xfId="0" applyFont="1" applyBorder="1"/>
    <xf numFmtId="0" fontId="59" fillId="0" borderId="194" xfId="0" applyFont="1" applyBorder="1"/>
    <xf numFmtId="0" fontId="59" fillId="0" borderId="149" xfId="0" applyFont="1" applyBorder="1"/>
    <xf numFmtId="0" fontId="59" fillId="0" borderId="90" xfId="0" applyFont="1" applyBorder="1"/>
    <xf numFmtId="0" fontId="59" fillId="0" borderId="93" xfId="0" applyFont="1" applyBorder="1" applyAlignment="1">
      <alignment horizontal="center"/>
    </xf>
    <xf numFmtId="0" fontId="59" fillId="0" borderId="94" xfId="0" applyFont="1" applyBorder="1"/>
    <xf numFmtId="0" fontId="59" fillId="0" borderId="95" xfId="0" applyFont="1" applyBorder="1"/>
    <xf numFmtId="0" fontId="59" fillId="0" borderId="28" xfId="0" applyFont="1" applyBorder="1"/>
    <xf numFmtId="0" fontId="59" fillId="0" borderId="29" xfId="0" applyFont="1" applyBorder="1" applyAlignment="1">
      <alignment horizontal="center"/>
    </xf>
    <xf numFmtId="0" fontId="59" fillId="0" borderId="105" xfId="0" applyFont="1" applyBorder="1"/>
    <xf numFmtId="0" fontId="59" fillId="0" borderId="121" xfId="0" applyFont="1" applyBorder="1"/>
    <xf numFmtId="0" fontId="59" fillId="0" borderId="117" xfId="0" applyFont="1" applyBorder="1"/>
    <xf numFmtId="0" fontId="59" fillId="0" borderId="102" xfId="0" applyFont="1" applyBorder="1"/>
    <xf numFmtId="0" fontId="59" fillId="0" borderId="101" xfId="0" applyFont="1" applyBorder="1" applyAlignment="1">
      <alignment horizontal="center"/>
    </xf>
    <xf numFmtId="0" fontId="59" fillId="0" borderId="93" xfId="0" applyFont="1" applyBorder="1"/>
    <xf numFmtId="0" fontId="59" fillId="0" borderId="29" xfId="0" applyFont="1" applyBorder="1"/>
    <xf numFmtId="0" fontId="59" fillId="0" borderId="101" xfId="0" applyFont="1" applyBorder="1"/>
    <xf numFmtId="0" fontId="75" fillId="0" borderId="83" xfId="0" applyFont="1" applyBorder="1" applyAlignment="1">
      <alignment horizontal="left" vertical="center"/>
    </xf>
    <xf numFmtId="0" fontId="75" fillId="0" borderId="5" xfId="0" applyFont="1" applyBorder="1" applyAlignment="1">
      <alignment horizontal="left" vertical="center"/>
    </xf>
    <xf numFmtId="0" fontId="75" fillId="0" borderId="84" xfId="0" applyFont="1" applyBorder="1" applyAlignment="1">
      <alignment horizontal="left" vertical="center"/>
    </xf>
    <xf numFmtId="0" fontId="69" fillId="7" borderId="0" xfId="7" applyFont="1" applyFill="1" applyAlignment="1">
      <alignment vertical="center" wrapText="1"/>
    </xf>
    <xf numFmtId="0" fontId="77" fillId="7" borderId="0" xfId="7" applyFont="1" applyFill="1">
      <alignment vertical="center"/>
    </xf>
    <xf numFmtId="0" fontId="59" fillId="0" borderId="0" xfId="0" applyFont="1" applyProtection="1"/>
    <xf numFmtId="0" fontId="59" fillId="0" borderId="88" xfId="0" applyFont="1" applyBorder="1" applyAlignment="1">
      <alignment vertical="center"/>
    </xf>
    <xf numFmtId="0" fontId="59" fillId="0" borderId="84" xfId="0" applyFont="1" applyBorder="1" applyAlignment="1">
      <alignment vertical="center"/>
    </xf>
    <xf numFmtId="0" fontId="59" fillId="14" borderId="84" xfId="0" applyFont="1" applyFill="1" applyBorder="1" applyAlignment="1">
      <alignment vertical="center"/>
    </xf>
    <xf numFmtId="0" fontId="75" fillId="0" borderId="84" xfId="7" applyFont="1" applyBorder="1">
      <alignment vertical="center"/>
    </xf>
    <xf numFmtId="0" fontId="64" fillId="0" borderId="84" xfId="7" applyFont="1" applyBorder="1">
      <alignment vertical="center"/>
    </xf>
    <xf numFmtId="0" fontId="77" fillId="0" borderId="0" xfId="7" applyFont="1">
      <alignment vertical="center"/>
    </xf>
    <xf numFmtId="0" fontId="79" fillId="0" borderId="0" xfId="0" applyFont="1" applyAlignment="1">
      <alignment vertical="center"/>
    </xf>
    <xf numFmtId="0" fontId="69" fillId="0" borderId="0" xfId="7" applyFont="1" applyAlignment="1">
      <alignment vertical="center" wrapText="1"/>
    </xf>
    <xf numFmtId="0" fontId="64" fillId="0" borderId="89" xfId="0" applyFont="1" applyBorder="1" applyAlignment="1" applyProtection="1">
      <alignment vertical="center"/>
      <protection locked="0"/>
    </xf>
    <xf numFmtId="0" fontId="64" fillId="0" borderId="95" xfId="0" applyFont="1" applyBorder="1" applyAlignment="1" applyProtection="1">
      <alignment vertical="center"/>
      <protection locked="0"/>
    </xf>
    <xf numFmtId="0" fontId="64" fillId="0" borderId="106" xfId="0" applyFont="1" applyBorder="1" applyAlignment="1" applyProtection="1">
      <alignment horizontal="center" vertical="center"/>
      <protection locked="0"/>
    </xf>
    <xf numFmtId="0" fontId="64" fillId="0" borderId="98" xfId="0" applyFont="1" applyBorder="1" applyAlignment="1" applyProtection="1">
      <alignment horizontal="center" vertical="center"/>
      <protection locked="0"/>
    </xf>
    <xf numFmtId="0" fontId="64" fillId="0" borderId="204" xfId="7" applyFont="1" applyBorder="1" applyAlignment="1">
      <alignment horizontal="left" vertical="top"/>
    </xf>
    <xf numFmtId="0" fontId="59" fillId="0" borderId="205" xfId="0" applyFont="1" applyBorder="1" applyAlignment="1">
      <alignment horizontal="left" vertical="top"/>
    </xf>
    <xf numFmtId="0" fontId="59" fillId="0" borderId="206" xfId="0" applyFont="1" applyBorder="1" applyAlignment="1">
      <alignment horizontal="left" vertical="top"/>
    </xf>
    <xf numFmtId="0" fontId="59" fillId="0" borderId="207" xfId="0" applyFont="1" applyBorder="1" applyAlignment="1">
      <alignment horizontal="left" vertical="top"/>
    </xf>
    <xf numFmtId="0" fontId="73" fillId="0" borderId="0" xfId="1" applyFont="1" applyAlignment="1" applyProtection="1">
      <alignment horizontal="left" vertical="center"/>
    </xf>
    <xf numFmtId="0" fontId="73" fillId="0" borderId="0" xfId="1" applyFont="1" applyAlignment="1" applyProtection="1">
      <alignment vertical="center"/>
    </xf>
    <xf numFmtId="0" fontId="59" fillId="0" borderId="208" xfId="0" applyFont="1" applyBorder="1"/>
    <xf numFmtId="0" fontId="64" fillId="0" borderId="0" xfId="7" applyFont="1" applyAlignment="1">
      <alignment vertical="center" shrinkToFit="1"/>
    </xf>
    <xf numFmtId="0" fontId="64" fillId="0" borderId="209" xfId="7" applyFont="1" applyBorder="1">
      <alignment vertical="center"/>
    </xf>
    <xf numFmtId="0" fontId="64" fillId="0" borderId="64" xfId="7" applyFont="1" applyBorder="1">
      <alignment vertical="center"/>
    </xf>
    <xf numFmtId="0" fontId="64" fillId="0" borderId="210" xfId="7" applyFont="1" applyBorder="1">
      <alignment vertical="center"/>
    </xf>
    <xf numFmtId="0" fontId="64" fillId="0" borderId="210" xfId="7" applyFont="1" applyBorder="1" applyAlignment="1">
      <alignment vertical="center" wrapText="1"/>
    </xf>
    <xf numFmtId="0" fontId="64" fillId="0" borderId="64" xfId="7" applyFont="1" applyBorder="1" applyAlignment="1">
      <alignment vertical="center" wrapText="1"/>
    </xf>
    <xf numFmtId="0" fontId="64" fillId="0" borderId="211" xfId="7" applyFont="1" applyBorder="1" applyAlignment="1">
      <alignment vertical="center" wrapText="1"/>
    </xf>
    <xf numFmtId="0" fontId="64" fillId="0" borderId="65" xfId="7" applyFont="1" applyBorder="1" applyAlignment="1">
      <alignment vertical="center" wrapText="1"/>
    </xf>
    <xf numFmtId="0" fontId="64" fillId="0" borderId="211" xfId="7" applyFont="1" applyBorder="1">
      <alignment vertical="center"/>
    </xf>
    <xf numFmtId="0" fontId="64" fillId="0" borderId="68" xfId="7" applyFont="1" applyBorder="1">
      <alignment vertical="center"/>
    </xf>
    <xf numFmtId="0" fontId="64" fillId="0" borderId="49" xfId="7" applyFont="1" applyBorder="1" applyAlignment="1">
      <alignment vertical="center" wrapText="1"/>
    </xf>
    <xf numFmtId="0" fontId="64" fillId="0" borderId="52" xfId="7" applyFont="1" applyBorder="1">
      <alignment vertical="center"/>
    </xf>
    <xf numFmtId="0" fontId="64" fillId="0" borderId="18" xfId="7" applyFont="1" applyBorder="1">
      <alignment vertical="center"/>
    </xf>
    <xf numFmtId="0" fontId="64" fillId="0" borderId="13" xfId="7" applyFont="1" applyBorder="1">
      <alignment vertical="center"/>
    </xf>
    <xf numFmtId="0" fontId="64" fillId="0" borderId="50" xfId="7" applyFont="1" applyBorder="1">
      <alignment vertical="center"/>
    </xf>
    <xf numFmtId="0" fontId="64" fillId="0" borderId="51" xfId="7" applyFont="1" applyBorder="1">
      <alignment vertical="center"/>
    </xf>
    <xf numFmtId="0" fontId="64" fillId="0" borderId="66" xfId="7" applyFont="1" applyBorder="1">
      <alignment vertical="center"/>
    </xf>
    <xf numFmtId="0" fontId="64" fillId="0" borderId="14" xfId="7" applyFont="1" applyBorder="1">
      <alignment vertical="center"/>
    </xf>
    <xf numFmtId="0" fontId="64" fillId="0" borderId="1" xfId="7" applyFont="1" applyBorder="1" applyAlignment="1">
      <alignment vertical="center" wrapText="1"/>
    </xf>
    <xf numFmtId="0" fontId="64" fillId="0" borderId="57" xfId="7" applyFont="1" applyBorder="1">
      <alignment vertical="center"/>
    </xf>
    <xf numFmtId="0" fontId="64" fillId="0" borderId="1" xfId="7" applyFont="1" applyBorder="1">
      <alignment vertical="center"/>
    </xf>
    <xf numFmtId="0" fontId="64" fillId="0" borderId="16" xfId="7" applyFont="1" applyBorder="1">
      <alignment vertical="center"/>
    </xf>
    <xf numFmtId="0" fontId="64" fillId="0" borderId="10" xfId="7" applyFont="1" applyBorder="1">
      <alignment vertical="center"/>
    </xf>
    <xf numFmtId="0" fontId="64" fillId="0" borderId="212" xfId="7" applyFont="1" applyBorder="1">
      <alignment vertical="center"/>
    </xf>
    <xf numFmtId="0" fontId="64" fillId="0" borderId="213" xfId="7" applyFont="1" applyBorder="1">
      <alignment vertical="center"/>
    </xf>
    <xf numFmtId="0" fontId="64" fillId="0" borderId="71" xfId="7" applyFont="1" applyBorder="1">
      <alignment vertical="center"/>
    </xf>
    <xf numFmtId="0" fontId="64" fillId="0" borderId="15" xfId="7" applyFont="1" applyBorder="1">
      <alignment vertical="center"/>
    </xf>
    <xf numFmtId="0" fontId="64" fillId="0" borderId="40" xfId="7" applyFont="1" applyBorder="1" applyAlignment="1">
      <alignment vertical="center" wrapText="1"/>
    </xf>
    <xf numFmtId="0" fontId="64" fillId="0" borderId="54" xfId="7" applyFont="1" applyBorder="1">
      <alignment vertical="center"/>
    </xf>
    <xf numFmtId="0" fontId="64" fillId="0" borderId="40" xfId="7" applyFont="1" applyBorder="1">
      <alignment vertical="center"/>
    </xf>
    <xf numFmtId="0" fontId="64" fillId="0" borderId="17" xfId="7" applyFont="1" applyBorder="1">
      <alignment vertical="center"/>
    </xf>
    <xf numFmtId="0" fontId="64" fillId="0" borderId="11" xfId="7" applyFont="1" applyBorder="1">
      <alignment vertical="center"/>
    </xf>
    <xf numFmtId="0" fontId="64" fillId="0" borderId="214" xfId="7" applyFont="1" applyBorder="1">
      <alignment vertical="center"/>
    </xf>
    <xf numFmtId="0" fontId="64" fillId="0" borderId="215" xfId="7" applyFont="1" applyBorder="1">
      <alignment vertical="center"/>
    </xf>
    <xf numFmtId="0" fontId="64" fillId="0" borderId="73" xfId="7" applyFont="1" applyBorder="1">
      <alignment vertical="center"/>
    </xf>
    <xf numFmtId="0" fontId="64" fillId="14" borderId="4" xfId="7" applyFont="1" applyFill="1" applyBorder="1">
      <alignment vertical="center"/>
    </xf>
    <xf numFmtId="176" fontId="7" fillId="4" borderId="219" xfId="0" applyNumberFormat="1" applyFont="1" applyFill="1" applyBorder="1" applyAlignment="1" applyProtection="1">
      <alignment vertical="center"/>
      <protection locked="0"/>
    </xf>
    <xf numFmtId="0" fontId="59" fillId="0" borderId="86" xfId="0" applyFont="1" applyFill="1" applyBorder="1" applyAlignment="1">
      <alignment vertical="center"/>
    </xf>
    <xf numFmtId="0" fontId="59" fillId="20" borderId="87" xfId="0" applyFont="1" applyFill="1" applyBorder="1" applyAlignment="1" applyProtection="1">
      <alignment vertical="center"/>
      <protection locked="0"/>
    </xf>
    <xf numFmtId="0" fontId="82" fillId="0" borderId="93" xfId="0" applyFont="1" applyFill="1" applyBorder="1" applyAlignment="1" applyProtection="1">
      <alignment horizontal="right" vertical="center" shrinkToFit="1"/>
      <protection locked="0"/>
    </xf>
    <xf numFmtId="0" fontId="83" fillId="0" borderId="87" xfId="1" applyFont="1" applyFill="1" applyBorder="1" applyAlignment="1" applyProtection="1">
      <alignment horizontal="center" vertical="center"/>
      <protection locked="0"/>
    </xf>
    <xf numFmtId="0" fontId="84" fillId="0" borderId="87" xfId="0" applyFont="1" applyFill="1" applyBorder="1" applyAlignment="1" applyProtection="1">
      <alignment horizontal="center" vertical="center"/>
      <protection locked="0"/>
    </xf>
    <xf numFmtId="0" fontId="82" fillId="0" borderId="93" xfId="0" applyFont="1" applyFill="1" applyBorder="1" applyAlignment="1" applyProtection="1">
      <alignment horizontal="right" vertical="center"/>
      <protection locked="0"/>
    </xf>
    <xf numFmtId="0" fontId="84" fillId="0" borderId="88" xfId="0" applyFont="1" applyFill="1" applyBorder="1" applyAlignment="1" applyProtection="1">
      <alignment horizontal="center" vertical="center"/>
      <protection locked="0"/>
    </xf>
    <xf numFmtId="0" fontId="59" fillId="0" borderId="83" xfId="0" applyFont="1" applyFill="1" applyBorder="1" applyAlignment="1">
      <alignment vertical="center"/>
    </xf>
    <xf numFmtId="0" fontId="59" fillId="20" borderId="34" xfId="0" applyFont="1" applyFill="1" applyBorder="1" applyAlignment="1" applyProtection="1">
      <alignment vertical="center"/>
      <protection locked="0"/>
    </xf>
    <xf numFmtId="0" fontId="82" fillId="0" borderId="39" xfId="0" applyFont="1" applyFill="1" applyBorder="1" applyAlignment="1" applyProtection="1">
      <alignment horizontal="right" vertical="center" shrinkToFit="1"/>
      <protection locked="0"/>
    </xf>
    <xf numFmtId="0" fontId="83" fillId="0" borderId="34" xfId="1" applyFont="1" applyFill="1" applyBorder="1" applyAlignment="1" applyProtection="1">
      <alignment horizontal="center" vertical="center"/>
      <protection locked="0"/>
    </xf>
    <xf numFmtId="0" fontId="82" fillId="0" borderId="39" xfId="0" applyFont="1" applyFill="1" applyBorder="1" applyAlignment="1" applyProtection="1">
      <alignment horizontal="right" vertical="center"/>
      <protection locked="0"/>
    </xf>
    <xf numFmtId="0" fontId="84" fillId="0" borderId="34" xfId="0" applyFont="1" applyFill="1" applyBorder="1" applyAlignment="1" applyProtection="1">
      <alignment horizontal="center" vertical="center"/>
      <protection locked="0"/>
    </xf>
    <xf numFmtId="0" fontId="82" fillId="0" borderId="34" xfId="0" applyFont="1" applyFill="1" applyBorder="1" applyAlignment="1" applyProtection="1">
      <alignment horizontal="right" vertical="center"/>
      <protection locked="0"/>
    </xf>
    <xf numFmtId="0" fontId="84" fillId="0" borderId="112" xfId="0" applyFont="1" applyFill="1" applyBorder="1" applyAlignment="1" applyProtection="1">
      <alignment horizontal="center" vertical="center"/>
      <protection locked="0"/>
    </xf>
    <xf numFmtId="38" fontId="59" fillId="0" borderId="0" xfId="3" applyFont="1" applyAlignment="1"/>
    <xf numFmtId="38" fontId="59" fillId="0" borderId="24" xfId="3" applyFont="1" applyBorder="1" applyAlignment="1"/>
    <xf numFmtId="0" fontId="59" fillId="0" borderId="99" xfId="0" applyFont="1" applyFill="1" applyBorder="1" applyAlignment="1">
      <alignment vertical="center"/>
    </xf>
    <xf numFmtId="0" fontId="59" fillId="20" borderId="24" xfId="0" applyFont="1" applyFill="1" applyBorder="1" applyAlignment="1" applyProtection="1">
      <alignment vertical="center"/>
      <protection locked="0"/>
    </xf>
    <xf numFmtId="0" fontId="82" fillId="0" borderId="101" xfId="0" applyFont="1" applyFill="1" applyBorder="1" applyAlignment="1" applyProtection="1">
      <alignment horizontal="right" vertical="center" shrinkToFit="1"/>
      <protection locked="0"/>
    </xf>
    <xf numFmtId="0" fontId="83" fillId="0" borderId="24" xfId="1" applyFont="1" applyFill="1" applyBorder="1" applyAlignment="1" applyProtection="1">
      <alignment horizontal="center" vertical="center"/>
      <protection locked="0"/>
    </xf>
    <xf numFmtId="0" fontId="82" fillId="0" borderId="124" xfId="0" applyFont="1" applyFill="1" applyBorder="1" applyAlignment="1" applyProtection="1">
      <alignment horizontal="right" vertical="center"/>
      <protection locked="0"/>
    </xf>
    <xf numFmtId="0" fontId="84" fillId="0" borderId="24" xfId="0" applyFont="1" applyFill="1" applyBorder="1" applyAlignment="1" applyProtection="1">
      <alignment horizontal="center" vertical="center"/>
      <protection locked="0"/>
    </xf>
    <xf numFmtId="0" fontId="82" fillId="0" borderId="24" xfId="0" applyFont="1" applyFill="1" applyBorder="1" applyAlignment="1" applyProtection="1">
      <alignment horizontal="right" vertical="center"/>
      <protection locked="0"/>
    </xf>
    <xf numFmtId="0" fontId="84" fillId="0" borderId="133" xfId="0" applyFont="1" applyFill="1" applyBorder="1" applyAlignment="1" applyProtection="1">
      <alignment horizontal="center" vertical="center"/>
      <protection locked="0"/>
    </xf>
    <xf numFmtId="0" fontId="90" fillId="6" borderId="0" xfId="1" applyFont="1" applyFill="1" applyAlignment="1" applyProtection="1">
      <alignment vertical="center"/>
    </xf>
    <xf numFmtId="0" fontId="59" fillId="0" borderId="89" xfId="0" applyFont="1" applyBorder="1" applyAlignment="1">
      <alignment vertical="center"/>
    </xf>
    <xf numFmtId="0" fontId="59" fillId="0" borderId="104" xfId="0" applyFont="1" applyBorder="1" applyAlignment="1">
      <alignment vertical="center"/>
    </xf>
    <xf numFmtId="0" fontId="59" fillId="14" borderId="104" xfId="0" applyFont="1" applyFill="1" applyBorder="1" applyAlignment="1">
      <alignment vertical="center"/>
    </xf>
    <xf numFmtId="0" fontId="75" fillId="0" borderId="104" xfId="7" applyFont="1" applyBorder="1">
      <alignment vertical="center"/>
    </xf>
    <xf numFmtId="0" fontId="64" fillId="0" borderId="104" xfId="7" applyFont="1" applyBorder="1">
      <alignment vertical="center"/>
    </xf>
    <xf numFmtId="0" fontId="64" fillId="0" borderId="114" xfId="7" applyFont="1" applyBorder="1">
      <alignment vertical="center"/>
    </xf>
    <xf numFmtId="0" fontId="64" fillId="0" borderId="113" xfId="7" applyFont="1" applyBorder="1">
      <alignment vertical="center"/>
    </xf>
    <xf numFmtId="0" fontId="59" fillId="0" borderId="198" xfId="0" applyFont="1" applyFill="1" applyBorder="1" applyAlignment="1">
      <alignment vertical="center"/>
    </xf>
    <xf numFmtId="0" fontId="59" fillId="0" borderId="197" xfId="0" applyFont="1" applyFill="1" applyBorder="1" applyAlignment="1">
      <alignment vertical="center"/>
    </xf>
    <xf numFmtId="0" fontId="59" fillId="0" borderId="202" xfId="0" applyFont="1" applyFill="1" applyBorder="1" applyAlignment="1">
      <alignment vertical="center"/>
    </xf>
    <xf numFmtId="0" fontId="59" fillId="0" borderId="203" xfId="0" applyFont="1" applyFill="1" applyBorder="1" applyAlignment="1">
      <alignment vertical="center"/>
    </xf>
    <xf numFmtId="0" fontId="68" fillId="0" borderId="0" xfId="12" applyFont="1" applyAlignment="1" applyProtection="1">
      <alignment vertical="top"/>
    </xf>
    <xf numFmtId="0" fontId="64" fillId="0" borderId="0" xfId="12" applyFont="1" applyProtection="1">
      <alignment vertical="center"/>
    </xf>
    <xf numFmtId="0" fontId="60" fillId="0" borderId="0" xfId="12" applyFont="1" applyAlignment="1" applyProtection="1">
      <alignment vertical="top"/>
    </xf>
    <xf numFmtId="0" fontId="85" fillId="0" borderId="0" xfId="12" applyFont="1" applyAlignment="1" applyProtection="1">
      <alignment vertical="top"/>
    </xf>
    <xf numFmtId="0" fontId="65" fillId="0" borderId="0" xfId="12" applyFont="1" applyAlignment="1" applyProtection="1">
      <alignment horizontal="left" vertical="center"/>
    </xf>
    <xf numFmtId="0" fontId="65" fillId="0" borderId="0" xfId="12" applyFont="1" applyProtection="1">
      <alignment vertical="center"/>
    </xf>
    <xf numFmtId="0" fontId="65" fillId="0" borderId="0" xfId="12" applyFont="1" applyAlignment="1" applyProtection="1">
      <alignment horizontal="center" vertical="center"/>
    </xf>
    <xf numFmtId="0" fontId="64" fillId="0" borderId="0" xfId="12" applyFont="1" applyAlignment="1" applyProtection="1">
      <alignment vertical="center" shrinkToFit="1"/>
    </xf>
    <xf numFmtId="0" fontId="65" fillId="0" borderId="0" xfId="12" applyFont="1" applyAlignment="1" applyProtection="1">
      <alignment horizontal="right" vertical="center"/>
    </xf>
    <xf numFmtId="0" fontId="62" fillId="12" borderId="5" xfId="12" applyFont="1" applyFill="1" applyBorder="1" applyAlignment="1" applyProtection="1">
      <alignment vertical="top"/>
    </xf>
    <xf numFmtId="0" fontId="62" fillId="12" borderId="5" xfId="12" applyFont="1" applyFill="1" applyBorder="1" applyAlignment="1" applyProtection="1">
      <alignment vertical="top" wrapText="1"/>
    </xf>
    <xf numFmtId="0" fontId="63" fillId="12" borderId="5" xfId="12" applyFont="1" applyFill="1" applyBorder="1" applyAlignment="1" applyProtection="1">
      <alignment vertical="top"/>
    </xf>
    <xf numFmtId="0" fontId="63" fillId="12" borderId="29" xfId="12" applyFont="1" applyFill="1" applyBorder="1" applyAlignment="1" applyProtection="1">
      <alignment vertical="top"/>
    </xf>
    <xf numFmtId="0" fontId="64" fillId="12" borderId="25" xfId="12" applyFont="1" applyFill="1" applyBorder="1" applyAlignment="1" applyProtection="1">
      <alignment horizontal="center" vertical="center"/>
    </xf>
    <xf numFmtId="0" fontId="65" fillId="12" borderId="0" xfId="12" applyFont="1" applyFill="1" applyAlignment="1" applyProtection="1">
      <alignment horizontal="left" vertical="center" wrapText="1"/>
    </xf>
    <xf numFmtId="0" fontId="64" fillId="12" borderId="0" xfId="12" applyFont="1" applyFill="1" applyAlignment="1" applyProtection="1">
      <alignment horizontal="center" vertical="center"/>
    </xf>
    <xf numFmtId="56" fontId="65" fillId="12" borderId="23" xfId="12" applyNumberFormat="1" applyFont="1" applyFill="1" applyBorder="1" applyAlignment="1" applyProtection="1">
      <alignment horizontal="center" vertical="center" wrapText="1"/>
    </xf>
    <xf numFmtId="0" fontId="65" fillId="12" borderId="25" xfId="12" applyFont="1" applyFill="1" applyBorder="1" applyProtection="1">
      <alignment vertical="center"/>
    </xf>
    <xf numFmtId="0" fontId="65" fillId="12" borderId="0" xfId="12" applyFont="1" applyFill="1" applyProtection="1">
      <alignment vertical="center"/>
    </xf>
    <xf numFmtId="0" fontId="65" fillId="12" borderId="23" xfId="12" applyFont="1" applyFill="1" applyBorder="1" applyProtection="1">
      <alignment vertical="center"/>
    </xf>
    <xf numFmtId="0" fontId="65" fillId="12" borderId="29" xfId="12" applyFont="1" applyFill="1" applyBorder="1" applyAlignment="1" applyProtection="1">
      <alignment horizontal="left" vertical="top"/>
    </xf>
    <xf numFmtId="0" fontId="64" fillId="12" borderId="28"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4" fillId="12" borderId="30" xfId="12" applyFont="1" applyFill="1" applyBorder="1" applyAlignment="1" applyProtection="1">
      <alignment horizontal="center" vertical="center"/>
    </xf>
    <xf numFmtId="0" fontId="65" fillId="12" borderId="30" xfId="12" applyFont="1" applyFill="1" applyBorder="1" applyAlignment="1" applyProtection="1">
      <alignment vertical="center" shrinkToFit="1"/>
    </xf>
    <xf numFmtId="0" fontId="65" fillId="12" borderId="8" xfId="12" applyFont="1" applyFill="1" applyBorder="1" applyAlignment="1" applyProtection="1">
      <alignment vertical="center" shrinkToFit="1"/>
    </xf>
    <xf numFmtId="0" fontId="65" fillId="12" borderId="36" xfId="12" applyFont="1" applyFill="1" applyBorder="1" applyAlignment="1" applyProtection="1">
      <alignment vertical="center" shrinkToFit="1"/>
    </xf>
    <xf numFmtId="187" fontId="64" fillId="0" borderId="0" xfId="12" applyNumberFormat="1" applyFont="1" applyProtection="1">
      <alignment vertical="center"/>
    </xf>
    <xf numFmtId="0" fontId="65" fillId="12" borderId="70" xfId="12" applyFont="1" applyFill="1" applyBorder="1" applyAlignment="1" applyProtection="1">
      <alignment horizontal="center" vertical="top"/>
    </xf>
    <xf numFmtId="187" fontId="65" fillId="12" borderId="70" xfId="12" applyNumberFormat="1" applyFont="1" applyFill="1" applyBorder="1" applyAlignment="1" applyProtection="1">
      <alignment horizontal="center" vertical="top" shrinkToFit="1"/>
    </xf>
    <xf numFmtId="0" fontId="64" fillId="0" borderId="0" xfId="12" applyFont="1" applyAlignment="1" applyProtection="1">
      <alignment vertical="center" wrapText="1"/>
    </xf>
    <xf numFmtId="0" fontId="62" fillId="7" borderId="28" xfId="12" applyFont="1" applyFill="1" applyBorder="1" applyProtection="1">
      <alignment vertical="center"/>
    </xf>
    <xf numFmtId="0" fontId="57" fillId="7" borderId="0" xfId="12" applyFont="1" applyFill="1" applyAlignment="1" applyProtection="1">
      <alignment vertical="top"/>
    </xf>
    <xf numFmtId="0" fontId="63" fillId="7" borderId="0" xfId="12" applyFont="1" applyFill="1" applyProtection="1">
      <alignment vertical="center"/>
    </xf>
    <xf numFmtId="0" fontId="63" fillId="0" borderId="0" xfId="12" applyFont="1" applyProtection="1">
      <alignment vertical="center"/>
    </xf>
    <xf numFmtId="0" fontId="91" fillId="0" borderId="0" xfId="7" applyFont="1" applyAlignment="1" applyProtection="1">
      <alignment vertical="center" shrinkToFit="1"/>
    </xf>
    <xf numFmtId="0" fontId="64" fillId="0" borderId="5" xfId="12" applyFont="1" applyBorder="1" applyProtection="1">
      <alignment vertical="center"/>
    </xf>
    <xf numFmtId="0" fontId="64" fillId="0" borderId="29" xfId="12" applyFont="1" applyBorder="1" applyAlignment="1" applyProtection="1">
      <alignment horizontal="center" vertical="center"/>
    </xf>
    <xf numFmtId="0" fontId="64" fillId="0" borderId="4" xfId="12" applyFont="1" applyBorder="1" applyAlignment="1" applyProtection="1">
      <alignment horizontal="center" vertical="center"/>
    </xf>
    <xf numFmtId="0" fontId="64" fillId="0" borderId="4" xfId="12" applyFont="1" applyBorder="1" applyAlignment="1" applyProtection="1">
      <alignment vertical="center" shrinkToFit="1"/>
    </xf>
    <xf numFmtId="1" fontId="64" fillId="0" borderId="4" xfId="12" applyNumberFormat="1" applyFont="1" applyBorder="1" applyAlignment="1" applyProtection="1">
      <alignment vertical="center" shrinkToFit="1"/>
    </xf>
    <xf numFmtId="0" fontId="87" fillId="0" borderId="5" xfId="12" applyFont="1" applyBorder="1" applyProtection="1">
      <alignment vertical="center"/>
    </xf>
    <xf numFmtId="0" fontId="64" fillId="0" borderId="217" xfId="12" applyFont="1" applyBorder="1" applyAlignment="1" applyProtection="1">
      <alignment vertical="center" shrinkToFit="1"/>
    </xf>
    <xf numFmtId="0" fontId="64" fillId="0" borderId="28" xfId="12" applyFont="1" applyBorder="1" applyAlignment="1" applyProtection="1">
      <alignment horizontal="left" vertical="center" shrinkToFit="1"/>
    </xf>
    <xf numFmtId="0" fontId="75" fillId="0" borderId="5" xfId="12" applyFont="1" applyBorder="1" applyProtection="1">
      <alignment vertical="center"/>
    </xf>
    <xf numFmtId="0" fontId="64" fillId="0" borderId="29" xfId="12" applyFont="1" applyBorder="1" applyAlignment="1" applyProtection="1">
      <alignment vertical="center" shrinkToFit="1"/>
    </xf>
    <xf numFmtId="0" fontId="64" fillId="0" borderId="5" xfId="12" applyFont="1" applyBorder="1" applyAlignment="1" applyProtection="1">
      <alignment vertical="center" wrapText="1"/>
    </xf>
    <xf numFmtId="0" fontId="64" fillId="0" borderId="8" xfId="12" applyFont="1" applyBorder="1" applyProtection="1">
      <alignment vertical="center"/>
    </xf>
    <xf numFmtId="0" fontId="64" fillId="0" borderId="30" xfId="12" applyFont="1" applyBorder="1" applyAlignment="1" applyProtection="1">
      <alignment horizontal="left" vertical="center" shrinkToFit="1"/>
    </xf>
    <xf numFmtId="0" fontId="64" fillId="0" borderId="36" xfId="12" applyFont="1" applyBorder="1" applyAlignment="1" applyProtection="1">
      <alignment vertical="center" shrinkToFit="1"/>
    </xf>
    <xf numFmtId="0" fontId="64" fillId="0" borderId="70" xfId="12" applyFont="1" applyBorder="1" applyAlignment="1" applyProtection="1">
      <alignment horizontal="center" vertical="center"/>
    </xf>
    <xf numFmtId="0" fontId="64" fillId="0" borderId="70" xfId="12" applyFont="1" applyBorder="1" applyAlignment="1" applyProtection="1">
      <alignment vertical="center" shrinkToFit="1"/>
    </xf>
    <xf numFmtId="1" fontId="64" fillId="0" borderId="70" xfId="12" applyNumberFormat="1" applyFont="1" applyBorder="1" applyAlignment="1" applyProtection="1">
      <alignment vertical="center" shrinkToFit="1"/>
    </xf>
    <xf numFmtId="0" fontId="64" fillId="0" borderId="0" xfId="12" applyFont="1" applyAlignment="1" applyProtection="1">
      <alignment horizontal="right" vertical="center"/>
    </xf>
    <xf numFmtId="0" fontId="64" fillId="0" borderId="87" xfId="12" applyFont="1" applyBorder="1" applyProtection="1">
      <alignment vertical="center"/>
    </xf>
    <xf numFmtId="0" fontId="87" fillId="0" borderId="87" xfId="12" applyFont="1" applyBorder="1" applyProtection="1">
      <alignment vertical="center"/>
    </xf>
    <xf numFmtId="0" fontId="64" fillId="0" borderId="87" xfId="12" applyFont="1" applyBorder="1" applyAlignment="1" applyProtection="1">
      <alignment horizontal="center" vertical="center"/>
    </xf>
    <xf numFmtId="0" fontId="64" fillId="0" borderId="94" xfId="12" applyFont="1" applyBorder="1" applyAlignment="1" applyProtection="1">
      <alignment horizontal="center" vertical="center"/>
    </xf>
    <xf numFmtId="0" fontId="64" fillId="0" borderId="94" xfId="12" applyFont="1" applyBorder="1" applyAlignment="1" applyProtection="1">
      <alignment vertical="center" shrinkToFit="1"/>
    </xf>
    <xf numFmtId="1" fontId="64" fillId="0" borderId="94" xfId="12" applyNumberFormat="1" applyFont="1" applyBorder="1" applyAlignment="1" applyProtection="1">
      <alignment vertical="center" shrinkToFit="1"/>
    </xf>
    <xf numFmtId="1" fontId="64" fillId="0" borderId="95" xfId="12" applyNumberFormat="1" applyFont="1" applyBorder="1" applyAlignment="1" applyProtection="1">
      <alignment vertical="center" shrinkToFit="1"/>
    </xf>
    <xf numFmtId="0" fontId="64" fillId="0" borderId="5" xfId="12" applyFont="1" applyBorder="1" applyAlignment="1" applyProtection="1">
      <alignment horizontal="center" vertical="center"/>
    </xf>
    <xf numFmtId="1" fontId="64" fillId="0" borderId="105" xfId="12" applyNumberFormat="1" applyFont="1" applyBorder="1" applyAlignment="1" applyProtection="1">
      <alignment vertical="center" shrinkToFit="1"/>
    </xf>
    <xf numFmtId="0" fontId="64" fillId="0" borderId="28" xfId="12" applyFont="1" applyBorder="1" applyProtection="1">
      <alignment vertical="center"/>
    </xf>
    <xf numFmtId="0" fontId="64" fillId="0" borderId="28" xfId="12" applyFont="1" applyBorder="1" applyAlignment="1" applyProtection="1">
      <alignment horizontal="left" vertical="center"/>
    </xf>
    <xf numFmtId="0" fontId="64" fillId="0" borderId="28" xfId="12" applyFont="1" applyBorder="1" applyAlignment="1" applyProtection="1">
      <alignment vertical="top"/>
    </xf>
    <xf numFmtId="0" fontId="64" fillId="0" borderId="121" xfId="12" applyFont="1" applyBorder="1" applyAlignment="1" applyProtection="1">
      <alignment vertical="top"/>
    </xf>
    <xf numFmtId="0" fontId="64" fillId="0" borderId="121" xfId="12" applyFont="1" applyBorder="1" applyAlignment="1" applyProtection="1">
      <alignment horizontal="left" vertical="center" shrinkToFit="1"/>
    </xf>
    <xf numFmtId="0" fontId="64" fillId="0" borderId="101" xfId="12" applyFont="1" applyBorder="1" applyAlignment="1" applyProtection="1">
      <alignment vertical="center" shrinkToFit="1"/>
    </xf>
    <xf numFmtId="0" fontId="64" fillId="0" borderId="117" xfId="12" applyFont="1" applyBorder="1" applyAlignment="1" applyProtection="1">
      <alignment horizontal="center" vertical="center"/>
    </xf>
    <xf numFmtId="0" fontId="64" fillId="0" borderId="117" xfId="12" applyFont="1" applyBorder="1" applyAlignment="1" applyProtection="1">
      <alignment vertical="center" shrinkToFit="1"/>
    </xf>
    <xf numFmtId="1" fontId="64" fillId="0" borderId="117" xfId="12" applyNumberFormat="1" applyFont="1" applyBorder="1" applyAlignment="1" applyProtection="1">
      <alignment vertical="center" shrinkToFit="1"/>
    </xf>
    <xf numFmtId="1" fontId="64" fillId="0" borderId="102" xfId="12" applyNumberFormat="1" applyFont="1" applyBorder="1" applyAlignment="1" applyProtection="1">
      <alignment vertical="center" shrinkToFit="1"/>
    </xf>
    <xf numFmtId="0" fontId="65" fillId="0" borderId="25" xfId="12" applyFont="1" applyBorder="1" applyAlignment="1" applyProtection="1">
      <alignment vertical="top"/>
    </xf>
    <xf numFmtId="0" fontId="64" fillId="0" borderId="34" xfId="12" applyFont="1" applyBorder="1" applyAlignment="1" applyProtection="1">
      <alignment vertical="top" wrapText="1"/>
    </xf>
    <xf numFmtId="0" fontId="87" fillId="0" borderId="34" xfId="12" applyFont="1" applyBorder="1" applyProtection="1">
      <alignment vertical="center"/>
    </xf>
    <xf numFmtId="0" fontId="64" fillId="0" borderId="34" xfId="12" applyFont="1" applyBorder="1" applyAlignment="1" applyProtection="1">
      <alignment horizontal="center" vertical="center"/>
    </xf>
    <xf numFmtId="0" fontId="64" fillId="0" borderId="77" xfId="12" applyFont="1" applyBorder="1" applyAlignment="1" applyProtection="1">
      <alignment horizontal="center" vertical="center"/>
    </xf>
    <xf numFmtId="0" fontId="64" fillId="0" borderId="77" xfId="12" applyFont="1" applyBorder="1" applyAlignment="1" applyProtection="1">
      <alignment vertical="center" shrinkToFit="1"/>
    </xf>
    <xf numFmtId="1" fontId="64" fillId="0" borderId="77" xfId="12" applyNumberFormat="1" applyFont="1" applyBorder="1" applyAlignment="1" applyProtection="1">
      <alignment vertical="center" shrinkToFit="1"/>
    </xf>
    <xf numFmtId="0" fontId="64" fillId="0" borderId="30" xfId="12" applyFont="1" applyBorder="1" applyAlignment="1" applyProtection="1">
      <alignment vertical="top"/>
    </xf>
    <xf numFmtId="0" fontId="64" fillId="0" borderId="33" xfId="12" applyFont="1" applyBorder="1" applyAlignment="1" applyProtection="1">
      <alignment vertical="top"/>
    </xf>
    <xf numFmtId="0" fontId="64" fillId="0" borderId="30" xfId="12" applyFont="1" applyBorder="1" applyAlignment="1" applyProtection="1">
      <alignment horizontal="left" vertical="top"/>
    </xf>
    <xf numFmtId="0" fontId="64" fillId="0" borderId="30" xfId="12" applyFont="1" applyBorder="1" applyProtection="1">
      <alignment vertical="center"/>
    </xf>
    <xf numFmtId="0" fontId="65" fillId="0" borderId="77" xfId="12" applyFont="1" applyBorder="1" applyAlignment="1" applyProtection="1">
      <alignment horizontal="left" vertical="top" wrapText="1"/>
    </xf>
    <xf numFmtId="0" fontId="64" fillId="0" borderId="33" xfId="12" applyFont="1" applyBorder="1" applyAlignment="1" applyProtection="1">
      <alignment horizontal="left" vertical="top"/>
    </xf>
    <xf numFmtId="0" fontId="64" fillId="0" borderId="39" xfId="12" applyFont="1" applyBorder="1" applyAlignment="1" applyProtection="1">
      <alignment vertical="center" shrinkToFit="1"/>
    </xf>
    <xf numFmtId="0" fontId="64" fillId="0" borderId="29" xfId="12" applyFont="1" applyBorder="1" applyProtection="1">
      <alignment vertical="center"/>
    </xf>
    <xf numFmtId="0" fontId="64" fillId="0" borderId="109" xfId="12" applyFont="1" applyBorder="1" applyAlignment="1" applyProtection="1">
      <alignment vertical="center" shrinkToFit="1"/>
    </xf>
    <xf numFmtId="0" fontId="64" fillId="0" borderId="30" xfId="12" applyFont="1" applyBorder="1" applyAlignment="1" applyProtection="1">
      <alignment vertical="top" wrapText="1" shrinkToFit="1"/>
    </xf>
    <xf numFmtId="0" fontId="64" fillId="0" borderId="36" xfId="12" applyFont="1" applyBorder="1" applyProtection="1">
      <alignment vertical="center"/>
    </xf>
    <xf numFmtId="0" fontId="64" fillId="0" borderId="33" xfId="12" applyFont="1" applyBorder="1" applyAlignment="1" applyProtection="1">
      <alignment vertical="top" wrapText="1" shrinkToFit="1"/>
    </xf>
    <xf numFmtId="0" fontId="64" fillId="0" borderId="39" xfId="12" applyFont="1" applyBorder="1" applyProtection="1">
      <alignment vertical="center"/>
    </xf>
    <xf numFmtId="0" fontId="64" fillId="0" borderId="29" xfId="12" applyFont="1" applyBorder="1" applyAlignment="1" applyProtection="1">
      <alignment horizontal="center" vertical="center" shrinkToFit="1"/>
    </xf>
    <xf numFmtId="0" fontId="64" fillId="17" borderId="217" xfId="12" applyFont="1" applyFill="1" applyBorder="1" applyAlignment="1" applyProtection="1">
      <alignment horizontal="right" vertical="center" shrinkToFit="1"/>
    </xf>
    <xf numFmtId="1" fontId="64" fillId="0" borderId="4" xfId="12" applyNumberFormat="1" applyFont="1" applyFill="1" applyBorder="1" applyAlignment="1" applyProtection="1">
      <alignment horizontal="right" vertical="center" shrinkToFit="1"/>
    </xf>
    <xf numFmtId="1" fontId="64" fillId="0" borderId="4" xfId="12" applyNumberFormat="1" applyFont="1" applyFill="1" applyBorder="1" applyAlignment="1" applyProtection="1">
      <alignment vertical="center" shrinkToFit="1"/>
    </xf>
    <xf numFmtId="1" fontId="64" fillId="0" borderId="4" xfId="12" applyNumberFormat="1" applyFont="1" applyBorder="1" applyAlignment="1" applyProtection="1">
      <alignment horizontal="right" vertical="center" shrinkToFit="1"/>
    </xf>
    <xf numFmtId="0" fontId="65" fillId="0" borderId="28" xfId="12" applyFont="1" applyBorder="1" applyAlignment="1" applyProtection="1">
      <alignment horizontal="left" vertical="center"/>
    </xf>
    <xf numFmtId="0" fontId="64" fillId="0" borderId="5" xfId="12" applyFont="1" applyBorder="1" applyAlignment="1" applyProtection="1">
      <alignment vertical="top"/>
    </xf>
    <xf numFmtId="0" fontId="64" fillId="0" borderId="8" xfId="0" applyFont="1" applyBorder="1" applyAlignment="1" applyProtection="1">
      <alignment vertical="center"/>
    </xf>
    <xf numFmtId="0" fontId="64" fillId="0" borderId="8" xfId="0" applyFont="1" applyBorder="1" applyAlignment="1" applyProtection="1">
      <alignment vertical="top"/>
    </xf>
    <xf numFmtId="0" fontId="64" fillId="0" borderId="29"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vertical="top"/>
    </xf>
    <xf numFmtId="0" fontId="64" fillId="0" borderId="23" xfId="0" applyFont="1" applyBorder="1" applyAlignment="1" applyProtection="1">
      <alignment vertical="center"/>
    </xf>
    <xf numFmtId="0" fontId="64" fillId="0" borderId="30" xfId="0" applyFont="1" applyBorder="1" applyAlignment="1" applyProtection="1">
      <alignment vertical="center"/>
    </xf>
    <xf numFmtId="0" fontId="65" fillId="0" borderId="4" xfId="0" applyFont="1" applyBorder="1" applyAlignment="1" applyProtection="1">
      <alignment horizontal="center" vertical="center"/>
    </xf>
    <xf numFmtId="0" fontId="64" fillId="0" borderId="4" xfId="12" applyFont="1" applyFill="1" applyBorder="1" applyAlignment="1" applyProtection="1">
      <alignment horizontal="right" vertical="center" shrinkToFit="1"/>
    </xf>
    <xf numFmtId="0" fontId="64" fillId="0" borderId="4" xfId="12" applyFont="1" applyBorder="1" applyAlignment="1" applyProtection="1">
      <alignment horizontal="right" vertical="center" shrinkToFit="1"/>
    </xf>
    <xf numFmtId="0" fontId="64" fillId="0" borderId="39" xfId="0" applyFont="1" applyBorder="1" applyAlignment="1" applyProtection="1">
      <alignment vertical="center"/>
    </xf>
    <xf numFmtId="0" fontId="64" fillId="0" borderId="28" xfId="0" applyFont="1" applyBorder="1" applyAlignment="1" applyProtection="1">
      <alignment vertical="center"/>
    </xf>
    <xf numFmtId="0" fontId="64" fillId="0" borderId="5" xfId="0" applyFont="1" applyBorder="1" applyAlignment="1" applyProtection="1">
      <alignment vertical="center"/>
    </xf>
    <xf numFmtId="0" fontId="64" fillId="0" borderId="5" xfId="0" applyFont="1" applyBorder="1" applyAlignment="1" applyProtection="1">
      <alignment horizontal="center" vertical="center"/>
    </xf>
    <xf numFmtId="0" fontId="64" fillId="0" borderId="0" xfId="0" applyFont="1" applyAlignment="1" applyProtection="1">
      <alignment vertical="top"/>
    </xf>
    <xf numFmtId="0" fontId="64" fillId="0" borderId="0" xfId="0" applyFont="1" applyAlignment="1" applyProtection="1">
      <alignment vertical="center"/>
    </xf>
    <xf numFmtId="0" fontId="64" fillId="0" borderId="0" xfId="0" applyFont="1" applyAlignment="1" applyProtection="1">
      <alignment horizontal="center" vertical="center"/>
    </xf>
    <xf numFmtId="0" fontId="64" fillId="0" borderId="218" xfId="0" applyFont="1" applyBorder="1" applyAlignment="1" applyProtection="1">
      <alignment vertical="center"/>
    </xf>
    <xf numFmtId="0" fontId="65" fillId="0" borderId="5" xfId="0" applyFont="1" applyBorder="1" applyAlignment="1" applyProtection="1">
      <alignment vertical="center"/>
    </xf>
    <xf numFmtId="0" fontId="64" fillId="0" borderId="217" xfId="0" applyFont="1" applyBorder="1" applyAlignment="1" applyProtection="1">
      <alignment vertical="center"/>
    </xf>
    <xf numFmtId="0" fontId="64" fillId="0" borderId="4" xfId="12" applyNumberFormat="1" applyFont="1" applyBorder="1" applyAlignment="1" applyProtection="1">
      <alignment vertical="center" shrinkToFit="1"/>
    </xf>
    <xf numFmtId="0" fontId="64" fillId="0" borderId="4" xfId="12" applyFont="1" applyFill="1" applyBorder="1" applyAlignment="1" applyProtection="1">
      <alignment vertical="center" shrinkToFit="1"/>
    </xf>
    <xf numFmtId="0" fontId="65" fillId="0" borderId="5" xfId="0" applyFont="1" applyBorder="1" applyAlignment="1" applyProtection="1">
      <alignment vertical="top"/>
    </xf>
    <xf numFmtId="0" fontId="64" fillId="17" borderId="4" xfId="12" applyFont="1" applyFill="1" applyBorder="1" applyAlignment="1" applyProtection="1">
      <alignment horizontal="right" vertical="center" shrinkToFit="1"/>
    </xf>
    <xf numFmtId="1" fontId="64" fillId="17" borderId="4" xfId="12" applyNumberFormat="1" applyFont="1" applyFill="1" applyBorder="1" applyAlignment="1" applyProtection="1">
      <alignment horizontal="right" vertical="center" shrinkToFit="1"/>
    </xf>
    <xf numFmtId="0" fontId="64" fillId="0" borderId="28" xfId="0" applyFont="1" applyBorder="1" applyAlignment="1" applyProtection="1">
      <alignment vertical="top"/>
    </xf>
    <xf numFmtId="1" fontId="64" fillId="17" borderId="4" xfId="12" applyNumberFormat="1" applyFont="1" applyFill="1" applyBorder="1" applyAlignment="1" applyProtection="1">
      <alignment vertical="center" shrinkToFit="1"/>
    </xf>
    <xf numFmtId="186" fontId="64" fillId="0" borderId="4" xfId="3" applyNumberFormat="1" applyFont="1" applyFill="1" applyBorder="1" applyAlignment="1" applyProtection="1">
      <alignment horizontal="right" vertical="center" shrinkToFit="1"/>
    </xf>
    <xf numFmtId="0" fontId="64" fillId="17" borderId="4" xfId="12" applyFont="1" applyFill="1" applyBorder="1" applyAlignment="1" applyProtection="1">
      <alignment vertical="center" shrinkToFit="1"/>
    </xf>
    <xf numFmtId="0" fontId="62" fillId="7" borderId="30" xfId="12" applyFont="1" applyFill="1" applyBorder="1" applyProtection="1">
      <alignment vertical="center"/>
    </xf>
    <xf numFmtId="0" fontId="63" fillId="7" borderId="0" xfId="12" applyFont="1" applyFill="1" applyAlignment="1" applyProtection="1">
      <alignment vertical="center" shrinkToFit="1"/>
    </xf>
    <xf numFmtId="0" fontId="65" fillId="0" borderId="28" xfId="12" applyFont="1" applyBorder="1" applyProtection="1">
      <alignment vertical="center"/>
    </xf>
    <xf numFmtId="0" fontId="62" fillId="0" borderId="5" xfId="12" applyFont="1" applyBorder="1" applyProtection="1">
      <alignment vertical="center"/>
    </xf>
    <xf numFmtId="0" fontId="57" fillId="0" borderId="5" xfId="12" applyFont="1" applyBorder="1" applyAlignment="1" applyProtection="1">
      <alignment vertical="top"/>
    </xf>
    <xf numFmtId="0" fontId="57" fillId="0" borderId="29" xfId="12" applyFont="1" applyBorder="1" applyAlignment="1" applyProtection="1">
      <alignment vertical="top"/>
    </xf>
    <xf numFmtId="1" fontId="59" fillId="17" borderId="217" xfId="12" applyNumberFormat="1" applyFont="1" applyFill="1" applyBorder="1" applyAlignment="1" applyProtection="1">
      <alignment vertical="center" shrinkToFit="1"/>
    </xf>
    <xf numFmtId="0" fontId="65" fillId="0" borderId="30" xfId="12" applyFont="1" applyBorder="1" applyProtection="1">
      <alignment vertical="center"/>
    </xf>
    <xf numFmtId="0" fontId="62" fillId="0" borderId="8" xfId="12" applyFont="1" applyBorder="1" applyProtection="1">
      <alignment vertical="center"/>
    </xf>
    <xf numFmtId="0" fontId="65" fillId="0" borderId="25" xfId="12" applyFont="1" applyBorder="1" applyProtection="1">
      <alignment vertical="center"/>
    </xf>
    <xf numFmtId="0" fontId="62" fillId="0" borderId="23" xfId="12" applyFont="1" applyBorder="1" applyProtection="1">
      <alignment vertical="center"/>
    </xf>
    <xf numFmtId="0" fontId="65" fillId="0" borderId="33" xfId="12" applyFont="1" applyBorder="1" applyProtection="1">
      <alignment vertical="center"/>
    </xf>
    <xf numFmtId="0" fontId="62" fillId="0" borderId="34" xfId="12" applyFont="1" applyBorder="1" applyProtection="1">
      <alignment vertical="center"/>
    </xf>
    <xf numFmtId="0" fontId="62" fillId="0" borderId="0" xfId="12" applyFont="1" applyProtection="1">
      <alignment vertical="center"/>
    </xf>
    <xf numFmtId="0" fontId="75" fillId="0" borderId="28" xfId="0" applyFont="1" applyBorder="1" applyAlignment="1" applyProtection="1">
      <alignment vertical="center"/>
    </xf>
    <xf numFmtId="0" fontId="64" fillId="0" borderId="5" xfId="12" applyFont="1" applyBorder="1" applyAlignment="1" applyProtection="1">
      <alignment vertical="center" shrinkToFit="1"/>
    </xf>
    <xf numFmtId="0" fontId="65" fillId="0" borderId="30" xfId="12" applyFont="1" applyBorder="1" applyAlignment="1" applyProtection="1">
      <alignment vertical="top"/>
    </xf>
    <xf numFmtId="0" fontId="64" fillId="0" borderId="5" xfId="12" applyFont="1" applyBorder="1" applyAlignment="1" applyProtection="1">
      <alignment vertical="top" wrapText="1"/>
    </xf>
    <xf numFmtId="0" fontId="64" fillId="0" borderId="28" xfId="12" applyFont="1" applyBorder="1" applyAlignment="1" applyProtection="1">
      <alignment vertical="top" shrinkToFit="1"/>
    </xf>
    <xf numFmtId="0" fontId="64" fillId="0" borderId="28" xfId="12" applyFont="1" applyBorder="1" applyAlignment="1" applyProtection="1">
      <alignment horizontal="left" vertical="top" shrinkToFit="1"/>
    </xf>
    <xf numFmtId="0" fontId="65" fillId="0" borderId="75" xfId="12" applyFont="1" applyBorder="1" applyAlignment="1" applyProtection="1">
      <alignment horizontal="center" vertical="top" wrapText="1"/>
    </xf>
    <xf numFmtId="0" fontId="65" fillId="0" borderId="75" xfId="12" applyFont="1" applyBorder="1" applyAlignment="1" applyProtection="1">
      <alignment horizontal="left" vertical="top" wrapText="1"/>
    </xf>
    <xf numFmtId="0" fontId="64" fillId="0" borderId="5" xfId="12" applyFont="1" applyBorder="1" applyAlignment="1" applyProtection="1">
      <alignment vertical="top" shrinkToFit="1"/>
    </xf>
    <xf numFmtId="0" fontId="64" fillId="0" borderId="5" xfId="12" applyFont="1" applyBorder="1" applyAlignment="1" applyProtection="1">
      <alignment horizontal="center" vertical="center" shrinkToFit="1"/>
    </xf>
    <xf numFmtId="0" fontId="64" fillId="0" borderId="30" xfId="12" applyFont="1" applyBorder="1" applyAlignment="1" applyProtection="1">
      <alignment horizontal="left" vertical="center"/>
    </xf>
    <xf numFmtId="0" fontId="59" fillId="17" borderId="217" xfId="12" applyFont="1" applyFill="1" applyBorder="1" applyAlignment="1" applyProtection="1">
      <alignment vertical="center" shrinkToFit="1"/>
    </xf>
    <xf numFmtId="1" fontId="64" fillId="17" borderId="217" xfId="12" applyNumberFormat="1" applyFont="1" applyFill="1" applyBorder="1" applyAlignment="1" applyProtection="1">
      <alignment horizontal="right" vertical="center" shrinkToFit="1"/>
    </xf>
    <xf numFmtId="0" fontId="64" fillId="0" borderId="28" xfId="12" applyFont="1" applyBorder="1" applyAlignment="1" applyProtection="1">
      <alignment horizontal="left" vertical="top"/>
    </xf>
    <xf numFmtId="0" fontId="91" fillId="0" borderId="0" xfId="7" applyFont="1" applyFill="1" applyAlignment="1" applyProtection="1">
      <alignment vertical="center" shrinkToFit="1"/>
    </xf>
    <xf numFmtId="0" fontId="64" fillId="17" borderId="216" xfId="0" applyFont="1" applyFill="1" applyBorder="1" applyAlignment="1" applyProtection="1">
      <alignment horizontal="right" vertical="center" shrinkToFit="1"/>
    </xf>
    <xf numFmtId="1" fontId="64" fillId="17" borderId="216" xfId="0" applyNumberFormat="1" applyFont="1" applyFill="1" applyBorder="1" applyAlignment="1" applyProtection="1">
      <alignment horizontal="right" vertical="center" shrinkToFit="1"/>
    </xf>
    <xf numFmtId="0" fontId="64" fillId="0" borderId="29" xfId="0" applyFont="1" applyBorder="1" applyAlignment="1" applyProtection="1">
      <alignment horizontal="right" vertical="center" shrinkToFit="1"/>
    </xf>
    <xf numFmtId="0" fontId="64" fillId="0" borderId="5" xfId="12" applyFont="1" applyBorder="1" applyAlignment="1" applyProtection="1">
      <alignment horizontal="left" vertical="center" shrinkToFit="1"/>
    </xf>
    <xf numFmtId="184" fontId="62" fillId="7" borderId="28" xfId="12" applyNumberFormat="1" applyFont="1" applyFill="1" applyBorder="1" applyProtection="1">
      <alignment vertical="center"/>
    </xf>
    <xf numFmtId="0" fontId="62" fillId="7" borderId="0" xfId="12" applyFont="1" applyFill="1" applyAlignment="1" applyProtection="1">
      <alignment vertical="top"/>
    </xf>
    <xf numFmtId="0" fontId="86" fillId="0" borderId="0" xfId="7" applyFont="1" applyAlignment="1" applyProtection="1">
      <alignment vertical="center" shrinkToFit="1"/>
    </xf>
    <xf numFmtId="183" fontId="64" fillId="0" borderId="4" xfId="12" applyNumberFormat="1" applyFont="1" applyBorder="1" applyAlignment="1" applyProtection="1">
      <alignment vertical="center" shrinkToFit="1"/>
    </xf>
    <xf numFmtId="177" fontId="64" fillId="18" borderId="4" xfId="12" applyNumberFormat="1" applyFont="1" applyFill="1" applyBorder="1" applyAlignment="1" applyProtection="1">
      <alignment vertical="center" shrinkToFit="1"/>
    </xf>
    <xf numFmtId="183" fontId="64" fillId="0" borderId="109" xfId="12" applyNumberFormat="1" applyFont="1" applyBorder="1" applyAlignment="1" applyProtection="1">
      <alignment vertical="center" shrinkToFit="1"/>
    </xf>
    <xf numFmtId="177" fontId="64" fillId="18" borderId="4" xfId="12" applyNumberFormat="1" applyFont="1" applyFill="1" applyBorder="1" applyProtection="1">
      <alignment vertical="center"/>
    </xf>
    <xf numFmtId="0" fontId="64" fillId="17" borderId="28" xfId="12" applyFont="1" applyFill="1" applyBorder="1" applyAlignment="1" applyProtection="1">
      <alignment horizontal="left" vertical="center"/>
    </xf>
    <xf numFmtId="0" fontId="64" fillId="17" borderId="5" xfId="12" applyFont="1" applyFill="1" applyBorder="1" applyProtection="1">
      <alignment vertical="center"/>
    </xf>
    <xf numFmtId="177" fontId="64" fillId="17" borderId="217" xfId="12" applyNumberFormat="1" applyFont="1" applyFill="1" applyBorder="1" applyAlignment="1" applyProtection="1">
      <alignment horizontal="right" vertical="center" shrinkToFit="1"/>
    </xf>
    <xf numFmtId="177" fontId="64" fillId="0" borderId="217" xfId="12" applyNumberFormat="1" applyFont="1" applyFill="1" applyBorder="1" applyAlignment="1" applyProtection="1">
      <alignment horizontal="right" vertical="center" shrinkToFit="1"/>
    </xf>
    <xf numFmtId="0" fontId="64" fillId="17" borderId="28" xfId="12" applyFont="1" applyFill="1" applyBorder="1" applyAlignment="1" applyProtection="1">
      <alignment vertical="top"/>
    </xf>
    <xf numFmtId="0" fontId="64" fillId="17" borderId="30" xfId="12" applyFont="1" applyFill="1" applyBorder="1" applyAlignment="1" applyProtection="1">
      <alignment vertical="top" wrapText="1" shrinkToFit="1"/>
    </xf>
    <xf numFmtId="0" fontId="64" fillId="17" borderId="33" xfId="12" applyFont="1" applyFill="1" applyBorder="1" applyAlignment="1" applyProtection="1">
      <alignment vertical="top" wrapText="1" shrinkToFit="1"/>
    </xf>
    <xf numFmtId="0" fontId="65" fillId="0" borderId="30" xfId="0" applyFont="1" applyBorder="1" applyAlignment="1" applyProtection="1">
      <alignment vertical="top"/>
    </xf>
    <xf numFmtId="0" fontId="65" fillId="0" borderId="5" xfId="0" applyFont="1" applyBorder="1" applyAlignment="1" applyProtection="1">
      <alignment vertical="top" wrapText="1"/>
    </xf>
    <xf numFmtId="177" fontId="64" fillId="18" borderId="4" xfId="12" applyNumberFormat="1" applyFont="1" applyFill="1" applyBorder="1" applyAlignment="1" applyProtection="1">
      <alignment horizontal="right" vertical="center" shrinkToFit="1"/>
    </xf>
    <xf numFmtId="177" fontId="64" fillId="0" borderId="4" xfId="12" applyNumberFormat="1" applyFont="1" applyBorder="1" applyAlignment="1" applyProtection="1">
      <alignment horizontal="right" vertical="center" shrinkToFit="1"/>
    </xf>
    <xf numFmtId="0" fontId="65" fillId="0" borderId="33" xfId="0" applyFont="1" applyBorder="1" applyAlignment="1" applyProtection="1">
      <alignment vertical="top"/>
    </xf>
    <xf numFmtId="0" fontId="64" fillId="0" borderId="34" xfId="0" applyFont="1" applyBorder="1" applyAlignment="1" applyProtection="1">
      <alignment horizontal="center" vertical="center"/>
    </xf>
    <xf numFmtId="0" fontId="65" fillId="0" borderId="5" xfId="0" applyFont="1" applyBorder="1" applyAlignment="1" applyProtection="1">
      <alignment horizontal="left" vertical="center"/>
    </xf>
    <xf numFmtId="0" fontId="65" fillId="0" borderId="39" xfId="0" applyFont="1" applyBorder="1" applyAlignment="1" applyProtection="1">
      <alignment vertical="top" wrapText="1"/>
    </xf>
    <xf numFmtId="0" fontId="65" fillId="0" borderId="28" xfId="0" applyFont="1" applyBorder="1" applyAlignment="1" applyProtection="1">
      <alignment vertical="top"/>
    </xf>
    <xf numFmtId="0" fontId="64" fillId="0" borderId="5" xfId="0" applyFont="1" applyBorder="1" applyAlignment="1" applyProtection="1">
      <alignment horizontal="left" vertical="center"/>
    </xf>
    <xf numFmtId="0" fontId="75" fillId="0" borderId="28" xfId="0" applyFont="1" applyBorder="1" applyAlignment="1" applyProtection="1">
      <alignment vertical="top"/>
    </xf>
    <xf numFmtId="0" fontId="75" fillId="0" borderId="5" xfId="0" applyFont="1" applyBorder="1" applyAlignment="1" applyProtection="1">
      <alignment vertical="top"/>
    </xf>
    <xf numFmtId="0" fontId="75" fillId="0" borderId="5" xfId="12" applyFont="1" applyBorder="1" applyAlignment="1" applyProtection="1">
      <alignment horizontal="center" vertical="center"/>
    </xf>
    <xf numFmtId="0" fontId="75" fillId="0" borderId="4" xfId="0" applyFont="1" applyBorder="1" applyAlignment="1" applyProtection="1">
      <alignment horizontal="center" vertical="center"/>
    </xf>
    <xf numFmtId="177" fontId="75" fillId="17" borderId="217"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vertical="center" shrinkToFit="1"/>
    </xf>
    <xf numFmtId="177" fontId="75" fillId="18" borderId="4"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horizontal="right" vertical="center" shrinkToFit="1"/>
    </xf>
    <xf numFmtId="0" fontId="75" fillId="0" borderId="30" xfId="0" applyFont="1" applyBorder="1" applyAlignment="1" applyProtection="1">
      <alignment horizontal="left" vertical="center"/>
    </xf>
    <xf numFmtId="0" fontId="75" fillId="0" borderId="8" xfId="12" applyFont="1" applyBorder="1" applyAlignment="1" applyProtection="1">
      <alignment horizontal="center" vertical="center"/>
    </xf>
    <xf numFmtId="0" fontId="75" fillId="0" borderId="33" xfId="0" applyFont="1" applyBorder="1" applyAlignment="1" applyProtection="1">
      <alignment horizontal="left" vertical="center"/>
    </xf>
    <xf numFmtId="0" fontId="75" fillId="0" borderId="34" xfId="12" applyFont="1" applyBorder="1" applyAlignment="1" applyProtection="1">
      <alignment horizontal="center" vertical="center"/>
    </xf>
    <xf numFmtId="0" fontId="64" fillId="0" borderId="30" xfId="0" applyFont="1" applyBorder="1" applyAlignment="1" applyProtection="1">
      <alignment horizontal="left" vertical="center"/>
    </xf>
    <xf numFmtId="0" fontId="64" fillId="0" borderId="8" xfId="12" applyFont="1" applyBorder="1" applyAlignment="1" applyProtection="1">
      <alignment horizontal="center" vertical="center"/>
    </xf>
    <xf numFmtId="0" fontId="64" fillId="0" borderId="33" xfId="0" applyFont="1" applyBorder="1" applyAlignment="1" applyProtection="1">
      <alignment horizontal="left" vertical="center"/>
    </xf>
    <xf numFmtId="0" fontId="64" fillId="0" borderId="28" xfId="0" applyFont="1" applyBorder="1" applyAlignment="1" applyProtection="1">
      <alignment horizontal="left" vertical="center"/>
    </xf>
    <xf numFmtId="177" fontId="64" fillId="0" borderId="4" xfId="12" applyNumberFormat="1" applyFont="1" applyBorder="1" applyAlignment="1" applyProtection="1">
      <alignment vertical="center" shrinkToFit="1"/>
    </xf>
    <xf numFmtId="0" fontId="64" fillId="0" borderId="30" xfId="0" applyFont="1" applyBorder="1" applyAlignment="1" applyProtection="1">
      <alignment vertical="top"/>
    </xf>
    <xf numFmtId="0" fontId="75" fillId="0" borderId="33" xfId="0" applyFont="1" applyBorder="1" applyAlignment="1" applyProtection="1">
      <alignment vertical="top"/>
    </xf>
    <xf numFmtId="0" fontId="75" fillId="0" borderId="30" xfId="0" applyFont="1" applyBorder="1" applyAlignment="1" applyProtection="1">
      <alignment vertical="top" wrapText="1"/>
    </xf>
    <xf numFmtId="0" fontId="75" fillId="0" borderId="33" xfId="0" applyFont="1" applyBorder="1" applyAlignment="1" applyProtection="1">
      <alignment vertical="top" wrapText="1"/>
    </xf>
    <xf numFmtId="0" fontId="75" fillId="0" borderId="4" xfId="0" applyFont="1" applyBorder="1" applyAlignment="1" applyProtection="1">
      <alignment vertical="top" wrapText="1"/>
    </xf>
    <xf numFmtId="0" fontId="75" fillId="0" borderId="28" xfId="0" applyFont="1" applyBorder="1" applyAlignment="1" applyProtection="1">
      <alignment vertical="top" wrapText="1"/>
    </xf>
    <xf numFmtId="0" fontId="75" fillId="0" borderId="28" xfId="0" applyFont="1" applyBorder="1" applyAlignment="1" applyProtection="1">
      <alignment horizontal="left" vertical="top"/>
    </xf>
    <xf numFmtId="0" fontId="75" fillId="0" borderId="5" xfId="0" applyFont="1" applyBorder="1" applyAlignment="1" applyProtection="1">
      <alignment horizontal="left" vertical="top" wrapText="1"/>
    </xf>
    <xf numFmtId="0" fontId="64" fillId="0" borderId="34" xfId="0" applyFont="1" applyBorder="1" applyAlignment="1" applyProtection="1">
      <alignment horizontal="left" vertical="center"/>
    </xf>
    <xf numFmtId="0" fontId="75" fillId="0" borderId="33" xfId="0" applyFont="1" applyBorder="1" applyAlignment="1" applyProtection="1">
      <alignment horizontal="left" vertical="top"/>
    </xf>
    <xf numFmtId="0" fontId="64" fillId="0" borderId="5" xfId="0" applyFont="1" applyBorder="1" applyAlignment="1" applyProtection="1">
      <alignment horizontal="right" vertical="center"/>
    </xf>
    <xf numFmtId="0" fontId="64" fillId="17" borderId="29" xfId="12" applyFont="1" applyFill="1" applyBorder="1" applyAlignment="1" applyProtection="1">
      <alignment horizontal="center" vertical="center"/>
    </xf>
    <xf numFmtId="0" fontId="64" fillId="17" borderId="4" xfId="0" applyFont="1" applyFill="1" applyBorder="1" applyAlignment="1" applyProtection="1">
      <alignment horizontal="center" vertical="center"/>
    </xf>
    <xf numFmtId="177" fontId="64" fillId="17" borderId="4" xfId="12" applyNumberFormat="1" applyFont="1" applyFill="1" applyBorder="1" applyAlignment="1" applyProtection="1">
      <alignment vertical="center" shrinkToFit="1"/>
    </xf>
    <xf numFmtId="0" fontId="64" fillId="17" borderId="0" xfId="12" applyFont="1" applyFill="1" applyAlignment="1" applyProtection="1">
      <alignment vertical="center" wrapText="1"/>
    </xf>
    <xf numFmtId="0" fontId="87" fillId="17" borderId="5" xfId="12" applyFont="1" applyFill="1" applyBorder="1" applyProtection="1">
      <alignment vertical="center"/>
    </xf>
    <xf numFmtId="0" fontId="64" fillId="17" borderId="28" xfId="12" applyFont="1" applyFill="1" applyBorder="1" applyAlignment="1" applyProtection="1">
      <alignment horizontal="left" vertical="center" shrinkToFit="1"/>
    </xf>
    <xf numFmtId="0" fontId="75" fillId="17" borderId="5" xfId="12" applyFont="1" applyFill="1" applyBorder="1" applyProtection="1">
      <alignment vertical="center"/>
    </xf>
    <xf numFmtId="0" fontId="64" fillId="17" borderId="29" xfId="12" applyFont="1" applyFill="1" applyBorder="1" applyAlignment="1" applyProtection="1">
      <alignment vertical="center" shrinkToFit="1"/>
    </xf>
    <xf numFmtId="0" fontId="64" fillId="17" borderId="5" xfId="12" applyFont="1" applyFill="1" applyBorder="1" applyAlignment="1" applyProtection="1">
      <alignment vertical="center" wrapText="1"/>
    </xf>
    <xf numFmtId="0" fontId="86" fillId="0" borderId="0" xfId="7" applyFont="1" applyFill="1" applyAlignment="1" applyProtection="1">
      <alignment vertical="center" shrinkToFit="1"/>
    </xf>
    <xf numFmtId="0" fontId="64" fillId="0" borderId="5" xfId="12" applyFont="1" applyFill="1" applyBorder="1" applyProtection="1">
      <alignment vertical="center"/>
    </xf>
    <xf numFmtId="0" fontId="87" fillId="0" borderId="5" xfId="12" applyFont="1" applyFill="1" applyBorder="1" applyProtection="1">
      <alignment vertical="center"/>
    </xf>
    <xf numFmtId="0" fontId="64" fillId="0" borderId="5" xfId="12" applyFont="1" applyFill="1" applyBorder="1" applyAlignment="1" applyProtection="1">
      <alignment horizontal="center" vertical="center"/>
    </xf>
    <xf numFmtId="0" fontId="64" fillId="0" borderId="4" xfId="0" applyFont="1" applyFill="1" applyBorder="1" applyAlignment="1" applyProtection="1">
      <alignment horizontal="center" vertical="center"/>
    </xf>
    <xf numFmtId="183" fontId="64" fillId="0" borderId="109" xfId="12" applyNumberFormat="1" applyFont="1" applyFill="1" applyBorder="1" applyAlignment="1" applyProtection="1">
      <alignment vertical="center" shrinkToFit="1"/>
    </xf>
    <xf numFmtId="0" fontId="64" fillId="0" borderId="0" xfId="12" applyFont="1" applyFill="1" applyAlignment="1" applyProtection="1">
      <alignment horizontal="right" vertical="center"/>
    </xf>
    <xf numFmtId="0" fontId="64" fillId="0" borderId="0" xfId="12" applyFont="1" applyFill="1" applyProtection="1">
      <alignment vertical="center"/>
    </xf>
    <xf numFmtId="0" fontId="65" fillId="0" borderId="30" xfId="12" applyFont="1" applyFill="1" applyBorder="1" applyAlignment="1" applyProtection="1">
      <alignment vertical="top"/>
    </xf>
    <xf numFmtId="0" fontId="64" fillId="0" borderId="5" xfId="12" applyFont="1" applyFill="1" applyBorder="1" applyAlignment="1" applyProtection="1">
      <alignment vertical="top" wrapText="1"/>
    </xf>
    <xf numFmtId="0" fontId="64" fillId="0" borderId="28" xfId="12" applyFont="1" applyFill="1" applyBorder="1" applyProtection="1">
      <alignment vertical="center"/>
    </xf>
    <xf numFmtId="183" fontId="64" fillId="0" borderId="4" xfId="12" applyNumberFormat="1" applyFont="1" applyFill="1" applyBorder="1" applyAlignment="1" applyProtection="1">
      <alignment vertical="center" shrinkToFit="1"/>
    </xf>
    <xf numFmtId="0" fontId="64" fillId="0" borderId="28" xfId="12" applyFont="1" applyFill="1" applyBorder="1" applyAlignment="1" applyProtection="1">
      <alignment vertical="top"/>
    </xf>
    <xf numFmtId="0" fontId="64" fillId="0" borderId="28" xfId="12" applyFont="1" applyFill="1" applyBorder="1" applyAlignment="1" applyProtection="1">
      <alignment horizontal="left" vertical="center" shrinkToFit="1"/>
    </xf>
    <xf numFmtId="0" fontId="64" fillId="0" borderId="29" xfId="12" applyFont="1" applyFill="1" applyBorder="1" applyAlignment="1" applyProtection="1">
      <alignment vertical="center" shrinkToFit="1"/>
    </xf>
    <xf numFmtId="0" fontId="64" fillId="0" borderId="28" xfId="12" applyFont="1" applyFill="1" applyBorder="1" applyAlignment="1" applyProtection="1">
      <alignment horizontal="left" vertical="top"/>
    </xf>
    <xf numFmtId="0" fontId="64" fillId="17" borderId="28" xfId="0" applyFont="1" applyFill="1" applyBorder="1" applyAlignment="1" applyProtection="1">
      <alignment vertical="top"/>
    </xf>
    <xf numFmtId="0" fontId="65" fillId="17" borderId="5" xfId="0" applyFont="1" applyFill="1" applyBorder="1" applyAlignment="1" applyProtection="1">
      <alignment vertical="top" wrapText="1"/>
    </xf>
    <xf numFmtId="0" fontId="64" fillId="0" borderId="39" xfId="12" applyFont="1" applyBorder="1" applyAlignment="1" applyProtection="1">
      <alignment horizontal="center" vertical="center"/>
    </xf>
    <xf numFmtId="0" fontId="75" fillId="0" borderId="28" xfId="0" applyFont="1" applyBorder="1" applyAlignment="1" applyProtection="1">
      <alignment horizontal="left" vertical="center"/>
    </xf>
    <xf numFmtId="0" fontId="75" fillId="0" borderId="30" xfId="0" applyFont="1" applyBorder="1" applyAlignment="1" applyProtection="1">
      <alignment vertical="top"/>
    </xf>
    <xf numFmtId="0" fontId="64" fillId="18" borderId="0" xfId="12" applyFont="1" applyFill="1" applyProtection="1">
      <alignment vertical="center"/>
    </xf>
    <xf numFmtId="177" fontId="64" fillId="0" borderId="217" xfId="12" applyNumberFormat="1" applyFont="1" applyBorder="1" applyAlignment="1" applyProtection="1">
      <alignment horizontal="right" vertical="center" shrinkToFit="1"/>
    </xf>
    <xf numFmtId="183" fontId="64" fillId="11" borderId="217" xfId="12" applyNumberFormat="1" applyFont="1" applyFill="1" applyBorder="1" applyAlignment="1" applyProtection="1">
      <alignment vertical="center" shrinkToFit="1"/>
    </xf>
    <xf numFmtId="0" fontId="65" fillId="17" borderId="30" xfId="12" applyFont="1" applyFill="1" applyBorder="1" applyAlignment="1" applyProtection="1">
      <alignment vertical="top"/>
    </xf>
    <xf numFmtId="0" fontId="64" fillId="17" borderId="5" xfId="12" applyFont="1" applyFill="1" applyBorder="1" applyAlignment="1" applyProtection="1">
      <alignment vertical="top" wrapText="1"/>
    </xf>
    <xf numFmtId="177" fontId="64" fillId="17" borderId="216" xfId="0" applyNumberFormat="1" applyFont="1" applyFill="1" applyBorder="1" applyAlignment="1" applyProtection="1">
      <alignment horizontal="right" vertical="center" shrinkToFit="1"/>
    </xf>
    <xf numFmtId="0" fontId="64" fillId="17" borderId="28" xfId="12" applyFont="1" applyFill="1" applyBorder="1" applyProtection="1">
      <alignment vertical="center"/>
    </xf>
    <xf numFmtId="0" fontId="64" fillId="17" borderId="28" xfId="12" applyFont="1" applyFill="1" applyBorder="1" applyAlignment="1" applyProtection="1">
      <alignment horizontal="left" vertical="top"/>
    </xf>
    <xf numFmtId="177" fontId="64" fillId="11" borderId="217" xfId="0" applyNumberFormat="1" applyFont="1" applyFill="1" applyBorder="1" applyAlignment="1" applyProtection="1">
      <alignment horizontal="right" vertical="center" shrinkToFit="1"/>
    </xf>
    <xf numFmtId="177" fontId="64" fillId="11" borderId="216" xfId="0" applyNumberFormat="1" applyFont="1" applyFill="1" applyBorder="1" applyAlignment="1" applyProtection="1">
      <alignment horizontal="right" vertical="center" shrinkToFit="1"/>
    </xf>
    <xf numFmtId="0" fontId="65" fillId="0" borderId="28" xfId="12" applyFont="1" applyBorder="1" applyAlignment="1" applyProtection="1">
      <alignment vertical="top"/>
    </xf>
    <xf numFmtId="0" fontId="65" fillId="0" borderId="5" xfId="12" applyFont="1" applyBorder="1" applyAlignment="1" applyProtection="1">
      <alignment vertical="top"/>
    </xf>
    <xf numFmtId="0" fontId="43" fillId="8" borderId="80" xfId="0" applyFont="1" applyFill="1" applyBorder="1" applyAlignment="1">
      <alignment horizontal="center" vertical="center" wrapText="1" shrinkToFit="1"/>
    </xf>
    <xf numFmtId="0" fontId="43" fillId="8" borderId="0" xfId="0" applyFont="1" applyFill="1" applyAlignment="1">
      <alignment horizontal="center" vertical="center" wrapText="1" shrinkToFit="1"/>
    </xf>
    <xf numFmtId="0" fontId="43" fillId="8" borderId="81" xfId="0" applyFont="1" applyFill="1" applyBorder="1" applyAlignment="1">
      <alignment horizontal="center" vertical="center" wrapText="1" shrinkToFit="1"/>
    </xf>
    <xf numFmtId="0" fontId="61" fillId="0" borderId="86" xfId="0" applyFont="1" applyBorder="1" applyAlignment="1">
      <alignment horizontal="center" vertical="center"/>
    </xf>
    <xf numFmtId="0" fontId="61" fillId="0" borderId="87" xfId="0" applyFont="1" applyBorder="1" applyAlignment="1">
      <alignment horizontal="center" vertical="center"/>
    </xf>
    <xf numFmtId="0" fontId="61" fillId="0" borderId="88" xfId="0" applyFont="1" applyBorder="1" applyAlignment="1">
      <alignment horizontal="center" vertical="center"/>
    </xf>
    <xf numFmtId="0" fontId="64" fillId="0" borderId="89"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94" xfId="0" applyFont="1" applyBorder="1" applyAlignment="1">
      <alignment horizontal="center" vertical="center"/>
    </xf>
    <xf numFmtId="0" fontId="64" fillId="0" borderId="90" xfId="0" applyFont="1" applyBorder="1" applyAlignment="1">
      <alignment horizontal="center" vertical="center"/>
    </xf>
    <xf numFmtId="0" fontId="64" fillId="0" borderId="89" xfId="0" applyFont="1" applyBorder="1" applyAlignment="1">
      <alignment horizontal="center" vertical="center"/>
    </xf>
    <xf numFmtId="0" fontId="64" fillId="0" borderId="95" xfId="0" applyFont="1" applyBorder="1" applyAlignment="1">
      <alignment horizontal="center" vertical="center"/>
    </xf>
    <xf numFmtId="0" fontId="61" fillId="0" borderId="100" xfId="0" applyFont="1" applyBorder="1" applyAlignment="1">
      <alignment horizontal="center" vertical="center" wrapText="1"/>
    </xf>
    <xf numFmtId="0" fontId="61" fillId="0" borderId="101" xfId="0" applyFont="1" applyBorder="1" applyAlignment="1">
      <alignment horizontal="center" vertical="center"/>
    </xf>
    <xf numFmtId="0" fontId="90" fillId="6" borderId="0" xfId="1" applyFill="1" applyAlignment="1" applyProtection="1">
      <alignment horizontal="left"/>
    </xf>
    <xf numFmtId="0" fontId="90" fillId="6" borderId="82" xfId="1" applyFill="1" applyBorder="1" applyAlignment="1" applyProtection="1">
      <alignment horizontal="left"/>
    </xf>
    <xf numFmtId="0" fontId="61" fillId="0" borderId="85" xfId="0" applyFont="1" applyBorder="1" applyAlignment="1">
      <alignment horizontal="center" vertical="center"/>
    </xf>
    <xf numFmtId="0" fontId="61" fillId="0" borderId="98" xfId="0" applyFont="1" applyBorder="1" applyAlignment="1">
      <alignment horizontal="center" vertical="center"/>
    </xf>
    <xf numFmtId="0" fontId="64" fillId="0" borderId="104" xfId="0" applyFont="1" applyBorder="1" applyAlignment="1">
      <alignment horizontal="center" vertical="center"/>
    </xf>
    <xf numFmtId="0" fontId="64" fillId="0" borderId="4" xfId="0" applyFont="1" applyBorder="1" applyAlignment="1">
      <alignment horizontal="center" vertical="center"/>
    </xf>
    <xf numFmtId="0" fontId="64" fillId="6" borderId="4" xfId="0" applyFont="1" applyFill="1" applyBorder="1" applyAlignment="1" applyProtection="1">
      <alignment horizontal="center" vertical="center" shrinkToFit="1"/>
      <protection locked="0"/>
    </xf>
    <xf numFmtId="0" fontId="64" fillId="6" borderId="28" xfId="0" applyFont="1" applyFill="1" applyBorder="1" applyAlignment="1" applyProtection="1">
      <alignment horizontal="center" vertical="center" shrinkToFit="1"/>
      <protection locked="0"/>
    </xf>
    <xf numFmtId="0" fontId="64" fillId="6" borderId="104" xfId="0" applyFont="1" applyFill="1" applyBorder="1" applyAlignment="1" applyProtection="1">
      <alignment horizontal="center" vertical="center" shrinkToFit="1"/>
      <protection locked="0"/>
    </xf>
    <xf numFmtId="0" fontId="64" fillId="6" borderId="105" xfId="0" applyFont="1" applyFill="1" applyBorder="1" applyAlignment="1" applyProtection="1">
      <alignment horizontal="center" vertical="center" shrinkToFit="1"/>
      <protection locked="0"/>
    </xf>
    <xf numFmtId="0" fontId="64" fillId="0" borderId="114" xfId="0" applyFont="1" applyBorder="1" applyAlignment="1">
      <alignment horizontal="center" vertical="center"/>
    </xf>
    <xf numFmtId="0" fontId="64" fillId="0" borderId="117" xfId="0" applyFont="1" applyBorder="1" applyAlignment="1">
      <alignment horizontal="center" vertical="center"/>
    </xf>
    <xf numFmtId="176" fontId="64" fillId="6" borderId="117" xfId="0" applyNumberFormat="1" applyFont="1" applyFill="1" applyBorder="1" applyAlignment="1" applyProtection="1">
      <alignment horizontal="center" vertical="center" shrinkToFit="1"/>
      <protection locked="0"/>
    </xf>
    <xf numFmtId="176" fontId="64" fillId="6" borderId="121" xfId="0" applyNumberFormat="1" applyFont="1" applyFill="1" applyBorder="1" applyAlignment="1" applyProtection="1">
      <alignment horizontal="center" vertical="center" shrinkToFit="1"/>
      <protection locked="0"/>
    </xf>
    <xf numFmtId="176" fontId="64" fillId="6" borderId="114" xfId="0" applyNumberFormat="1" applyFont="1" applyFill="1" applyBorder="1" applyAlignment="1" applyProtection="1">
      <alignment horizontal="center" vertical="center" shrinkToFit="1"/>
      <protection locked="0"/>
    </xf>
    <xf numFmtId="176" fontId="64" fillId="6" borderId="102" xfId="0" applyNumberFormat="1" applyFont="1" applyFill="1" applyBorder="1" applyAlignment="1" applyProtection="1">
      <alignment horizontal="center" vertical="center" shrinkToFit="1"/>
      <protection locked="0"/>
    </xf>
    <xf numFmtId="0" fontId="61" fillId="0" borderId="86" xfId="0" applyFont="1" applyBorder="1" applyAlignment="1">
      <alignment horizontal="center"/>
    </xf>
    <xf numFmtId="0" fontId="61" fillId="0" borderId="87" xfId="0" applyFont="1" applyBorder="1" applyAlignment="1">
      <alignment horizontal="center"/>
    </xf>
    <xf numFmtId="0" fontId="61" fillId="0" borderId="88" xfId="0" applyFont="1" applyBorder="1" applyAlignment="1">
      <alignment horizontal="center"/>
    </xf>
    <xf numFmtId="0" fontId="59" fillId="0" borderId="97" xfId="0" applyFont="1" applyBorder="1" applyAlignment="1">
      <alignment horizontal="center" shrinkToFit="1"/>
    </xf>
    <xf numFmtId="0" fontId="59" fillId="0" borderId="0" xfId="0" applyFont="1" applyAlignment="1">
      <alignment horizontal="center" shrinkToFit="1"/>
    </xf>
    <xf numFmtId="0" fontId="59" fillId="0" borderId="120" xfId="0" applyFont="1" applyBorder="1" applyAlignment="1">
      <alignment horizontal="center"/>
    </xf>
    <xf numFmtId="0" fontId="59" fillId="0" borderId="24" xfId="0" applyFont="1" applyBorder="1" applyAlignment="1">
      <alignment horizontal="center"/>
    </xf>
    <xf numFmtId="0" fontId="59" fillId="0" borderId="191" xfId="0" applyFont="1" applyBorder="1" applyAlignment="1">
      <alignment horizontal="center" shrinkToFit="1"/>
    </xf>
    <xf numFmtId="0" fontId="59" fillId="0" borderId="92" xfId="0" applyFont="1" applyBorder="1" applyAlignment="1">
      <alignment horizontal="center" shrinkToFit="1"/>
    </xf>
    <xf numFmtId="0" fontId="59" fillId="0" borderId="192" xfId="0" applyFont="1" applyBorder="1" applyAlignment="1">
      <alignment horizontal="center" shrinkToFit="1"/>
    </xf>
    <xf numFmtId="0" fontId="59" fillId="0" borderId="4" xfId="0" applyFont="1" applyBorder="1" applyAlignment="1">
      <alignment horizontal="center" vertical="center"/>
    </xf>
    <xf numFmtId="0" fontId="59" fillId="0" borderId="4" xfId="0" applyFont="1" applyBorder="1" applyAlignment="1">
      <alignment horizontal="center"/>
    </xf>
    <xf numFmtId="0" fontId="59" fillId="0" borderId="191" xfId="0" applyFont="1" applyBorder="1" applyAlignment="1">
      <alignment horizontal="center" vertical="center" wrapText="1"/>
    </xf>
    <xf numFmtId="0" fontId="59" fillId="0" borderId="92" xfId="0" applyFont="1" applyBorder="1" applyAlignment="1">
      <alignment horizontal="center" vertical="center" wrapText="1"/>
    </xf>
    <xf numFmtId="0" fontId="59" fillId="0" borderId="192"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80" xfId="7" applyFont="1" applyBorder="1" applyAlignment="1">
      <alignment horizontal="center" vertical="center"/>
    </xf>
    <xf numFmtId="0" fontId="59" fillId="0" borderId="196" xfId="7" applyFont="1" applyBorder="1" applyAlignment="1">
      <alignment horizontal="center" vertical="center"/>
    </xf>
    <xf numFmtId="0" fontId="59" fillId="0" borderId="120" xfId="7" applyFont="1" applyBorder="1" applyAlignment="1">
      <alignment horizontal="center" vertical="center"/>
    </xf>
    <xf numFmtId="0" fontId="59" fillId="0" borderId="200" xfId="7" applyFont="1" applyBorder="1" applyAlignment="1">
      <alignment horizontal="center" vertical="center"/>
    </xf>
    <xf numFmtId="0" fontId="59" fillId="0" borderId="198" xfId="0" applyFont="1" applyBorder="1" applyAlignment="1">
      <alignment horizontal="center" vertical="center" wrapText="1"/>
    </xf>
    <xf numFmtId="0" fontId="59" fillId="0" borderId="202"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04"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36" xfId="0" applyFont="1" applyBorder="1" applyAlignment="1">
      <alignment horizontal="center" vertical="center"/>
    </xf>
    <xf numFmtId="0" fontId="59" fillId="0" borderId="124" xfId="0" applyFont="1" applyBorder="1" applyAlignment="1">
      <alignment horizontal="center" vertical="center"/>
    </xf>
    <xf numFmtId="0" fontId="7" fillId="0" borderId="4" xfId="0" applyFont="1" applyFill="1" applyBorder="1" applyAlignment="1" applyProtection="1">
      <alignment horizontal="center" vertical="top" wrapText="1"/>
    </xf>
    <xf numFmtId="0" fontId="22" fillId="0" borderId="28" xfId="0" applyFont="1" applyFill="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5" fillId="3" borderId="5"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17" fillId="0" borderId="37" xfId="0" applyFont="1" applyFill="1" applyBorder="1" applyAlignment="1" applyProtection="1">
      <alignment horizontal="distributed" vertical="center"/>
    </xf>
    <xf numFmtId="0" fontId="17" fillId="0" borderId="34" xfId="0" applyFont="1" applyFill="1" applyBorder="1" applyAlignment="1" applyProtection="1">
      <alignment horizontal="distributed" vertical="center"/>
    </xf>
    <xf numFmtId="0" fontId="90" fillId="3" borderId="34" xfId="1" applyFill="1" applyBorder="1" applyAlignment="1" applyProtection="1">
      <alignment vertical="center"/>
      <protection locked="0"/>
    </xf>
    <xf numFmtId="0" fontId="7" fillId="3" borderId="34" xfId="0" applyFont="1" applyFill="1" applyBorder="1" applyAlignment="1" applyProtection="1">
      <alignment vertical="center"/>
      <protection locked="0"/>
    </xf>
    <xf numFmtId="0" fontId="7" fillId="3" borderId="39" xfId="0" applyFont="1" applyFill="1" applyBorder="1" applyAlignment="1" applyProtection="1">
      <alignment vertical="center"/>
      <protection locked="0"/>
    </xf>
    <xf numFmtId="0" fontId="7" fillId="0" borderId="34" xfId="0" applyFont="1" applyBorder="1" applyAlignment="1" applyProtection="1">
      <alignment vertical="center"/>
    </xf>
    <xf numFmtId="0" fontId="7" fillId="0" borderId="39" xfId="0" applyFont="1" applyBorder="1" applyAlignment="1" applyProtection="1">
      <alignment vertical="center"/>
    </xf>
    <xf numFmtId="0" fontId="7" fillId="0" borderId="5" xfId="0" applyFont="1" applyFill="1" applyBorder="1" applyAlignment="1" applyProtection="1">
      <alignment horizontal="center" vertical="center"/>
    </xf>
    <xf numFmtId="0" fontId="25" fillId="3" borderId="5" xfId="0" applyFont="1" applyFill="1" applyBorder="1" applyAlignment="1" applyProtection="1">
      <alignment horizontal="left" vertical="center" wrapText="1"/>
      <protection locked="0"/>
    </xf>
    <xf numFmtId="0" fontId="0" fillId="0" borderId="5" xfId="0" applyBorder="1" applyAlignment="1">
      <alignment vertical="center" wrapText="1"/>
    </xf>
    <xf numFmtId="0" fontId="0" fillId="0" borderId="29" xfId="0" applyBorder="1" applyAlignment="1">
      <alignment vertical="center" wrapText="1"/>
    </xf>
    <xf numFmtId="0" fontId="0" fillId="0" borderId="5" xfId="0" applyBorder="1" applyAlignment="1">
      <alignment horizontal="center" vertical="center" wrapText="1"/>
    </xf>
    <xf numFmtId="49" fontId="7" fillId="2" borderId="0" xfId="0" applyNumberFormat="1" applyFont="1" applyFill="1" applyAlignment="1" applyProtection="1">
      <alignment horizontal="left" vertical="center" shrinkToFit="1"/>
    </xf>
    <xf numFmtId="0" fontId="7" fillId="0" borderId="0" xfId="0" applyFont="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9" xfId="0" applyFont="1" applyFill="1" applyBorder="1" applyAlignment="1" applyProtection="1">
      <alignment horizontal="distributed" vertical="center"/>
    </xf>
    <xf numFmtId="0" fontId="7" fillId="0" borderId="0" xfId="0" applyFont="1" applyFill="1" applyBorder="1" applyAlignment="1" applyProtection="1">
      <alignment horizontal="distributed" vertical="center"/>
    </xf>
    <xf numFmtId="49" fontId="7" fillId="2" borderId="0" xfId="0" applyNumberFormat="1" applyFont="1" applyFill="1" applyBorder="1" applyAlignment="1" applyProtection="1">
      <alignment horizontal="left" vertical="center" shrinkToFit="1"/>
      <protection locked="0"/>
    </xf>
    <xf numFmtId="0" fontId="7" fillId="0" borderId="0" xfId="0" applyFont="1" applyFill="1" applyBorder="1" applyAlignment="1" applyProtection="1">
      <alignment horizontal="center" vertical="center" shrinkToFit="1"/>
    </xf>
    <xf numFmtId="0" fontId="7" fillId="0" borderId="23" xfId="0" applyFont="1" applyFill="1" applyBorder="1" applyAlignment="1" applyProtection="1">
      <alignment horizontal="center" vertical="center" shrinkToFit="1"/>
    </xf>
    <xf numFmtId="0" fontId="7" fillId="0" borderId="30" xfId="0" applyFont="1" applyFill="1" applyBorder="1" applyAlignment="1" applyProtection="1">
      <alignment horizontal="distributed" vertical="center"/>
    </xf>
    <xf numFmtId="0" fontId="7" fillId="0" borderId="8" xfId="0" applyFont="1" applyFill="1" applyBorder="1" applyAlignment="1" applyProtection="1">
      <alignment horizontal="distributed" vertical="center"/>
    </xf>
    <xf numFmtId="0" fontId="7" fillId="0" borderId="31" xfId="0" applyFont="1" applyFill="1" applyBorder="1" applyAlignment="1" applyProtection="1">
      <alignment horizontal="distributed" vertical="center"/>
    </xf>
    <xf numFmtId="0" fontId="7" fillId="0" borderId="25" xfId="0" applyFont="1" applyFill="1" applyBorder="1" applyAlignment="1" applyProtection="1">
      <alignment horizontal="distributed" vertical="center"/>
    </xf>
    <xf numFmtId="0" fontId="7" fillId="0" borderId="32" xfId="0" applyFont="1" applyFill="1" applyBorder="1" applyAlignment="1" applyProtection="1">
      <alignment horizontal="distributed" vertical="center"/>
    </xf>
    <xf numFmtId="0" fontId="7" fillId="0" borderId="33" xfId="0" applyFont="1" applyFill="1" applyBorder="1" applyAlignment="1" applyProtection="1">
      <alignment horizontal="distributed" vertical="center"/>
    </xf>
    <xf numFmtId="0" fontId="7" fillId="0" borderId="34" xfId="0" applyFont="1" applyFill="1" applyBorder="1" applyAlignment="1" applyProtection="1">
      <alignment horizontal="distributed" vertical="center"/>
    </xf>
    <xf numFmtId="0" fontId="7" fillId="0" borderId="35" xfId="0" applyFont="1" applyFill="1" applyBorder="1" applyAlignment="1" applyProtection="1">
      <alignment horizontal="distributed" vertical="center"/>
    </xf>
    <xf numFmtId="0" fontId="7" fillId="0" borderId="7" xfId="0" applyFont="1" applyFill="1" applyBorder="1" applyAlignment="1" applyProtection="1">
      <alignment horizontal="distributed" vertical="center"/>
    </xf>
    <xf numFmtId="49" fontId="7" fillId="2" borderId="8" xfId="0" applyNumberFormat="1" applyFont="1" applyFill="1" applyBorder="1" applyAlignment="1" applyProtection="1">
      <alignment horizontal="left" vertical="center" shrinkToFit="1"/>
      <protection locked="0"/>
    </xf>
    <xf numFmtId="49" fontId="7" fillId="2" borderId="36" xfId="0" applyNumberFormat="1" applyFont="1" applyFill="1" applyBorder="1" applyAlignment="1" applyProtection="1">
      <alignment horizontal="left" vertical="center" shrinkToFit="1"/>
      <protection locked="0"/>
    </xf>
    <xf numFmtId="49" fontId="7" fillId="2" borderId="8" xfId="0" applyNumberFormat="1" applyFont="1" applyFill="1" applyBorder="1" applyAlignment="1" applyProtection="1">
      <alignment horizontal="left" vertical="center" shrinkToFit="1"/>
    </xf>
    <xf numFmtId="49" fontId="7" fillId="2" borderId="36" xfId="0" applyNumberFormat="1" applyFont="1" applyFill="1" applyBorder="1" applyAlignment="1" applyProtection="1">
      <alignment horizontal="left" vertical="center" shrinkToFit="1"/>
    </xf>
    <xf numFmtId="0" fontId="7" fillId="0" borderId="0" xfId="0" applyFont="1" applyFill="1" applyBorder="1" applyAlignment="1" applyProtection="1">
      <alignment vertical="center"/>
    </xf>
    <xf numFmtId="0" fontId="7" fillId="0" borderId="38"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0" xfId="0" applyFont="1" applyFill="1" applyBorder="1" applyAlignment="1" applyProtection="1">
      <alignment horizontal="distributed" vertical="center"/>
    </xf>
    <xf numFmtId="0" fontId="7" fillId="0" borderId="11" xfId="0" applyFont="1" applyFill="1" applyBorder="1" applyAlignment="1" applyProtection="1">
      <alignment horizontal="distributed" vertical="center"/>
    </xf>
    <xf numFmtId="49" fontId="7" fillId="2" borderId="40" xfId="0" applyNumberFormat="1" applyFont="1" applyFill="1" applyBorder="1" applyAlignment="1" applyProtection="1">
      <alignment horizontal="left" vertical="center"/>
      <protection locked="0"/>
    </xf>
    <xf numFmtId="49" fontId="7" fillId="2" borderId="3" xfId="0" applyNumberFormat="1" applyFont="1" applyFill="1" applyBorder="1" applyAlignment="1" applyProtection="1">
      <alignment horizontal="left" vertical="center"/>
      <protection locked="0"/>
    </xf>
    <xf numFmtId="49" fontId="7" fillId="2" borderId="6" xfId="0" applyNumberFormat="1" applyFont="1" applyFill="1" applyBorder="1" applyAlignment="1" applyProtection="1">
      <alignment horizontal="left" vertical="center"/>
      <protection locked="0"/>
    </xf>
    <xf numFmtId="49" fontId="7" fillId="2" borderId="40"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left" vertical="center"/>
    </xf>
    <xf numFmtId="49" fontId="7" fillId="2" borderId="6" xfId="0" applyNumberFormat="1" applyFont="1" applyFill="1" applyBorder="1" applyAlignment="1" applyProtection="1">
      <alignment horizontal="left" vertical="center"/>
    </xf>
    <xf numFmtId="0" fontId="7" fillId="0" borderId="23" xfId="0" applyFont="1" applyFill="1" applyBorder="1" applyAlignment="1" applyProtection="1">
      <alignment vertical="center"/>
    </xf>
    <xf numFmtId="177" fontId="7" fillId="2" borderId="3" xfId="0" applyNumberFormat="1" applyFont="1" applyFill="1" applyBorder="1" applyAlignment="1" applyProtection="1">
      <alignment horizontal="right" vertical="center" shrinkToFit="1"/>
    </xf>
    <xf numFmtId="0" fontId="7" fillId="0" borderId="46" xfId="0" applyFont="1" applyFill="1" applyBorder="1" applyAlignment="1" applyProtection="1">
      <alignment vertical="center" textRotation="255" wrapText="1"/>
    </xf>
    <xf numFmtId="0" fontId="7" fillId="0" borderId="47" xfId="0" applyFont="1" applyFill="1" applyBorder="1" applyAlignment="1" applyProtection="1">
      <alignment vertical="center" textRotation="255" wrapText="1"/>
    </xf>
    <xf numFmtId="0" fontId="7" fillId="0" borderId="48" xfId="0" applyFont="1" applyFill="1" applyBorder="1" applyAlignment="1" applyProtection="1">
      <alignment vertical="center" textRotation="255" wrapText="1"/>
    </xf>
    <xf numFmtId="0" fontId="7" fillId="0" borderId="7" xfId="0" applyFont="1" applyFill="1" applyBorder="1" applyAlignment="1" applyProtection="1">
      <alignment horizontal="distributed" vertical="center" wrapText="1"/>
    </xf>
    <xf numFmtId="0" fontId="7" fillId="0" borderId="31"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32" xfId="0" applyFont="1" applyBorder="1" applyAlignment="1" applyProtection="1">
      <alignment horizontal="distributed" vertical="center"/>
    </xf>
    <xf numFmtId="0" fontId="7" fillId="0" borderId="49" xfId="0" applyFont="1" applyBorder="1" applyAlignment="1" applyProtection="1">
      <alignment horizontal="distributed" vertical="center"/>
    </xf>
    <xf numFmtId="0" fontId="7" fillId="0" borderId="50" xfId="0" applyFont="1" applyBorder="1" applyAlignment="1" applyProtection="1">
      <alignment horizontal="distributed" vertical="center"/>
    </xf>
    <xf numFmtId="0" fontId="7" fillId="0" borderId="8" xfId="0" applyFont="1" applyFill="1" applyBorder="1" applyAlignment="1" applyProtection="1">
      <alignment vertical="center"/>
    </xf>
    <xf numFmtId="0" fontId="7" fillId="0" borderId="36" xfId="0" applyFont="1" applyFill="1" applyBorder="1" applyAlignment="1" applyProtection="1">
      <alignment vertical="center"/>
    </xf>
    <xf numFmtId="0" fontId="7" fillId="0" borderId="30" xfId="0" applyFont="1" applyFill="1" applyBorder="1" applyAlignment="1" applyProtection="1">
      <alignment horizontal="justify" vertical="center" wrapText="1"/>
    </xf>
    <xf numFmtId="0" fontId="7" fillId="0" borderId="8" xfId="0" applyFont="1" applyFill="1" applyBorder="1" applyAlignment="1" applyProtection="1">
      <alignment horizontal="justify" vertical="center" wrapText="1"/>
    </xf>
    <xf numFmtId="0" fontId="7" fillId="0" borderId="31" xfId="0" applyFont="1" applyFill="1" applyBorder="1" applyAlignment="1" applyProtection="1">
      <alignment horizontal="justify" vertical="center" wrapText="1"/>
    </xf>
    <xf numFmtId="0" fontId="7" fillId="0" borderId="25" xfId="0" applyFont="1" applyFill="1" applyBorder="1" applyAlignment="1" applyProtection="1">
      <alignment horizontal="justify" vertical="center" wrapText="1"/>
    </xf>
    <xf numFmtId="0" fontId="7" fillId="0" borderId="0" xfId="0" applyFont="1" applyFill="1" applyBorder="1" applyAlignment="1" applyProtection="1">
      <alignment horizontal="justify" vertical="center" wrapText="1"/>
    </xf>
    <xf numFmtId="0" fontId="7" fillId="0" borderId="32" xfId="0" applyFont="1" applyFill="1" applyBorder="1" applyAlignment="1" applyProtection="1">
      <alignment horizontal="justify" vertical="center" wrapText="1"/>
    </xf>
    <xf numFmtId="0" fontId="7" fillId="0" borderId="33" xfId="0" applyFont="1" applyBorder="1" applyAlignment="1" applyProtection="1">
      <alignment horizontal="justify" vertical="center" wrapText="1"/>
    </xf>
    <xf numFmtId="0" fontId="7" fillId="0" borderId="34" xfId="0" applyFont="1" applyBorder="1" applyAlignment="1" applyProtection="1">
      <alignment horizontal="justify" vertical="center" wrapText="1"/>
    </xf>
    <xf numFmtId="0" fontId="7" fillId="0" borderId="35" xfId="0" applyFont="1" applyBorder="1" applyAlignment="1" applyProtection="1">
      <alignment horizontal="justify" vertical="center" wrapText="1"/>
    </xf>
    <xf numFmtId="0" fontId="7" fillId="10" borderId="55" xfId="0" applyFont="1" applyFill="1" applyBorder="1" applyAlignment="1" applyProtection="1">
      <alignment horizontal="center" vertical="center" wrapText="1"/>
    </xf>
    <xf numFmtId="0" fontId="7" fillId="10" borderId="51"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49" xfId="0" applyFont="1" applyFill="1" applyBorder="1" applyAlignment="1" applyProtection="1">
      <alignment horizontal="left" vertical="center" wrapText="1"/>
    </xf>
    <xf numFmtId="0" fontId="7" fillId="0" borderId="38" xfId="0" applyFont="1" applyFill="1" applyBorder="1" applyAlignment="1" applyProtection="1">
      <alignment horizontal="left" vertical="center" wrapText="1"/>
    </xf>
    <xf numFmtId="177" fontId="7" fillId="10" borderId="1" xfId="0" applyNumberFormat="1" applyFont="1" applyFill="1" applyBorder="1" applyAlignment="1" applyProtection="1">
      <alignment horizontal="right" vertical="center" shrinkToFit="1"/>
    </xf>
    <xf numFmtId="177" fontId="7" fillId="10" borderId="45" xfId="0" applyNumberFormat="1" applyFont="1" applyFill="1" applyBorder="1" applyAlignment="1" applyProtection="1">
      <alignment horizontal="right" vertical="center" shrinkToFit="1"/>
    </xf>
    <xf numFmtId="0" fontId="7" fillId="2" borderId="41"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0" borderId="43" xfId="0"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7" fillId="0" borderId="20" xfId="0" applyFont="1" applyBorder="1" applyAlignment="1" applyProtection="1">
      <alignment horizontal="justify" vertical="center" wrapText="1"/>
    </xf>
    <xf numFmtId="0" fontId="7" fillId="0" borderId="49" xfId="0" applyFont="1" applyBorder="1" applyAlignment="1" applyProtection="1">
      <alignment horizontal="justify" vertical="center" wrapText="1"/>
    </xf>
    <xf numFmtId="0" fontId="7" fillId="0" borderId="38" xfId="0" applyFont="1" applyBorder="1" applyAlignment="1" applyProtection="1">
      <alignment horizontal="justify" vertical="center" wrapText="1"/>
    </xf>
    <xf numFmtId="0" fontId="7" fillId="0" borderId="50" xfId="0" applyFont="1" applyBorder="1" applyAlignment="1" applyProtection="1">
      <alignment horizontal="justify" vertical="center" wrapText="1"/>
    </xf>
    <xf numFmtId="177" fontId="7" fillId="2" borderId="1" xfId="0" applyNumberFormat="1" applyFont="1" applyFill="1" applyBorder="1" applyAlignment="1" applyProtection="1">
      <alignment horizontal="right" vertical="center" shrinkToFit="1"/>
    </xf>
    <xf numFmtId="177" fontId="7" fillId="2" borderId="45" xfId="0" applyNumberFormat="1" applyFont="1" applyFill="1" applyBorder="1" applyAlignment="1" applyProtection="1">
      <alignment horizontal="right" vertical="center" shrinkToFit="1"/>
    </xf>
    <xf numFmtId="177" fontId="7" fillId="10" borderId="7" xfId="0" applyNumberFormat="1" applyFont="1" applyFill="1" applyBorder="1" applyAlignment="1" applyProtection="1">
      <alignment horizontal="right" vertical="center" shrinkToFit="1"/>
    </xf>
    <xf numFmtId="177" fontId="7" fillId="10" borderId="8" xfId="0" applyNumberFormat="1" applyFont="1" applyFill="1" applyBorder="1" applyAlignment="1" applyProtection="1">
      <alignment horizontal="right" vertical="center" shrinkToFit="1"/>
    </xf>
    <xf numFmtId="0" fontId="7"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0" borderId="44"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0" fontId="7" fillId="0" borderId="37" xfId="0" applyFont="1" applyBorder="1" applyAlignment="1" applyProtection="1">
      <alignment horizontal="justify" vertical="center" wrapText="1"/>
    </xf>
    <xf numFmtId="0" fontId="7" fillId="0" borderId="44" xfId="0" applyFont="1" applyBorder="1" applyAlignment="1" applyProtection="1">
      <alignment horizontal="center" vertical="center" wrapText="1" shrinkToFit="1"/>
    </xf>
    <xf numFmtId="0" fontId="7" fillId="0" borderId="20" xfId="0" applyFont="1" applyBorder="1" applyAlignment="1" applyProtection="1">
      <alignment horizontal="center" vertical="center" wrapText="1" shrinkToFit="1"/>
    </xf>
    <xf numFmtId="0" fontId="7" fillId="0" borderId="34" xfId="0" applyFont="1" applyBorder="1" applyAlignment="1" applyProtection="1">
      <alignment horizontal="center" vertical="center" wrapText="1" shrinkToFit="1"/>
    </xf>
    <xf numFmtId="0" fontId="7" fillId="0" borderId="35" xfId="0" applyFont="1" applyBorder="1" applyAlignment="1" applyProtection="1">
      <alignment horizontal="center" vertical="center" wrapText="1" shrinkToFit="1"/>
    </xf>
    <xf numFmtId="177" fontId="7" fillId="10" borderId="3" xfId="0" applyNumberFormat="1" applyFont="1" applyFill="1" applyBorder="1" applyAlignment="1" applyProtection="1">
      <alignment horizontal="right" vertical="center" shrinkToFi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38"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49" fontId="7" fillId="2" borderId="0" xfId="0" applyNumberFormat="1" applyFont="1" applyFill="1" applyAlignment="1" applyProtection="1">
      <alignment horizontal="left" vertical="center" shrinkToFit="1"/>
      <protection locked="0"/>
    </xf>
    <xf numFmtId="0" fontId="7" fillId="0" borderId="23" xfId="0" applyFont="1" applyFill="1" applyBorder="1" applyAlignment="1" applyProtection="1">
      <alignment horizontal="center" vertical="center"/>
    </xf>
    <xf numFmtId="0" fontId="10" fillId="0" borderId="12" xfId="0" applyFont="1" applyFill="1" applyBorder="1" applyAlignment="1" applyProtection="1">
      <alignment horizontal="justify" vertical="center" wrapText="1"/>
    </xf>
    <xf numFmtId="0" fontId="10" fillId="0" borderId="52" xfId="0" applyFont="1" applyFill="1" applyBorder="1" applyAlignment="1" applyProtection="1">
      <alignment horizontal="justify" vertical="center" wrapText="1"/>
    </xf>
    <xf numFmtId="0" fontId="7" fillId="10" borderId="18" xfId="0" applyFont="1" applyFill="1" applyBorder="1" applyAlignment="1" applyProtection="1">
      <alignment horizontal="left" vertical="center" shrinkToFit="1"/>
    </xf>
    <xf numFmtId="0" fontId="7" fillId="10" borderId="53" xfId="0" applyFont="1" applyFill="1" applyBorder="1" applyAlignment="1" applyProtection="1">
      <alignment horizontal="left" vertical="center" shrinkToFit="1"/>
    </xf>
    <xf numFmtId="0" fontId="7" fillId="10" borderId="21" xfId="0" applyFont="1" applyFill="1" applyBorder="1" applyAlignment="1" applyProtection="1">
      <alignment horizontal="left" vertical="center" shrinkToFit="1"/>
    </xf>
    <xf numFmtId="0" fontId="7" fillId="0" borderId="12" xfId="0" applyFont="1" applyFill="1" applyBorder="1" applyAlignment="1" applyProtection="1">
      <alignment horizontal="justify" vertical="center" wrapText="1"/>
    </xf>
    <xf numFmtId="0" fontId="7" fillId="0" borderId="52" xfId="0" applyFont="1" applyFill="1" applyBorder="1" applyAlignment="1" applyProtection="1">
      <alignment horizontal="justify" vertical="center" wrapText="1"/>
    </xf>
    <xf numFmtId="0" fontId="7" fillId="2" borderId="18" xfId="0" applyFont="1" applyFill="1" applyBorder="1" applyAlignment="1" applyProtection="1">
      <alignment horizontal="left" vertical="center" wrapText="1"/>
    </xf>
    <xf numFmtId="0" fontId="7" fillId="2" borderId="53"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10" fillId="0" borderId="15" xfId="0" applyFont="1" applyFill="1" applyBorder="1" applyAlignment="1" applyProtection="1">
      <alignment horizontal="justify" vertical="center" wrapText="1"/>
    </xf>
    <xf numFmtId="0" fontId="10" fillId="0" borderId="54" xfId="0" applyFont="1" applyFill="1" applyBorder="1" applyAlignment="1" applyProtection="1">
      <alignment horizontal="justify" vertical="center" wrapText="1"/>
    </xf>
    <xf numFmtId="0" fontId="7" fillId="10" borderId="40" xfId="0" applyFont="1" applyFill="1" applyBorder="1" applyAlignment="1" applyProtection="1">
      <alignment horizontal="left" vertical="center" shrinkToFit="1"/>
    </xf>
    <xf numFmtId="0" fontId="7" fillId="10" borderId="3" xfId="0" applyFont="1" applyFill="1" applyBorder="1" applyAlignment="1" applyProtection="1">
      <alignment horizontal="left" vertical="center" shrinkToFit="1"/>
    </xf>
    <xf numFmtId="0" fontId="7" fillId="10" borderId="6" xfId="0" applyFont="1" applyFill="1" applyBorder="1" applyAlignment="1" applyProtection="1">
      <alignment horizontal="left" vertical="center" shrinkToFit="1"/>
    </xf>
    <xf numFmtId="0" fontId="7" fillId="0" borderId="15" xfId="0" applyFont="1" applyFill="1" applyBorder="1" applyAlignment="1" applyProtection="1">
      <alignment horizontal="justify" vertical="center" wrapText="1"/>
    </xf>
    <xf numFmtId="0" fontId="7" fillId="0" borderId="54" xfId="0" applyFont="1" applyFill="1" applyBorder="1" applyAlignment="1" applyProtection="1">
      <alignment horizontal="justify" vertical="center" wrapText="1"/>
    </xf>
    <xf numFmtId="0" fontId="7" fillId="2" borderId="40"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55" xfId="0" applyFont="1" applyFill="1" applyBorder="1" applyAlignment="1" applyProtection="1">
      <alignment horizontal="center" vertical="center" wrapText="1"/>
    </xf>
    <xf numFmtId="0" fontId="7" fillId="0" borderId="7" xfId="0" applyFont="1" applyFill="1" applyBorder="1" applyAlignment="1" applyProtection="1">
      <alignment horizontal="justify" vertical="center" wrapText="1"/>
    </xf>
    <xf numFmtId="0" fontId="7" fillId="0" borderId="8" xfId="0" applyFont="1" applyBorder="1" applyAlignment="1" applyProtection="1">
      <alignment horizontal="justify" vertical="center" wrapText="1"/>
    </xf>
    <xf numFmtId="0" fontId="7" fillId="0" borderId="31" xfId="0" applyFont="1" applyBorder="1" applyAlignment="1" applyProtection="1">
      <alignment horizontal="justify" vertical="center" wrapText="1"/>
    </xf>
    <xf numFmtId="0" fontId="7" fillId="0" borderId="8"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wrapText="1" shrinkToFit="1"/>
    </xf>
    <xf numFmtId="0" fontId="7" fillId="0" borderId="32" xfId="0" applyFont="1" applyFill="1" applyBorder="1" applyAlignment="1" applyProtection="1">
      <alignment horizontal="left" vertical="center" wrapText="1" shrinkToFit="1"/>
    </xf>
    <xf numFmtId="0" fontId="7" fillId="0" borderId="38" xfId="0" applyFont="1" applyFill="1" applyBorder="1" applyAlignment="1" applyProtection="1">
      <alignment horizontal="left" vertical="center" wrapText="1" shrinkToFit="1"/>
    </xf>
    <xf numFmtId="0" fontId="7" fillId="0" borderId="50" xfId="0" applyFont="1" applyFill="1" applyBorder="1" applyAlignment="1" applyProtection="1">
      <alignment horizontal="left" vertical="center" wrapText="1" shrinkToFit="1"/>
    </xf>
    <xf numFmtId="177" fontId="7" fillId="2" borderId="7" xfId="0" applyNumberFormat="1"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right" vertical="center" shrinkToFit="1"/>
    </xf>
    <xf numFmtId="0" fontId="7" fillId="0" borderId="0" xfId="0" applyFont="1" applyFill="1" applyBorder="1" applyAlignment="1" applyProtection="1">
      <alignment horizontal="center" vertical="center"/>
    </xf>
    <xf numFmtId="0" fontId="7" fillId="0" borderId="0" xfId="0" applyFont="1" applyAlignment="1" applyProtection="1">
      <alignment horizontal="center" vertical="center"/>
    </xf>
    <xf numFmtId="0" fontId="7"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xf>
    <xf numFmtId="0" fontId="7" fillId="0" borderId="0" xfId="0" applyFont="1" applyFill="1" applyAlignment="1" applyProtection="1">
      <alignment horizontal="center"/>
    </xf>
    <xf numFmtId="0" fontId="7" fillId="0" borderId="0" xfId="0" applyFont="1" applyFill="1" applyAlignment="1" applyProtection="1">
      <alignment horizontal="left" vertical="center"/>
    </xf>
    <xf numFmtId="178" fontId="7" fillId="3" borderId="0" xfId="0" applyNumberFormat="1" applyFont="1" applyFill="1" applyAlignment="1" applyProtection="1">
      <alignment horizontal="right" vertical="center" shrinkToFit="1"/>
      <protection locked="0"/>
    </xf>
    <xf numFmtId="178" fontId="7" fillId="3" borderId="0" xfId="0" applyNumberFormat="1" applyFont="1" applyFill="1" applyAlignment="1" applyProtection="1">
      <alignment horizontal="right" vertical="center" shrinkToFit="1"/>
    </xf>
    <xf numFmtId="38" fontId="7" fillId="4" borderId="85" xfId="13" applyFont="1" applyFill="1" applyBorder="1" applyAlignment="1" applyProtection="1">
      <alignment vertical="center"/>
      <protection locked="0"/>
    </xf>
    <xf numFmtId="38" fontId="9" fillId="4" borderId="98" xfId="13" applyFont="1" applyFill="1" applyBorder="1" applyAlignment="1" applyProtection="1">
      <alignment vertical="center"/>
      <protection locked="0"/>
    </xf>
    <xf numFmtId="0" fontId="15" fillId="2" borderId="43" xfId="0" applyNumberFormat="1" applyFont="1" applyFill="1" applyBorder="1" applyAlignment="1" applyProtection="1">
      <alignment horizontal="right" vertical="center" wrapText="1"/>
    </xf>
    <xf numFmtId="0" fontId="15" fillId="2" borderId="44" xfId="0" applyNumberFormat="1" applyFont="1" applyFill="1" applyBorder="1" applyAlignment="1" applyProtection="1">
      <alignment horizontal="right" vertical="center" wrapText="1"/>
    </xf>
    <xf numFmtId="179" fontId="7" fillId="0" borderId="43" xfId="0" applyNumberFormat="1" applyFont="1" applyFill="1" applyBorder="1" applyAlignment="1" applyProtection="1">
      <alignment vertical="center"/>
    </xf>
    <xf numFmtId="179" fontId="7" fillId="0" borderId="44" xfId="0" applyNumberFormat="1" applyFont="1" applyFill="1" applyBorder="1" applyAlignment="1" applyProtection="1">
      <alignment vertical="center"/>
    </xf>
    <xf numFmtId="0" fontId="7" fillId="0" borderId="19" xfId="0" applyFont="1" applyFill="1" applyBorder="1" applyAlignment="1" applyProtection="1">
      <alignment vertical="center"/>
    </xf>
    <xf numFmtId="0" fontId="0" fillId="0" borderId="39" xfId="0" applyBorder="1" applyAlignment="1" applyProtection="1">
      <alignment vertical="center"/>
    </xf>
    <xf numFmtId="0" fontId="15" fillId="2" borderId="37" xfId="0" applyNumberFormat="1" applyFont="1" applyFill="1" applyBorder="1" applyAlignment="1" applyProtection="1">
      <alignment horizontal="right" vertical="center"/>
    </xf>
    <xf numFmtId="0" fontId="15" fillId="2" borderId="34" xfId="0" applyNumberFormat="1" applyFont="1" applyFill="1" applyBorder="1" applyAlignment="1" applyProtection="1">
      <alignment horizontal="right" vertical="center"/>
    </xf>
    <xf numFmtId="0" fontId="15" fillId="2" borderId="37" xfId="0" applyNumberFormat="1" applyFont="1" applyFill="1" applyBorder="1" applyAlignment="1" applyProtection="1">
      <alignment horizontal="right" vertical="center" wrapText="1"/>
    </xf>
    <xf numFmtId="0" fontId="15" fillId="2" borderId="34" xfId="0" applyNumberFormat="1" applyFont="1" applyFill="1" applyBorder="1" applyAlignment="1" applyProtection="1">
      <alignment horizontal="right" vertical="center" wrapText="1"/>
    </xf>
    <xf numFmtId="179" fontId="7" fillId="0" borderId="37" xfId="0" applyNumberFormat="1" applyFont="1" applyFill="1" applyBorder="1" applyAlignment="1" applyProtection="1">
      <alignment vertical="center"/>
    </xf>
    <xf numFmtId="179" fontId="7" fillId="0" borderId="34" xfId="0" applyNumberFormat="1" applyFont="1" applyFill="1" applyBorder="1" applyAlignment="1" applyProtection="1">
      <alignment vertical="center"/>
    </xf>
    <xf numFmtId="0" fontId="15" fillId="2" borderId="44" xfId="0" applyNumberFormat="1" applyFont="1" applyFill="1" applyBorder="1" applyAlignment="1" applyProtection="1">
      <alignment horizontal="right" vertical="center"/>
    </xf>
    <xf numFmtId="0" fontId="13" fillId="0" borderId="44" xfId="0" applyFont="1" applyFill="1" applyBorder="1" applyAlignment="1" applyProtection="1">
      <alignment horizontal="justify" vertical="center" wrapText="1"/>
    </xf>
    <xf numFmtId="0" fontId="0" fillId="0" borderId="34" xfId="0" applyBorder="1" applyAlignment="1" applyProtection="1">
      <alignment vertical="center"/>
    </xf>
    <xf numFmtId="0" fontId="15" fillId="2" borderId="43" xfId="0" applyNumberFormat="1" applyFont="1" applyFill="1" applyBorder="1" applyAlignment="1" applyProtection="1">
      <alignment horizontal="right" vertical="center"/>
    </xf>
    <xf numFmtId="0" fontId="7" fillId="0" borderId="20" xfId="0" applyFont="1" applyFill="1" applyBorder="1" applyAlignment="1" applyProtection="1">
      <alignment horizontal="justify" vertical="center" wrapText="1"/>
    </xf>
    <xf numFmtId="0" fontId="7" fillId="0" borderId="9" xfId="0" applyFont="1" applyFill="1" applyBorder="1" applyAlignment="1" applyProtection="1">
      <alignment horizontal="justify" vertical="center" wrapText="1"/>
    </xf>
    <xf numFmtId="0" fontId="0" fillId="0" borderId="37" xfId="0" applyBorder="1" applyAlignment="1" applyProtection="1">
      <alignment horizontal="justify" vertical="center" wrapText="1"/>
    </xf>
    <xf numFmtId="0" fontId="0" fillId="0" borderId="35" xfId="0" applyBorder="1" applyAlignment="1" applyProtection="1">
      <alignment horizontal="justify" vertical="center" wrapText="1"/>
    </xf>
    <xf numFmtId="0" fontId="7" fillId="0" borderId="45" xfId="0" applyFont="1" applyFill="1" applyBorder="1" applyAlignment="1" applyProtection="1">
      <alignment horizontal="distributed" vertical="center" wrapText="1"/>
    </xf>
    <xf numFmtId="0" fontId="9" fillId="0" borderId="45" xfId="0" applyFont="1" applyBorder="1" applyAlignment="1" applyProtection="1">
      <alignment horizontal="distributed" vertical="center" wrapText="1"/>
    </xf>
    <xf numFmtId="0" fontId="9" fillId="0" borderId="10" xfId="0" applyFont="1" applyBorder="1" applyAlignment="1" applyProtection="1">
      <alignment horizontal="distributed" vertical="center" wrapText="1"/>
    </xf>
    <xf numFmtId="49" fontId="15" fillId="2" borderId="1"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left" vertical="center" wrapText="1"/>
    </xf>
    <xf numFmtId="49" fontId="15" fillId="2" borderId="10" xfId="0" applyNumberFormat="1" applyFont="1" applyFill="1" applyBorder="1" applyAlignment="1" applyProtection="1">
      <alignment horizontal="left" vertical="center" wrapText="1"/>
    </xf>
    <xf numFmtId="0" fontId="7" fillId="0" borderId="1" xfId="0" applyFont="1" applyFill="1" applyBorder="1" applyAlignment="1" applyProtection="1">
      <alignment horizontal="distributed" vertical="center" wrapText="1"/>
    </xf>
    <xf numFmtId="0" fontId="9" fillId="0" borderId="10" xfId="0" applyFont="1" applyBorder="1" applyAlignment="1" applyProtection="1">
      <alignment horizontal="distributed" vertical="center"/>
    </xf>
    <xf numFmtId="49" fontId="15" fillId="2" borderId="45" xfId="0" applyNumberFormat="1" applyFont="1" applyFill="1" applyBorder="1" applyAlignment="1" applyProtection="1">
      <alignment horizontal="justify" vertical="center" wrapText="1"/>
    </xf>
    <xf numFmtId="0" fontId="16" fillId="0" borderId="2" xfId="0" applyFont="1" applyBorder="1" applyAlignment="1" applyProtection="1">
      <alignment horizontal="justify" vertical="center" wrapText="1"/>
    </xf>
    <xf numFmtId="0" fontId="7" fillId="0" borderId="45" xfId="0" applyFont="1" applyFill="1" applyBorder="1" applyAlignment="1" applyProtection="1">
      <alignment horizontal="justify" vertical="center" wrapText="1"/>
    </xf>
    <xf numFmtId="0" fontId="7" fillId="0" borderId="10" xfId="0" applyFont="1" applyFill="1" applyBorder="1" applyAlignment="1" applyProtection="1">
      <alignment horizontal="justify" vertical="center" wrapText="1"/>
    </xf>
    <xf numFmtId="0" fontId="7" fillId="0" borderId="1" xfId="0" applyFont="1" applyFill="1" applyBorder="1" applyAlignment="1" applyProtection="1">
      <alignment horizontal="justify" vertical="center" wrapText="1"/>
    </xf>
    <xf numFmtId="0" fontId="7" fillId="0" borderId="2" xfId="0" applyFont="1" applyFill="1" applyBorder="1" applyAlignment="1" applyProtection="1">
      <alignment horizontal="justify" vertical="center" wrapText="1"/>
    </xf>
    <xf numFmtId="0" fontId="13" fillId="0" borderId="19" xfId="0" applyFont="1" applyFill="1" applyBorder="1" applyAlignment="1" applyProtection="1">
      <alignment horizontal="justify" vertical="center" wrapText="1"/>
    </xf>
    <xf numFmtId="0" fontId="0" fillId="0" borderId="38" xfId="0" applyBorder="1" applyAlignment="1" applyProtection="1">
      <alignment vertical="center"/>
    </xf>
    <xf numFmtId="0" fontId="0" fillId="0" borderId="22" xfId="0" applyBorder="1" applyAlignment="1" applyProtection="1">
      <alignment vertical="center"/>
    </xf>
    <xf numFmtId="0" fontId="15" fillId="2" borderId="49" xfId="0" applyNumberFormat="1" applyFont="1" applyFill="1" applyBorder="1" applyAlignment="1" applyProtection="1">
      <alignment horizontal="right" vertical="center"/>
    </xf>
    <xf numFmtId="0" fontId="15" fillId="2" borderId="38" xfId="0" applyNumberFormat="1" applyFont="1" applyFill="1" applyBorder="1" applyAlignment="1" applyProtection="1">
      <alignment horizontal="right" vertical="center"/>
    </xf>
    <xf numFmtId="0" fontId="15" fillId="2" borderId="49" xfId="0" applyNumberFormat="1" applyFont="1" applyFill="1" applyBorder="1" applyAlignment="1" applyProtection="1">
      <alignment horizontal="right" vertical="center" wrapText="1"/>
    </xf>
    <xf numFmtId="0" fontId="16" fillId="0" borderId="38" xfId="0" applyFont="1" applyBorder="1" applyAlignment="1" applyProtection="1">
      <alignment horizontal="right" vertical="center"/>
    </xf>
    <xf numFmtId="0" fontId="7" fillId="0" borderId="1" xfId="0" applyFont="1" applyFill="1" applyBorder="1" applyAlignment="1" applyProtection="1">
      <alignment horizontal="distributed" vertical="center"/>
    </xf>
    <xf numFmtId="0" fontId="7" fillId="0" borderId="45" xfId="0" applyFont="1" applyFill="1" applyBorder="1" applyAlignment="1" applyProtection="1">
      <alignment horizontal="distributed" vertical="center"/>
    </xf>
    <xf numFmtId="0" fontId="7" fillId="0" borderId="45" xfId="0" applyFont="1" applyBorder="1" applyAlignment="1" applyProtection="1">
      <alignment horizontal="distributed" vertical="center"/>
    </xf>
    <xf numFmtId="0" fontId="7" fillId="0" borderId="2" xfId="0" applyFont="1" applyBorder="1" applyAlignment="1" applyProtection="1">
      <alignment horizontal="distributed" vertical="center"/>
    </xf>
    <xf numFmtId="0" fontId="13" fillId="0" borderId="20" xfId="0" applyFont="1" applyFill="1" applyBorder="1" applyAlignment="1" applyProtection="1">
      <alignment horizontal="justify" vertical="center" wrapText="1"/>
    </xf>
    <xf numFmtId="0" fontId="0" fillId="0" borderId="50" xfId="0" applyBorder="1" applyAlignment="1" applyProtection="1">
      <alignment vertical="center"/>
    </xf>
    <xf numFmtId="177" fontId="15" fillId="2" borderId="41" xfId="0" applyNumberFormat="1" applyFont="1" applyFill="1" applyBorder="1" applyAlignment="1" applyProtection="1">
      <alignment horizontal="right" vertical="center"/>
    </xf>
    <xf numFmtId="177" fontId="15" fillId="2" borderId="43" xfId="0" applyNumberFormat="1" applyFont="1" applyFill="1" applyBorder="1" applyAlignment="1" applyProtection="1">
      <alignment horizontal="right" vertical="center"/>
    </xf>
    <xf numFmtId="0" fontId="7" fillId="0" borderId="22" xfId="0" applyFont="1" applyFill="1" applyBorder="1" applyAlignment="1" applyProtection="1">
      <alignment vertical="center"/>
    </xf>
    <xf numFmtId="177" fontId="15" fillId="2" borderId="49" xfId="0" applyNumberFormat="1" applyFont="1" applyFill="1" applyBorder="1" applyAlignment="1" applyProtection="1">
      <alignment horizontal="right" vertical="center"/>
    </xf>
    <xf numFmtId="177" fontId="16" fillId="0" borderId="38" xfId="0" applyNumberFormat="1" applyFont="1" applyBorder="1" applyAlignment="1" applyProtection="1">
      <alignment horizontal="right" vertical="center"/>
    </xf>
    <xf numFmtId="179" fontId="7" fillId="0" borderId="49" xfId="0" applyNumberFormat="1" applyFont="1" applyFill="1" applyBorder="1" applyAlignment="1" applyProtection="1">
      <alignment vertical="center"/>
    </xf>
    <xf numFmtId="179" fontId="7" fillId="0" borderId="38" xfId="0" applyNumberFormat="1" applyFont="1" applyFill="1" applyBorder="1" applyAlignment="1" applyProtection="1">
      <alignment vertical="center"/>
    </xf>
    <xf numFmtId="0" fontId="7" fillId="0" borderId="20" xfId="0" applyFont="1" applyFill="1" applyBorder="1" applyAlignment="1" applyProtection="1">
      <alignment vertical="center"/>
    </xf>
    <xf numFmtId="0" fontId="7" fillId="0" borderId="50" xfId="0" applyFont="1" applyFill="1" applyBorder="1" applyAlignment="1" applyProtection="1">
      <alignment vertical="center"/>
    </xf>
    <xf numFmtId="0" fontId="10" fillId="0" borderId="30" xfId="0" applyFont="1" applyFill="1" applyBorder="1" applyAlignment="1" applyProtection="1">
      <alignment horizontal="justify" vertical="center" wrapText="1"/>
    </xf>
    <xf numFmtId="0" fontId="10" fillId="0" borderId="8" xfId="0" applyFont="1" applyFill="1" applyBorder="1" applyAlignment="1" applyProtection="1">
      <alignment horizontal="justify" vertical="center" wrapText="1"/>
    </xf>
    <xf numFmtId="0" fontId="10" fillId="0" borderId="31" xfId="0" applyFont="1" applyFill="1" applyBorder="1" applyAlignment="1" applyProtection="1">
      <alignment horizontal="justify" vertical="center" wrapText="1"/>
    </xf>
    <xf numFmtId="0" fontId="34" fillId="2" borderId="7" xfId="0" applyFont="1" applyFill="1" applyBorder="1" applyAlignment="1" applyProtection="1">
      <alignment horizontal="justify" vertical="top" wrapText="1"/>
      <protection locked="0"/>
    </xf>
    <xf numFmtId="0" fontId="34" fillId="2" borderId="8" xfId="0" applyFont="1" applyFill="1" applyBorder="1" applyAlignment="1" applyProtection="1">
      <alignment horizontal="justify" vertical="top"/>
      <protection locked="0"/>
    </xf>
    <xf numFmtId="0" fontId="34" fillId="2" borderId="36" xfId="0" applyFont="1" applyFill="1" applyBorder="1" applyAlignment="1" applyProtection="1">
      <alignment horizontal="justify" vertical="top"/>
      <protection locked="0"/>
    </xf>
    <xf numFmtId="0" fontId="7" fillId="0" borderId="5" xfId="0" applyFont="1" applyFill="1" applyBorder="1" applyAlignment="1" applyProtection="1">
      <alignment horizontal="center" vertical="top" wrapText="1"/>
    </xf>
    <xf numFmtId="0" fontId="0" fillId="0" borderId="33" xfId="0" applyBorder="1" applyAlignment="1" applyProtection="1">
      <alignment horizontal="justify" vertical="center" wrapText="1"/>
    </xf>
    <xf numFmtId="0" fontId="0" fillId="0" borderId="34" xfId="0" applyBorder="1" applyAlignment="1" applyProtection="1">
      <alignment horizontal="justify" vertical="center" wrapText="1"/>
    </xf>
    <xf numFmtId="0" fontId="0" fillId="0" borderId="49" xfId="0" applyBorder="1" applyAlignment="1" applyProtection="1">
      <alignment horizontal="justify" vertical="center" wrapText="1"/>
    </xf>
    <xf numFmtId="0" fontId="0" fillId="0" borderId="50" xfId="0" applyBorder="1" applyAlignment="1" applyProtection="1">
      <alignment horizontal="justify" vertical="center" wrapText="1"/>
    </xf>
    <xf numFmtId="0" fontId="7" fillId="0" borderId="18" xfId="0" applyFont="1" applyFill="1" applyBorder="1" applyAlignment="1" applyProtection="1">
      <alignment horizontal="distributed" vertical="center" wrapText="1"/>
    </xf>
    <xf numFmtId="0" fontId="7" fillId="0" borderId="53" xfId="0" applyFont="1" applyFill="1" applyBorder="1" applyAlignment="1" applyProtection="1">
      <alignment horizontal="distributed" vertical="center" wrapText="1"/>
    </xf>
    <xf numFmtId="0" fontId="7" fillId="0" borderId="56" xfId="0" applyFont="1" applyFill="1" applyBorder="1" applyAlignment="1" applyProtection="1">
      <alignment horizontal="distributed" vertical="center" wrapText="1"/>
    </xf>
    <xf numFmtId="0" fontId="7" fillId="0" borderId="18" xfId="0" applyFont="1" applyFill="1" applyBorder="1" applyAlignment="1" applyProtection="1">
      <alignment horizontal="justify" vertical="center" wrapText="1"/>
    </xf>
    <xf numFmtId="0" fontId="7" fillId="0" borderId="53" xfId="0" applyFont="1" applyFill="1" applyBorder="1" applyAlignment="1" applyProtection="1">
      <alignment horizontal="justify" vertical="center" wrapText="1"/>
    </xf>
    <xf numFmtId="0" fontId="7" fillId="0" borderId="56" xfId="0" applyFont="1" applyFill="1" applyBorder="1" applyAlignment="1" applyProtection="1">
      <alignment horizontal="justify" vertical="center" wrapText="1"/>
    </xf>
    <xf numFmtId="0" fontId="7" fillId="0" borderId="21" xfId="0" applyFont="1" applyFill="1" applyBorder="1" applyAlignment="1" applyProtection="1">
      <alignment horizontal="justify" vertical="center" wrapText="1"/>
    </xf>
    <xf numFmtId="182" fontId="7" fillId="0" borderId="43"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8" fillId="2" borderId="37" xfId="0" applyNumberFormat="1" applyFont="1" applyFill="1" applyBorder="1" applyAlignment="1" applyProtection="1">
      <alignment horizontal="right" vertical="center"/>
    </xf>
    <xf numFmtId="0" fontId="18" fillId="0" borderId="34" xfId="0" applyFont="1" applyBorder="1" applyAlignment="1" applyProtection="1">
      <alignment horizontal="right" vertical="center"/>
    </xf>
    <xf numFmtId="0" fontId="8" fillId="2" borderId="37"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xf>
    <xf numFmtId="182" fontId="7" fillId="0" borderId="37" xfId="0" applyNumberFormat="1" applyFont="1" applyFill="1" applyBorder="1" applyAlignment="1" applyProtection="1">
      <alignment horizontal="right" vertical="center"/>
    </xf>
    <xf numFmtId="182" fontId="7" fillId="0" borderId="3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xf>
    <xf numFmtId="0" fontId="8" fillId="2" borderId="4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wrapText="1"/>
    </xf>
    <xf numFmtId="0" fontId="8" fillId="2" borderId="44" xfId="0" applyNumberFormat="1" applyFont="1" applyFill="1" applyBorder="1" applyAlignment="1" applyProtection="1">
      <alignment horizontal="right" vertical="center" wrapText="1"/>
    </xf>
    <xf numFmtId="0" fontId="7" fillId="0" borderId="49" xfId="0" applyFont="1" applyFill="1" applyBorder="1" applyAlignment="1" applyProtection="1">
      <alignment horizontal="justify" vertical="center" wrapText="1"/>
    </xf>
    <xf numFmtId="0" fontId="7" fillId="0" borderId="50" xfId="0" applyFont="1" applyFill="1" applyBorder="1" applyAlignment="1" applyProtection="1">
      <alignment horizontal="justify" vertical="center" wrapText="1"/>
    </xf>
    <xf numFmtId="49" fontId="8" fillId="2" borderId="18"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49" fontId="8" fillId="2" borderId="56" xfId="0" applyNumberFormat="1" applyFont="1" applyFill="1" applyBorder="1" applyAlignment="1" applyProtection="1">
      <alignment horizontal="left" vertical="center" wrapText="1"/>
    </xf>
    <xf numFmtId="0" fontId="9" fillId="0" borderId="56" xfId="0" applyFont="1" applyBorder="1" applyAlignment="1" applyProtection="1">
      <alignment horizontal="distributed" vertical="center"/>
    </xf>
    <xf numFmtId="49" fontId="8" fillId="2" borderId="53" xfId="0" applyNumberFormat="1" applyFont="1" applyFill="1" applyBorder="1" applyAlignment="1" applyProtection="1">
      <alignment horizontal="justify" vertical="center" wrapText="1"/>
    </xf>
    <xf numFmtId="0" fontId="18" fillId="0" borderId="21" xfId="0" applyFont="1" applyBorder="1" applyAlignment="1" applyProtection="1">
      <alignment horizontal="justify" vertical="center" wrapText="1"/>
    </xf>
    <xf numFmtId="0" fontId="7" fillId="0" borderId="28" xfId="0" applyFont="1" applyFill="1" applyBorder="1" applyAlignment="1" applyProtection="1">
      <alignment horizontal="center" vertical="center"/>
    </xf>
    <xf numFmtId="0" fontId="7" fillId="0" borderId="43" xfId="0" applyFont="1" applyBorder="1" applyAlignment="1" applyProtection="1">
      <alignment horizontal="justify" vertical="center" wrapText="1"/>
    </xf>
    <xf numFmtId="0" fontId="7" fillId="0" borderId="9" xfId="0" applyFont="1" applyBorder="1" applyAlignment="1" applyProtection="1">
      <alignment horizontal="justify" vertical="center" wrapText="1"/>
    </xf>
    <xf numFmtId="0" fontId="7" fillId="0" borderId="32" xfId="0" applyFont="1" applyBorder="1" applyAlignment="1" applyProtection="1">
      <alignment horizontal="justify" vertical="center" wrapText="1"/>
    </xf>
    <xf numFmtId="0" fontId="7" fillId="0" borderId="38" xfId="0" applyFont="1" applyFill="1" applyBorder="1" applyAlignment="1" applyProtection="1">
      <alignment horizontal="justify" vertical="center" wrapText="1"/>
    </xf>
    <xf numFmtId="0" fontId="7" fillId="0" borderId="22" xfId="0" applyFont="1" applyFill="1" applyBorder="1" applyAlignment="1" applyProtection="1">
      <alignment horizontal="justify" vertical="center" wrapText="1"/>
    </xf>
    <xf numFmtId="0" fontId="13" fillId="0" borderId="44" xfId="0" applyNumberFormat="1" applyFont="1" applyFill="1" applyBorder="1" applyAlignment="1" applyProtection="1">
      <alignment horizontal="justify" vertical="center" wrapText="1"/>
    </xf>
    <xf numFmtId="0" fontId="13" fillId="0" borderId="20" xfId="0" applyNumberFormat="1" applyFont="1" applyFill="1" applyBorder="1" applyAlignment="1" applyProtection="1">
      <alignment horizontal="justify" vertical="center" wrapText="1"/>
    </xf>
    <xf numFmtId="0" fontId="8" fillId="2" borderId="49" xfId="0" applyNumberFormat="1" applyFont="1" applyFill="1" applyBorder="1" applyAlignment="1" applyProtection="1">
      <alignment horizontal="right" vertical="center"/>
    </xf>
    <xf numFmtId="0" fontId="18" fillId="0" borderId="38" xfId="0" applyFont="1" applyBorder="1" applyAlignment="1" applyProtection="1">
      <alignment horizontal="right" vertical="center"/>
    </xf>
    <xf numFmtId="0" fontId="8" fillId="2" borderId="49" xfId="0" applyNumberFormat="1" applyFont="1" applyFill="1" applyBorder="1" applyAlignment="1" applyProtection="1">
      <alignment horizontal="right" vertical="center" wrapText="1"/>
    </xf>
    <xf numFmtId="177" fontId="8" fillId="2" borderId="41" xfId="0" applyNumberFormat="1" applyFont="1" applyFill="1" applyBorder="1" applyAlignment="1" applyProtection="1">
      <alignment horizontal="right" vertical="center"/>
    </xf>
    <xf numFmtId="177" fontId="8" fillId="2" borderId="43" xfId="0" applyNumberFormat="1" applyFont="1" applyFill="1" applyBorder="1" applyAlignment="1" applyProtection="1">
      <alignment horizontal="right" vertical="center"/>
    </xf>
    <xf numFmtId="177" fontId="8" fillId="2" borderId="37" xfId="0" applyNumberFormat="1" applyFont="1" applyFill="1" applyBorder="1" applyAlignment="1" applyProtection="1">
      <alignment horizontal="right" vertical="center"/>
    </xf>
    <xf numFmtId="177" fontId="18" fillId="0" borderId="34" xfId="0" applyNumberFormat="1" applyFont="1" applyBorder="1" applyAlignment="1" applyProtection="1">
      <alignment horizontal="right" vertical="center"/>
    </xf>
    <xf numFmtId="0" fontId="0" fillId="0" borderId="35" xfId="0" applyBorder="1" applyAlignment="1" applyProtection="1">
      <alignment vertical="center"/>
    </xf>
    <xf numFmtId="0" fontId="7" fillId="0" borderId="44" xfId="0" applyFont="1" applyFill="1" applyBorder="1" applyAlignment="1" applyProtection="1">
      <alignment vertical="center"/>
    </xf>
    <xf numFmtId="0" fontId="7" fillId="0" borderId="0" xfId="0" applyFont="1" applyFill="1" applyBorder="1" applyAlignment="1" applyProtection="1">
      <alignment vertical="center" wrapText="1"/>
    </xf>
    <xf numFmtId="0" fontId="9" fillId="0" borderId="0" xfId="0" applyFont="1" applyAlignment="1" applyProtection="1">
      <alignment wrapText="1"/>
    </xf>
    <xf numFmtId="0" fontId="7" fillId="0" borderId="0" xfId="0" applyFont="1" applyFill="1" applyBorder="1" applyAlignment="1" applyProtection="1">
      <alignment horizontal="center"/>
    </xf>
    <xf numFmtId="0" fontId="0" fillId="0" borderId="0" xfId="0" applyAlignment="1" applyProtection="1">
      <alignment horizontal="center"/>
    </xf>
    <xf numFmtId="0" fontId="7" fillId="0" borderId="49" xfId="0" applyFont="1" applyFill="1" applyBorder="1" applyAlignment="1" applyProtection="1">
      <alignment horizontal="distributed" vertical="center"/>
    </xf>
    <xf numFmtId="0" fontId="7" fillId="0" borderId="50" xfId="0" applyFont="1" applyFill="1" applyBorder="1" applyAlignment="1" applyProtection="1">
      <alignment horizontal="distributed"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176" fontId="7" fillId="0" borderId="38" xfId="0" applyNumberFormat="1" applyFont="1" applyFill="1" applyBorder="1" applyAlignment="1" applyProtection="1">
      <alignment horizontal="right" vertical="center"/>
    </xf>
    <xf numFmtId="0" fontId="7" fillId="0" borderId="38"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177" fontId="8" fillId="2" borderId="49" xfId="0" applyNumberFormat="1" applyFont="1" applyFill="1" applyBorder="1" applyAlignment="1" applyProtection="1">
      <alignment horizontal="right" vertical="center"/>
    </xf>
    <xf numFmtId="177" fontId="18" fillId="0" borderId="38" xfId="0" applyNumberFormat="1" applyFont="1" applyBorder="1" applyAlignment="1" applyProtection="1">
      <alignment horizontal="right" vertical="center"/>
    </xf>
    <xf numFmtId="0" fontId="7" fillId="0" borderId="10" xfId="0" applyFont="1" applyFill="1" applyBorder="1" applyAlignment="1" applyProtection="1">
      <alignment horizontal="distributed" vertical="center" wrapText="1"/>
    </xf>
    <xf numFmtId="0" fontId="7" fillId="0" borderId="0" xfId="0" applyFont="1" applyFill="1" applyAlignment="1" applyProtection="1">
      <alignment horizontal="left"/>
    </xf>
    <xf numFmtId="0" fontId="7" fillId="0" borderId="28" xfId="0"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178" fontId="7" fillId="2" borderId="5" xfId="0" applyNumberFormat="1" applyFont="1" applyFill="1" applyBorder="1" applyAlignment="1" applyProtection="1">
      <alignment horizontal="right" vertical="center"/>
    </xf>
    <xf numFmtId="0" fontId="7" fillId="0" borderId="25" xfId="0" applyFont="1" applyFill="1" applyBorder="1" applyAlignment="1" applyProtection="1">
      <alignment horizontal="center" vertical="center" wrapText="1"/>
    </xf>
    <xf numFmtId="0" fontId="15" fillId="2" borderId="43" xfId="0" applyNumberFormat="1" applyFont="1" applyFill="1" applyBorder="1" applyAlignment="1" applyProtection="1">
      <alignment horizontal="right" vertical="center" wrapText="1"/>
      <protection locked="0"/>
    </xf>
    <xf numFmtId="0" fontId="15" fillId="2" borderId="44" xfId="0" applyNumberFormat="1" applyFont="1" applyFill="1" applyBorder="1" applyAlignment="1" applyProtection="1">
      <alignment horizontal="right" vertical="center" wrapText="1"/>
      <protection locked="0"/>
    </xf>
    <xf numFmtId="0" fontId="15" fillId="2" borderId="49" xfId="0" applyNumberFormat="1" applyFont="1" applyFill="1" applyBorder="1" applyAlignment="1" applyProtection="1">
      <alignment horizontal="right" vertical="center" wrapText="1"/>
      <protection locked="0"/>
    </xf>
    <xf numFmtId="0" fontId="16" fillId="0" borderId="38" xfId="0" applyFont="1" applyBorder="1" applyAlignment="1" applyProtection="1">
      <alignment horizontal="right" vertical="center"/>
      <protection locked="0"/>
    </xf>
    <xf numFmtId="178" fontId="7" fillId="0" borderId="38" xfId="0" applyNumberFormat="1" applyFont="1" applyFill="1" applyBorder="1" applyAlignment="1" applyProtection="1">
      <alignment horizontal="right" vertical="center"/>
    </xf>
    <xf numFmtId="177" fontId="15" fillId="2" borderId="49" xfId="0" applyNumberFormat="1" applyFont="1" applyFill="1" applyBorder="1" applyAlignment="1" applyProtection="1">
      <alignment horizontal="right" vertical="center"/>
      <protection locked="0"/>
    </xf>
    <xf numFmtId="177" fontId="16" fillId="0" borderId="38" xfId="0" applyNumberFormat="1" applyFont="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protection locked="0"/>
    </xf>
    <xf numFmtId="0" fontId="15" fillId="2" borderId="34" xfId="0" applyNumberFormat="1" applyFont="1" applyFill="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wrapText="1"/>
      <protection locked="0"/>
    </xf>
    <xf numFmtId="0" fontId="15" fillId="2" borderId="34" xfId="0" applyNumberFormat="1" applyFont="1" applyFill="1" applyBorder="1" applyAlignment="1" applyProtection="1">
      <alignment horizontal="right" vertical="center" wrapText="1"/>
      <protection locked="0"/>
    </xf>
    <xf numFmtId="0" fontId="15" fillId="2" borderId="43" xfId="0" applyNumberFormat="1" applyFont="1" applyFill="1" applyBorder="1" applyAlignment="1" applyProtection="1">
      <alignment horizontal="right" vertical="center"/>
      <protection locked="0"/>
    </xf>
    <xf numFmtId="0" fontId="15" fillId="2" borderId="4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protection locked="0"/>
    </xf>
    <xf numFmtId="177" fontId="7" fillId="0" borderId="43" xfId="0" applyNumberFormat="1" applyFont="1" applyFill="1" applyBorder="1" applyAlignment="1" applyProtection="1">
      <alignment horizontal="right" vertical="center"/>
      <protection locked="0"/>
    </xf>
    <xf numFmtId="49" fontId="7" fillId="3" borderId="53" xfId="0" applyNumberFormat="1" applyFont="1" applyFill="1" applyBorder="1" applyAlignment="1" applyProtection="1">
      <alignment horizontal="justify" vertical="center" wrapText="1"/>
      <protection locked="0"/>
    </xf>
    <xf numFmtId="0" fontId="0" fillId="3" borderId="21" xfId="0" applyFill="1" applyBorder="1" applyAlignment="1" applyProtection="1">
      <alignment horizontal="justify" vertical="center" wrapText="1"/>
      <protection locked="0"/>
    </xf>
    <xf numFmtId="0" fontId="7" fillId="0" borderId="78" xfId="0" applyNumberFormat="1" applyFont="1" applyFill="1" applyBorder="1" applyAlignment="1" applyProtection="1">
      <alignment horizontal="right" vertical="center"/>
      <protection locked="0"/>
    </xf>
    <xf numFmtId="0" fontId="7" fillId="0" borderId="9" xfId="0" applyNumberFormat="1" applyFont="1" applyFill="1" applyBorder="1" applyAlignment="1" applyProtection="1">
      <alignment horizontal="right" vertical="center"/>
      <protection locked="0"/>
    </xf>
    <xf numFmtId="0" fontId="7" fillId="0" borderId="41"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right" vertical="center"/>
      <protection locked="0"/>
    </xf>
    <xf numFmtId="0" fontId="7" fillId="2" borderId="49" xfId="0" applyNumberFormat="1" applyFont="1" applyFill="1" applyBorder="1" applyAlignment="1" applyProtection="1">
      <alignment horizontal="right" vertical="center"/>
      <protection locked="0"/>
    </xf>
    <xf numFmtId="0" fontId="0" fillId="0" borderId="38" xfId="0"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shrinkToFit="1"/>
      <protection locked="0"/>
    </xf>
    <xf numFmtId="177" fontId="7" fillId="0" borderId="43" xfId="0" applyNumberFormat="1" applyFont="1" applyFill="1" applyBorder="1" applyAlignment="1" applyProtection="1">
      <alignment horizontal="right" vertical="center" shrinkToFit="1"/>
      <protection locked="0"/>
    </xf>
    <xf numFmtId="0" fontId="7" fillId="2" borderId="37" xfId="0" applyNumberFormat="1" applyFont="1" applyFill="1" applyBorder="1" applyAlignment="1" applyProtection="1">
      <alignment horizontal="right" vertical="center"/>
      <protection locked="0"/>
    </xf>
    <xf numFmtId="0" fontId="7" fillId="2" borderId="3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xf>
    <xf numFmtId="177" fontId="7" fillId="0" borderId="43" xfId="0" applyNumberFormat="1" applyFont="1" applyFill="1" applyBorder="1" applyAlignment="1" applyProtection="1">
      <alignment horizontal="right" vertical="center"/>
    </xf>
    <xf numFmtId="177" fontId="7" fillId="0" borderId="78" xfId="0" applyNumberFormat="1" applyFont="1" applyFill="1" applyBorder="1" applyAlignment="1" applyProtection="1">
      <alignment horizontal="right" vertical="center"/>
      <protection locked="0"/>
    </xf>
    <xf numFmtId="177" fontId="7" fillId="0" borderId="9" xfId="0" applyNumberFormat="1" applyFont="1" applyFill="1" applyBorder="1" applyAlignment="1" applyProtection="1">
      <alignment horizontal="right" vertical="center"/>
      <protection locked="0"/>
    </xf>
    <xf numFmtId="177" fontId="7" fillId="0" borderId="37" xfId="0" applyNumberFormat="1" applyFont="1" applyFill="1" applyBorder="1" applyAlignment="1" applyProtection="1">
      <alignment horizontal="right" vertical="center"/>
    </xf>
    <xf numFmtId="177" fontId="0" fillId="0" borderId="34" xfId="0" applyNumberFormat="1" applyFill="1" applyBorder="1" applyAlignment="1" applyProtection="1">
      <alignment horizontal="right" vertical="center"/>
    </xf>
    <xf numFmtId="177" fontId="7" fillId="2" borderId="37" xfId="0" applyNumberFormat="1" applyFont="1" applyFill="1" applyBorder="1" applyAlignment="1" applyProtection="1">
      <alignment horizontal="right" vertical="center"/>
      <protection locked="0"/>
    </xf>
    <xf numFmtId="177" fontId="0" fillId="0" borderId="34" xfId="0" applyNumberFormat="1" applyBorder="1" applyAlignment="1" applyProtection="1">
      <alignment horizontal="right" vertical="center"/>
      <protection locked="0"/>
    </xf>
    <xf numFmtId="0" fontId="7" fillId="0" borderId="37" xfId="0" applyNumberFormat="1" applyFont="1" applyFill="1" applyBorder="1" applyAlignment="1" applyProtection="1">
      <alignment horizontal="right" vertical="center" wrapText="1"/>
    </xf>
    <xf numFmtId="0" fontId="7" fillId="0" borderId="34" xfId="0" applyNumberFormat="1" applyFont="1" applyFill="1" applyBorder="1" applyAlignment="1" applyProtection="1">
      <alignment horizontal="right" vertical="center" wrapText="1"/>
    </xf>
    <xf numFmtId="177" fontId="15" fillId="2" borderId="41" xfId="0" applyNumberFormat="1" applyFont="1" applyFill="1" applyBorder="1" applyAlignment="1" applyProtection="1">
      <alignment horizontal="right" vertical="center"/>
      <protection locked="0"/>
    </xf>
    <xf numFmtId="177" fontId="15" fillId="2" borderId="43" xfId="0" applyNumberFormat="1" applyFont="1" applyFill="1" applyBorder="1" applyAlignment="1" applyProtection="1">
      <alignment horizontal="right" vertical="center"/>
      <protection locked="0"/>
    </xf>
    <xf numFmtId="177" fontId="7" fillId="2" borderId="41" xfId="0" applyNumberFormat="1" applyFont="1" applyFill="1" applyBorder="1" applyAlignment="1" applyProtection="1">
      <alignment horizontal="right" vertical="center"/>
      <protection locked="0"/>
    </xf>
    <xf numFmtId="177" fontId="7" fillId="2" borderId="43" xfId="0" applyNumberFormat="1" applyFont="1" applyFill="1" applyBorder="1" applyAlignment="1" applyProtection="1">
      <alignment horizontal="right" vertical="center"/>
      <protection locked="0"/>
    </xf>
    <xf numFmtId="0" fontId="7" fillId="2" borderId="43" xfId="0" applyNumberFormat="1" applyFont="1" applyFill="1" applyBorder="1" applyAlignment="1" applyProtection="1">
      <alignment horizontal="right" vertical="center"/>
      <protection locked="0"/>
    </xf>
    <xf numFmtId="0" fontId="7" fillId="2" borderId="44" xfId="0" applyNumberFormat="1" applyFont="1" applyFill="1" applyBorder="1" applyAlignment="1" applyProtection="1">
      <alignment horizontal="right" vertical="center"/>
      <protection locked="0"/>
    </xf>
    <xf numFmtId="177" fontId="7" fillId="2" borderId="49" xfId="0" applyNumberFormat="1" applyFont="1" applyFill="1" applyBorder="1" applyAlignment="1" applyProtection="1">
      <alignment horizontal="right" vertical="center"/>
      <protection locked="0"/>
    </xf>
    <xf numFmtId="177" fontId="0" fillId="0" borderId="38" xfId="0" applyNumberFormat="1" applyBorder="1" applyAlignment="1" applyProtection="1">
      <alignment horizontal="right" vertical="center"/>
      <protection locked="0"/>
    </xf>
    <xf numFmtId="49" fontId="7" fillId="3" borderId="18" xfId="0" applyNumberFormat="1" applyFont="1" applyFill="1" applyBorder="1" applyAlignment="1" applyProtection="1">
      <alignment horizontal="left" vertical="center" wrapText="1"/>
      <protection locked="0"/>
    </xf>
    <xf numFmtId="49" fontId="7" fillId="3" borderId="53" xfId="0" applyNumberFormat="1" applyFont="1" applyFill="1" applyBorder="1" applyAlignment="1" applyProtection="1">
      <alignment horizontal="left" vertical="center" wrapText="1"/>
      <protection locked="0"/>
    </xf>
    <xf numFmtId="49" fontId="7" fillId="3" borderId="5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right" vertical="center" wrapText="1"/>
    </xf>
    <xf numFmtId="0" fontId="7" fillId="0" borderId="44" xfId="0" applyNumberFormat="1" applyFont="1" applyFill="1" applyBorder="1" applyAlignment="1" applyProtection="1">
      <alignment horizontal="right" vertical="center" wrapText="1"/>
    </xf>
    <xf numFmtId="0" fontId="15" fillId="2" borderId="7"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protection locked="0"/>
    </xf>
    <xf numFmtId="0" fontId="15" fillId="2" borderId="36" xfId="0" applyFont="1" applyFill="1" applyBorder="1" applyAlignment="1" applyProtection="1">
      <alignment horizontal="left" vertical="top"/>
      <protection locked="0"/>
    </xf>
    <xf numFmtId="49" fontId="15" fillId="2" borderId="45" xfId="0" applyNumberFormat="1" applyFont="1" applyFill="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0" fontId="15" fillId="2" borderId="49" xfId="0" applyNumberFormat="1" applyFont="1" applyFill="1" applyBorder="1" applyAlignment="1" applyProtection="1">
      <alignment horizontal="right" vertical="center"/>
      <protection locked="0"/>
    </xf>
    <xf numFmtId="0" fontId="15" fillId="2" borderId="38" xfId="0" applyNumberFormat="1" applyFont="1" applyFill="1" applyBorder="1" applyAlignment="1" applyProtection="1">
      <alignment horizontal="right" vertical="center"/>
      <protection locked="0"/>
    </xf>
    <xf numFmtId="49" fontId="15" fillId="2" borderId="1" xfId="0" applyNumberFormat="1" applyFont="1" applyFill="1" applyBorder="1" applyAlignment="1" applyProtection="1">
      <alignment horizontal="left" vertical="center" wrapText="1"/>
      <protection locked="0"/>
    </xf>
    <xf numFmtId="49" fontId="15" fillId="2" borderId="45" xfId="0" applyNumberFormat="1" applyFont="1" applyFill="1" applyBorder="1" applyAlignment="1" applyProtection="1">
      <alignment horizontal="left" vertical="center" wrapText="1"/>
      <protection locked="0"/>
    </xf>
    <xf numFmtId="49" fontId="15" fillId="2" borderId="10" xfId="0" applyNumberFormat="1" applyFont="1" applyFill="1" applyBorder="1" applyAlignment="1" applyProtection="1">
      <alignment horizontal="left" vertical="center" wrapText="1"/>
      <protection locked="0"/>
    </xf>
    <xf numFmtId="178" fontId="7" fillId="2" borderId="5" xfId="0" applyNumberFormat="1" applyFont="1" applyFill="1" applyBorder="1" applyAlignment="1" applyProtection="1">
      <alignment horizontal="right" vertical="center"/>
      <protection locked="0"/>
    </xf>
    <xf numFmtId="0" fontId="7" fillId="2" borderId="1" xfId="0" applyNumberFormat="1" applyFont="1" applyFill="1" applyBorder="1" applyAlignment="1" applyProtection="1">
      <alignment horizontal="right" vertical="center"/>
    </xf>
    <xf numFmtId="0" fontId="7" fillId="2" borderId="45" xfId="0" applyNumberFormat="1" applyFont="1" applyFill="1" applyBorder="1" applyAlignment="1" applyProtection="1">
      <alignment horizontal="right" vertical="center"/>
    </xf>
    <xf numFmtId="0" fontId="13" fillId="0" borderId="3" xfId="0" applyFont="1" applyFill="1" applyBorder="1" applyAlignment="1" applyProtection="1">
      <alignment horizontal="justify" vertical="center" wrapText="1"/>
    </xf>
    <xf numFmtId="0" fontId="13" fillId="0" borderId="11" xfId="0" applyFont="1" applyFill="1" applyBorder="1" applyAlignment="1" applyProtection="1">
      <alignment horizontal="justify" vertical="center" wrapText="1"/>
    </xf>
    <xf numFmtId="179" fontId="7" fillId="0" borderId="40"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0" fontId="13" fillId="0" borderId="45" xfId="0" applyFont="1" applyFill="1" applyBorder="1" applyAlignment="1" applyProtection="1">
      <alignment horizontal="justify" vertical="center" wrapText="1"/>
    </xf>
    <xf numFmtId="0" fontId="13" fillId="0" borderId="2"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xf>
    <xf numFmtId="0" fontId="7" fillId="2" borderId="3"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wrapText="1"/>
    </xf>
    <xf numFmtId="0" fontId="7" fillId="2" borderId="3" xfId="0" applyNumberFormat="1" applyFont="1" applyFill="1" applyBorder="1" applyAlignment="1" applyProtection="1">
      <alignment horizontal="right" vertical="center" wrapText="1"/>
    </xf>
    <xf numFmtId="0" fontId="13" fillId="0" borderId="10" xfId="0" applyFont="1" applyFill="1" applyBorder="1" applyAlignment="1" applyProtection="1">
      <alignment horizontal="justify" vertical="center" wrapText="1"/>
    </xf>
    <xf numFmtId="0" fontId="7" fillId="2" borderId="1" xfId="0" applyNumberFormat="1" applyFont="1" applyFill="1" applyBorder="1" applyAlignment="1" applyProtection="1">
      <alignment horizontal="right" vertical="center" wrapText="1"/>
    </xf>
    <xf numFmtId="0" fontId="7" fillId="2" borderId="45" xfId="0" applyNumberFormat="1" applyFont="1" applyFill="1" applyBorder="1" applyAlignment="1" applyProtection="1">
      <alignment horizontal="right" vertical="center" wrapText="1"/>
    </xf>
    <xf numFmtId="0" fontId="7" fillId="0" borderId="34" xfId="0" applyFont="1" applyFill="1" applyBorder="1" applyAlignment="1" applyProtection="1">
      <alignment horizontal="center" vertical="top" wrapText="1"/>
    </xf>
    <xf numFmtId="0" fontId="7" fillId="0" borderId="14" xfId="0" applyFont="1" applyFill="1" applyBorder="1" applyAlignment="1" applyProtection="1">
      <alignment horizontal="justify" vertical="center" wrapText="1"/>
    </xf>
    <xf numFmtId="0" fontId="7" fillId="0" borderId="57" xfId="0" applyFont="1" applyFill="1" applyBorder="1" applyAlignment="1" applyProtection="1">
      <alignment horizontal="justify" vertical="center" wrapText="1"/>
    </xf>
    <xf numFmtId="176" fontId="7" fillId="2" borderId="41" xfId="0" applyNumberFormat="1" applyFont="1" applyFill="1" applyBorder="1" applyAlignment="1" applyProtection="1">
      <alignment horizontal="right" vertical="center"/>
    </xf>
    <xf numFmtId="176" fontId="7" fillId="2" borderId="43"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vertical="center"/>
    </xf>
    <xf numFmtId="179" fontId="7" fillId="0" borderId="45" xfId="0" applyNumberFormat="1" applyFont="1" applyFill="1" applyBorder="1" applyAlignment="1" applyProtection="1">
      <alignment vertical="center"/>
    </xf>
    <xf numFmtId="0" fontId="7" fillId="0" borderId="45"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49" fontId="7" fillId="2" borderId="1"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left" vertical="center"/>
    </xf>
    <xf numFmtId="49" fontId="7" fillId="2" borderId="10" xfId="0" applyNumberFormat="1" applyFont="1" applyFill="1" applyBorder="1" applyAlignment="1" applyProtection="1">
      <alignment horizontal="left" vertical="center"/>
    </xf>
    <xf numFmtId="0" fontId="7" fillId="0" borderId="10" xfId="0" applyFont="1" applyBorder="1" applyAlignment="1" applyProtection="1">
      <alignment horizontal="distributed" vertical="center"/>
    </xf>
    <xf numFmtId="49" fontId="7" fillId="2" borderId="45" xfId="0" applyNumberFormat="1"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7" fillId="0" borderId="33"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49" fontId="7" fillId="2" borderId="18"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left" vertical="center"/>
    </xf>
    <xf numFmtId="49" fontId="7" fillId="2" borderId="56" xfId="0" applyNumberFormat="1" applyFont="1" applyFill="1" applyBorder="1" applyAlignment="1" applyProtection="1">
      <alignment horizontal="left" vertical="center"/>
    </xf>
    <xf numFmtId="0" fontId="7" fillId="0" borderId="56" xfId="0" applyFont="1" applyBorder="1" applyAlignment="1" applyProtection="1">
      <alignment horizontal="distributed" vertical="center"/>
    </xf>
    <xf numFmtId="49" fontId="7" fillId="2" borderId="53" xfId="0" applyNumberFormat="1" applyFont="1" applyFill="1" applyBorder="1" applyAlignment="1" applyProtection="1">
      <alignment horizontal="justify" vertical="center" wrapText="1"/>
    </xf>
    <xf numFmtId="0" fontId="4" fillId="0" borderId="21" xfId="0" applyFont="1" applyBorder="1" applyAlignment="1" applyProtection="1">
      <alignment horizontal="justify" vertical="center" wrapText="1"/>
    </xf>
    <xf numFmtId="0" fontId="7" fillId="0" borderId="57" xfId="0" applyFont="1" applyFill="1" applyBorder="1" applyAlignment="1" applyProtection="1">
      <alignment vertical="center"/>
    </xf>
    <xf numFmtId="176" fontId="7" fillId="2" borderId="57" xfId="0" applyNumberFormat="1" applyFont="1" applyFill="1" applyBorder="1" applyAlignment="1" applyProtection="1">
      <alignment horizontal="right" vertical="center"/>
    </xf>
    <xf numFmtId="176" fontId="7" fillId="2" borderId="1" xfId="0" applyNumberFormat="1" applyFont="1" applyFill="1" applyBorder="1" applyAlignment="1" applyProtection="1">
      <alignment horizontal="right" vertical="center"/>
    </xf>
    <xf numFmtId="179" fontId="7" fillId="0" borderId="57"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horizontal="right" vertical="center"/>
    </xf>
    <xf numFmtId="0" fontId="7" fillId="0" borderId="57" xfId="0" applyFont="1" applyFill="1" applyBorder="1" applyAlignment="1" applyProtection="1">
      <alignment horizontal="left" vertical="center"/>
    </xf>
    <xf numFmtId="0" fontId="15" fillId="2" borderId="8" xfId="0" applyFont="1" applyFill="1" applyBorder="1" applyAlignment="1" applyProtection="1">
      <alignment horizontal="justify" vertical="top" wrapText="1"/>
      <protection locked="0"/>
    </xf>
    <xf numFmtId="0" fontId="15" fillId="2" borderId="8" xfId="0" applyFont="1" applyFill="1" applyBorder="1" applyAlignment="1" applyProtection="1">
      <alignment horizontal="justify" vertical="top"/>
      <protection locked="0"/>
    </xf>
    <xf numFmtId="0" fontId="15" fillId="2" borderId="36" xfId="0" applyFont="1" applyFill="1" applyBorder="1" applyAlignment="1" applyProtection="1">
      <alignment horizontal="justify" vertical="top"/>
      <protection locked="0"/>
    </xf>
    <xf numFmtId="0" fontId="7" fillId="0" borderId="5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30" xfId="0" applyFont="1" applyFill="1" applyBorder="1" applyAlignment="1" applyProtection="1">
      <alignment horizontal="center"/>
    </xf>
    <xf numFmtId="0" fontId="7" fillId="0" borderId="8" xfId="0" applyFont="1" applyFill="1" applyBorder="1" applyAlignment="1" applyProtection="1">
      <alignment horizontal="center"/>
    </xf>
    <xf numFmtId="0" fontId="7" fillId="0" borderId="25" xfId="0" applyFont="1" applyFill="1" applyBorder="1" applyAlignment="1" applyProtection="1">
      <alignment horizontal="center"/>
    </xf>
    <xf numFmtId="176" fontId="7" fillId="0" borderId="57"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0" fontId="7" fillId="0" borderId="58" xfId="0" applyFont="1" applyBorder="1" applyAlignment="1" applyProtection="1">
      <alignment horizontal="center"/>
    </xf>
    <xf numFmtId="0" fontId="7" fillId="0" borderId="59" xfId="0" applyFont="1" applyBorder="1" applyAlignment="1" applyProtection="1">
      <alignment horizontal="center"/>
    </xf>
    <xf numFmtId="0" fontId="7" fillId="0" borderId="54" xfId="0" applyFont="1" applyFill="1" applyBorder="1" applyAlignment="1" applyProtection="1">
      <alignment vertical="center"/>
    </xf>
    <xf numFmtId="176" fontId="7" fillId="2" borderId="54" xfId="0" applyNumberFormat="1" applyFont="1" applyFill="1" applyBorder="1" applyAlignment="1" applyProtection="1">
      <alignment horizontal="right" vertical="center"/>
    </xf>
    <xf numFmtId="176" fontId="7" fillId="2" borderId="40" xfId="0" applyNumberFormat="1" applyFont="1" applyFill="1" applyBorder="1" applyAlignment="1" applyProtection="1">
      <alignment horizontal="right" vertical="center"/>
    </xf>
    <xf numFmtId="182" fontId="7" fillId="0" borderId="40" xfId="0" applyNumberFormat="1" applyFont="1" applyFill="1" applyBorder="1" applyAlignment="1" applyProtection="1">
      <alignment horizontal="right" vertical="center"/>
    </xf>
    <xf numFmtId="182" fontId="7" fillId="0" borderId="3" xfId="0" applyNumberFormat="1" applyFont="1" applyFill="1" applyBorder="1" applyAlignment="1" applyProtection="1">
      <alignment horizontal="right" vertical="center"/>
    </xf>
    <xf numFmtId="0" fontId="7" fillId="2" borderId="1" xfId="0" quotePrefix="1" applyNumberFormat="1" applyFont="1" applyFill="1" applyBorder="1" applyAlignment="1" applyProtection="1">
      <alignment horizontal="right" vertical="center"/>
    </xf>
    <xf numFmtId="0" fontId="13" fillId="0" borderId="45" xfId="0" applyNumberFormat="1" applyFont="1" applyFill="1" applyBorder="1" applyAlignment="1" applyProtection="1">
      <alignment horizontal="justify" vertical="center" wrapText="1"/>
    </xf>
    <xf numFmtId="0" fontId="13" fillId="0" borderId="10" xfId="0" applyNumberFormat="1" applyFont="1" applyFill="1" applyBorder="1" applyAlignment="1" applyProtection="1">
      <alignment horizontal="justify" vertical="center" wrapText="1"/>
    </xf>
    <xf numFmtId="0" fontId="7" fillId="2" borderId="1" xfId="0" applyNumberFormat="1" applyFont="1" applyFill="1" applyBorder="1" applyAlignment="1" applyProtection="1">
      <alignment horizontal="right" vertical="center" wrapText="1"/>
      <protection locked="0"/>
    </xf>
    <xf numFmtId="0" fontId="7" fillId="2" borderId="45" xfId="0" applyNumberFormat="1" applyFont="1" applyFill="1" applyBorder="1" applyAlignment="1" applyProtection="1">
      <alignment horizontal="right" vertical="center" wrapText="1"/>
      <protection locked="0"/>
    </xf>
    <xf numFmtId="0" fontId="7" fillId="2" borderId="1" xfId="0" applyNumberFormat="1" applyFont="1" applyFill="1" applyBorder="1" applyAlignment="1" applyProtection="1">
      <alignment horizontal="right" vertical="center"/>
      <protection locked="0"/>
    </xf>
    <xf numFmtId="0" fontId="7" fillId="2" borderId="45" xfId="0" applyNumberFormat="1" applyFont="1" applyFill="1" applyBorder="1" applyAlignment="1" applyProtection="1">
      <alignment horizontal="right" vertical="center"/>
      <protection locked="0"/>
    </xf>
    <xf numFmtId="0" fontId="7" fillId="0" borderId="0" xfId="0" applyFont="1" applyAlignment="1" applyProtection="1">
      <alignment wrapText="1"/>
    </xf>
    <xf numFmtId="176" fontId="7" fillId="2" borderId="41" xfId="0" applyNumberFormat="1" applyFont="1" applyFill="1" applyBorder="1" applyAlignment="1" applyProtection="1">
      <alignment horizontal="right" vertical="center"/>
      <protection locked="0"/>
    </xf>
    <xf numFmtId="176" fontId="7" fillId="2" borderId="43" xfId="0" applyNumberFormat="1" applyFont="1" applyFill="1" applyBorder="1" applyAlignment="1" applyProtection="1">
      <alignment horizontal="right" vertical="center"/>
      <protection locked="0"/>
    </xf>
    <xf numFmtId="176" fontId="7" fillId="0" borderId="41" xfId="0" applyNumberFormat="1" applyFont="1" applyFill="1" applyBorder="1" applyAlignment="1" applyProtection="1">
      <alignment horizontal="right" vertical="center"/>
      <protection locked="0"/>
    </xf>
    <xf numFmtId="176" fontId="7" fillId="0" borderId="43"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right" vertical="center" wrapText="1"/>
      <protection locked="0"/>
    </xf>
    <xf numFmtId="0" fontId="7" fillId="0" borderId="45" xfId="0" applyNumberFormat="1" applyFont="1" applyFill="1" applyBorder="1" applyAlignment="1" applyProtection="1">
      <alignment horizontal="right" vertical="center" wrapText="1"/>
      <protection locked="0"/>
    </xf>
    <xf numFmtId="0" fontId="7" fillId="3" borderId="18" xfId="0" applyNumberFormat="1" applyFont="1" applyFill="1" applyBorder="1" applyAlignment="1" applyProtection="1">
      <alignment horizontal="left" vertical="center"/>
      <protection locked="0"/>
    </xf>
    <xf numFmtId="0" fontId="7" fillId="3" borderId="53" xfId="0" applyNumberFormat="1" applyFont="1" applyFill="1" applyBorder="1" applyAlignment="1" applyProtection="1">
      <alignment horizontal="left" vertical="center"/>
      <protection locked="0"/>
    </xf>
    <xf numFmtId="0" fontId="7" fillId="3" borderId="56" xfId="0" applyNumberFormat="1" applyFont="1" applyFill="1" applyBorder="1" applyAlignment="1" applyProtection="1">
      <alignment horizontal="left" vertical="center"/>
      <protection locked="0"/>
    </xf>
    <xf numFmtId="176" fontId="7" fillId="0" borderId="54" xfId="0" applyNumberFormat="1" applyFont="1" applyFill="1" applyBorder="1" applyAlignment="1" applyProtection="1">
      <alignment horizontal="right" vertical="center"/>
      <protection locked="0"/>
    </xf>
    <xf numFmtId="176" fontId="7" fillId="0" borderId="40"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right" vertical="center"/>
      <protection locked="0"/>
    </xf>
    <xf numFmtId="0" fontId="7" fillId="0" borderId="45" xfId="0" applyNumberFormat="1" applyFont="1" applyFill="1" applyBorder="1" applyAlignment="1" applyProtection="1">
      <alignment horizontal="right" vertical="center"/>
      <protection locked="0"/>
    </xf>
    <xf numFmtId="176" fontId="7" fillId="10" borderId="57" xfId="0" applyNumberFormat="1" applyFont="1" applyFill="1" applyBorder="1" applyAlignment="1" applyProtection="1">
      <alignment horizontal="right" vertical="center"/>
    </xf>
    <xf numFmtId="176" fontId="7" fillId="10" borderId="1" xfId="0" applyNumberFormat="1" applyFont="1" applyFill="1" applyBorder="1" applyAlignment="1" applyProtection="1">
      <alignment horizontal="right" vertical="center"/>
    </xf>
    <xf numFmtId="176" fontId="7" fillId="2" borderId="54" xfId="0" applyNumberFormat="1" applyFont="1" applyFill="1" applyBorder="1" applyAlignment="1" applyProtection="1">
      <alignment horizontal="right" vertical="center"/>
      <protection locked="0"/>
    </xf>
    <xf numFmtId="176" fontId="7" fillId="2" borderId="40" xfId="0" applyNumberFormat="1" applyFont="1" applyFill="1" applyBorder="1" applyAlignment="1" applyProtection="1">
      <alignment horizontal="right" vertical="center"/>
      <protection locked="0"/>
    </xf>
    <xf numFmtId="176" fontId="7" fillId="2" borderId="57" xfId="0" applyNumberFormat="1" applyFont="1" applyFill="1" applyBorder="1" applyAlignment="1" applyProtection="1">
      <alignment horizontal="right" vertical="center"/>
      <protection locked="0"/>
    </xf>
    <xf numFmtId="176" fontId="7" fillId="2" borderId="1" xfId="0" applyNumberFormat="1" applyFont="1" applyFill="1" applyBorder="1" applyAlignment="1" applyProtection="1">
      <alignment horizontal="right" vertical="center"/>
      <protection locked="0"/>
    </xf>
    <xf numFmtId="0" fontId="7" fillId="2" borderId="40" xfId="0" applyNumberFormat="1" applyFont="1" applyFill="1" applyBorder="1" applyAlignment="1" applyProtection="1">
      <alignment horizontal="right" vertical="center"/>
      <protection locked="0"/>
    </xf>
    <xf numFmtId="0" fontId="7" fillId="2" borderId="3" xfId="0" applyNumberFormat="1" applyFont="1" applyFill="1" applyBorder="1" applyAlignment="1" applyProtection="1">
      <alignment horizontal="right" vertical="center"/>
      <protection locked="0"/>
    </xf>
    <xf numFmtId="0" fontId="7" fillId="2" borderId="40" xfId="0" applyNumberFormat="1" applyFont="1" applyFill="1" applyBorder="1" applyAlignment="1" applyProtection="1">
      <alignment horizontal="right" vertical="center" wrapText="1"/>
      <protection locked="0"/>
    </xf>
    <xf numFmtId="0" fontId="7" fillId="2" borderId="3" xfId="0" applyNumberFormat="1" applyFont="1" applyFill="1" applyBorder="1" applyAlignment="1" applyProtection="1">
      <alignment horizontal="right" vertical="center" wrapText="1"/>
      <protection locked="0"/>
    </xf>
    <xf numFmtId="49" fontId="7" fillId="2" borderId="45"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7" fillId="0" borderId="40" xfId="0" applyNumberFormat="1" applyFont="1" applyFill="1" applyBorder="1" applyAlignment="1" applyProtection="1">
      <alignment horizontal="right" vertical="center"/>
      <protection locked="0"/>
    </xf>
    <xf numFmtId="0" fontId="7" fillId="0" borderId="3" xfId="0" applyNumberFormat="1" applyFont="1" applyFill="1" applyBorder="1" applyAlignment="1" applyProtection="1">
      <alignment horizontal="right" vertical="center"/>
      <protection locked="0"/>
    </xf>
    <xf numFmtId="49" fontId="7" fillId="2" borderId="1" xfId="0" applyNumberFormat="1" applyFont="1" applyFill="1" applyBorder="1" applyAlignment="1" applyProtection="1">
      <alignment horizontal="left" vertical="center"/>
      <protection locked="0"/>
    </xf>
    <xf numFmtId="49" fontId="7" fillId="2" borderId="45" xfId="0" applyNumberFormat="1" applyFont="1" applyFill="1" applyBorder="1" applyAlignment="1" applyProtection="1">
      <alignment horizontal="left" vertical="center"/>
      <protection locked="0"/>
    </xf>
    <xf numFmtId="49" fontId="7" fillId="2" borderId="10" xfId="0" applyNumberFormat="1" applyFont="1" applyFill="1" applyBorder="1" applyAlignment="1" applyProtection="1">
      <alignment horizontal="left" vertical="center"/>
      <protection locked="0"/>
    </xf>
    <xf numFmtId="176" fontId="7" fillId="0" borderId="1" xfId="0" applyNumberFormat="1" applyFont="1" applyFill="1" applyBorder="1" applyAlignment="1" applyProtection="1">
      <alignment horizontal="right" vertical="center"/>
      <protection locked="0"/>
    </xf>
    <xf numFmtId="176" fontId="7" fillId="0" borderId="45" xfId="0" applyNumberFormat="1" applyFont="1" applyFill="1" applyBorder="1" applyAlignment="1" applyProtection="1">
      <alignment horizontal="right" vertical="center"/>
      <protection locked="0"/>
    </xf>
    <xf numFmtId="0" fontId="7" fillId="2" borderId="1" xfId="0" quotePrefix="1" applyNumberFormat="1" applyFont="1" applyFill="1" applyBorder="1" applyAlignment="1" applyProtection="1">
      <alignment horizontal="right" vertical="center" wrapText="1"/>
      <protection locked="0"/>
    </xf>
    <xf numFmtId="0" fontId="7" fillId="0" borderId="40" xfId="0" quotePrefix="1" applyNumberFormat="1" applyFont="1" applyFill="1" applyBorder="1" applyAlignment="1" applyProtection="1">
      <alignment horizontal="right" vertical="center" wrapText="1"/>
      <protection locked="0"/>
    </xf>
    <xf numFmtId="0" fontId="7" fillId="0" borderId="3" xfId="0" applyNumberFormat="1" applyFont="1" applyFill="1" applyBorder="1" applyAlignment="1" applyProtection="1">
      <alignment horizontal="right" vertical="center" wrapText="1"/>
      <protection locked="0"/>
    </xf>
    <xf numFmtId="0" fontId="7" fillId="3" borderId="53" xfId="0" applyNumberFormat="1" applyFont="1" applyFill="1" applyBorder="1" applyAlignment="1" applyProtection="1">
      <alignment horizontal="justify" vertical="center" wrapText="1"/>
      <protection locked="0"/>
    </xf>
    <xf numFmtId="0" fontId="4" fillId="3" borderId="21" xfId="0" applyNumberFormat="1" applyFont="1" applyFill="1" applyBorder="1" applyAlignment="1" applyProtection="1">
      <alignment horizontal="justify" vertical="center" wrapText="1"/>
      <protection locked="0"/>
    </xf>
    <xf numFmtId="0" fontId="14" fillId="2" borderId="41" xfId="0" applyNumberFormat="1" applyFont="1" applyFill="1" applyBorder="1" applyAlignment="1" applyProtection="1">
      <alignment horizontal="left" vertical="top"/>
      <protection locked="0"/>
    </xf>
    <xf numFmtId="0" fontId="14" fillId="2" borderId="61" xfId="0" applyNumberFormat="1" applyFont="1" applyFill="1" applyBorder="1" applyAlignment="1" applyProtection="1">
      <alignment horizontal="left" vertical="top"/>
      <protection locked="0"/>
    </xf>
    <xf numFmtId="0" fontId="7" fillId="0" borderId="30" xfId="0" applyFont="1" applyFill="1" applyBorder="1" applyAlignment="1" applyProtection="1">
      <alignment horizontal="left" vertical="center" wrapText="1"/>
    </xf>
    <xf numFmtId="0" fontId="7" fillId="0" borderId="31" xfId="0" applyFont="1" applyFill="1" applyBorder="1" applyAlignment="1" applyProtection="1">
      <alignment horizontal="left" vertical="center" wrapText="1"/>
    </xf>
    <xf numFmtId="0" fontId="7" fillId="0" borderId="25"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7" fillId="0" borderId="35" xfId="0" applyFont="1" applyFill="1" applyBorder="1" applyAlignment="1" applyProtection="1">
      <alignment horizontal="left" vertical="center" wrapText="1"/>
    </xf>
    <xf numFmtId="0" fontId="14" fillId="2" borderId="54" xfId="0" applyNumberFormat="1" applyFont="1" applyFill="1" applyBorder="1" applyAlignment="1" applyProtection="1">
      <alignment horizontal="left" vertical="top" wrapText="1"/>
      <protection locked="0"/>
    </xf>
    <xf numFmtId="0" fontId="14" fillId="2" borderId="54" xfId="0" applyNumberFormat="1" applyFont="1" applyFill="1" applyBorder="1" applyAlignment="1" applyProtection="1">
      <alignment horizontal="left" vertical="top"/>
      <protection locked="0"/>
    </xf>
    <xf numFmtId="0" fontId="14" fillId="2" borderId="42" xfId="0" applyNumberFormat="1" applyFont="1" applyFill="1" applyBorder="1" applyAlignment="1" applyProtection="1">
      <alignment horizontal="left" vertical="top"/>
      <protection locked="0"/>
    </xf>
    <xf numFmtId="0" fontId="14" fillId="2" borderId="60" xfId="0" applyNumberFormat="1" applyFont="1" applyFill="1" applyBorder="1" applyAlignment="1" applyProtection="1">
      <alignment horizontal="left" vertical="top"/>
      <protection locked="0"/>
    </xf>
    <xf numFmtId="0" fontId="14" fillId="2" borderId="17" xfId="0" applyNumberFormat="1" applyFont="1" applyFill="1" applyBorder="1" applyAlignment="1" applyProtection="1">
      <alignment horizontal="left" vertical="top"/>
      <protection locked="0"/>
    </xf>
    <xf numFmtId="0" fontId="20" fillId="2" borderId="54" xfId="0" applyNumberFormat="1" applyFont="1" applyFill="1" applyBorder="1" applyAlignment="1" applyProtection="1">
      <alignment horizontal="justify" vertical="top" wrapText="1"/>
      <protection locked="0"/>
    </xf>
    <xf numFmtId="0" fontId="20" fillId="2" borderId="54" xfId="0" applyNumberFormat="1" applyFont="1" applyFill="1" applyBorder="1" applyAlignment="1" applyProtection="1">
      <alignment horizontal="justify" vertical="top"/>
      <protection locked="0"/>
    </xf>
    <xf numFmtId="0" fontId="20" fillId="2" borderId="17" xfId="0" applyNumberFormat="1" applyFont="1" applyFill="1" applyBorder="1" applyAlignment="1" applyProtection="1">
      <alignment horizontal="justify" vertical="top"/>
      <protection locked="0"/>
    </xf>
    <xf numFmtId="0" fontId="14" fillId="2" borderId="41" xfId="0" applyNumberFormat="1" applyFont="1" applyFill="1" applyBorder="1" applyAlignment="1" applyProtection="1">
      <alignment horizontal="justify" vertical="top"/>
    </xf>
    <xf numFmtId="0" fontId="14" fillId="2" borderId="61" xfId="0" applyNumberFormat="1" applyFont="1" applyFill="1" applyBorder="1" applyAlignment="1" applyProtection="1">
      <alignment horizontal="justify" vertical="top"/>
    </xf>
    <xf numFmtId="0" fontId="14" fillId="2" borderId="42" xfId="0" applyNumberFormat="1" applyFont="1" applyFill="1" applyBorder="1" applyAlignment="1" applyProtection="1">
      <alignment horizontal="justify" vertical="top"/>
    </xf>
    <xf numFmtId="0" fontId="14" fillId="2" borderId="60" xfId="0" applyNumberFormat="1" applyFont="1" applyFill="1" applyBorder="1" applyAlignment="1" applyProtection="1">
      <alignment horizontal="justify" vertical="top"/>
    </xf>
    <xf numFmtId="0" fontId="7" fillId="0" borderId="30"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7" fillId="0" borderId="12" xfId="0" applyFont="1" applyFill="1" applyBorder="1" applyAlignment="1" applyProtection="1">
      <alignment horizontal="center" vertical="center"/>
    </xf>
    <xf numFmtId="0" fontId="15" fillId="2" borderId="15" xfId="0" applyFont="1" applyFill="1" applyBorder="1" applyAlignment="1" applyProtection="1">
      <alignment horizontal="left" vertical="top" wrapText="1"/>
      <protection locked="0"/>
    </xf>
    <xf numFmtId="0" fontId="15" fillId="2" borderId="54" xfId="0" applyFont="1" applyFill="1" applyBorder="1" applyAlignment="1" applyProtection="1">
      <alignment horizontal="left" vertical="top" wrapText="1"/>
      <protection locked="0"/>
    </xf>
    <xf numFmtId="0" fontId="15" fillId="2" borderId="17" xfId="0" applyFont="1" applyFill="1" applyBorder="1" applyAlignment="1" applyProtection="1">
      <alignment horizontal="left" vertical="top" wrapText="1"/>
      <protection locked="0"/>
    </xf>
    <xf numFmtId="0" fontId="7" fillId="0" borderId="0" xfId="0" applyFont="1" applyFill="1" applyAlignment="1" applyProtection="1">
      <alignment horizontal="center" vertical="center"/>
    </xf>
    <xf numFmtId="0" fontId="7" fillId="0" borderId="6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6"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15" fillId="2" borderId="63" xfId="0"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40"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9" fillId="2" borderId="63" xfId="0" applyFont="1" applyFill="1" applyBorder="1" applyAlignment="1" applyProtection="1">
      <alignment horizontal="justify" vertical="top" wrapText="1"/>
      <protection locked="0"/>
    </xf>
    <xf numFmtId="0" fontId="19" fillId="2" borderId="3" xfId="0" applyFont="1" applyFill="1" applyBorder="1" applyAlignment="1" applyProtection="1">
      <alignment horizontal="justify" vertical="top" wrapText="1"/>
      <protection locked="0"/>
    </xf>
    <xf numFmtId="0" fontId="19" fillId="2" borderId="11" xfId="0" applyFont="1" applyFill="1" applyBorder="1" applyAlignment="1" applyProtection="1">
      <alignment horizontal="justify" vertical="top" wrapText="1"/>
      <protection locked="0"/>
    </xf>
    <xf numFmtId="0" fontId="19" fillId="2" borderId="40" xfId="0" applyFont="1" applyFill="1" applyBorder="1" applyAlignment="1" applyProtection="1">
      <alignment horizontal="justify" vertical="top" wrapText="1"/>
      <protection locked="0"/>
    </xf>
    <xf numFmtId="0" fontId="19" fillId="2" borderId="6" xfId="0" applyFont="1" applyFill="1" applyBorder="1" applyAlignment="1" applyProtection="1">
      <alignment horizontal="justify" vertical="top" wrapText="1"/>
      <protection locked="0"/>
    </xf>
    <xf numFmtId="0" fontId="19" fillId="2" borderId="15" xfId="0" applyFont="1" applyFill="1" applyBorder="1" applyAlignment="1" applyProtection="1">
      <alignment horizontal="justify" vertical="top" wrapText="1"/>
      <protection locked="0"/>
    </xf>
    <xf numFmtId="0" fontId="19" fillId="2" borderId="54"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justify" vertical="top" wrapText="1"/>
      <protection locked="0"/>
    </xf>
    <xf numFmtId="49" fontId="7" fillId="2" borderId="57" xfId="0" applyNumberFormat="1" applyFont="1" applyFill="1" applyBorder="1" applyAlignment="1" applyProtection="1">
      <alignment horizontal="right" vertical="center" shrinkToFit="1"/>
    </xf>
    <xf numFmtId="49" fontId="7" fillId="0" borderId="1" xfId="0" applyNumberFormat="1" applyFont="1" applyFill="1" applyBorder="1" applyAlignment="1" applyProtection="1">
      <alignment horizontal="justify" vertical="center"/>
    </xf>
    <xf numFmtId="49" fontId="4" fillId="0" borderId="45" xfId="0" applyNumberFormat="1" applyFont="1" applyFill="1" applyBorder="1" applyAlignment="1" applyProtection="1">
      <alignment horizontal="justify" vertical="center"/>
    </xf>
    <xf numFmtId="49" fontId="4" fillId="0" borderId="1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justify" vertical="center"/>
    </xf>
    <xf numFmtId="0" fontId="4" fillId="0" borderId="44" xfId="0" applyNumberFormat="1" applyFont="1" applyFill="1" applyBorder="1" applyAlignment="1" applyProtection="1">
      <alignment horizontal="justify" vertical="center"/>
    </xf>
    <xf numFmtId="0" fontId="4" fillId="0" borderId="2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right" vertical="center" shrinkToFit="1"/>
    </xf>
    <xf numFmtId="49" fontId="7" fillId="0" borderId="40" xfId="0" applyNumberFormat="1" applyFont="1" applyFill="1" applyBorder="1" applyAlignment="1" applyProtection="1">
      <alignment horizontal="justify" vertical="center"/>
    </xf>
    <xf numFmtId="49" fontId="4" fillId="0" borderId="3" xfId="0" applyNumberFormat="1" applyFont="1" applyFill="1" applyBorder="1" applyAlignment="1" applyProtection="1">
      <alignment horizontal="justify" vertical="center"/>
    </xf>
    <xf numFmtId="49" fontId="4" fillId="0" borderId="11"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justify" vertical="center"/>
    </xf>
    <xf numFmtId="0" fontId="4" fillId="0" borderId="45" xfId="0" applyNumberFormat="1" applyFont="1" applyFill="1" applyBorder="1" applyAlignment="1" applyProtection="1">
      <alignment horizontal="justify" vertical="center"/>
    </xf>
    <xf numFmtId="0" fontId="4" fillId="0" borderId="10"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justify" vertical="center"/>
    </xf>
    <xf numFmtId="0" fontId="7" fillId="0" borderId="34" xfId="0" applyFont="1" applyFill="1" applyBorder="1" applyAlignment="1" applyProtection="1">
      <alignment wrapText="1"/>
    </xf>
    <xf numFmtId="0" fontId="7" fillId="0" borderId="34" xfId="0" applyFont="1" applyBorder="1" applyAlignment="1" applyProtection="1"/>
    <xf numFmtId="0" fontId="7" fillId="0" borderId="18"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49" fontId="7" fillId="2" borderId="57" xfId="0" applyNumberFormat="1" applyFont="1" applyFill="1" applyBorder="1" applyAlignment="1" applyProtection="1">
      <alignment horizontal="right" vertical="center"/>
    </xf>
    <xf numFmtId="49" fontId="7" fillId="0" borderId="57" xfId="0" applyNumberFormat="1" applyFont="1" applyFill="1" applyBorder="1" applyAlignment="1" applyProtection="1">
      <alignment horizontal="justify" vertical="center"/>
    </xf>
    <xf numFmtId="49" fontId="7" fillId="0" borderId="16" xfId="0" applyNumberFormat="1" applyFont="1" applyFill="1" applyBorder="1" applyAlignment="1" applyProtection="1">
      <alignment horizontal="justify" vertical="center"/>
    </xf>
    <xf numFmtId="0" fontId="7" fillId="3" borderId="57" xfId="0" applyNumberFormat="1" applyFont="1" applyFill="1" applyBorder="1" applyAlignment="1" applyProtection="1">
      <alignment horizontal="justify" vertical="center"/>
      <protection locked="0"/>
    </xf>
    <xf numFmtId="0" fontId="7" fillId="0" borderId="57" xfId="0" applyNumberFormat="1" applyFont="1" applyFill="1" applyBorder="1" applyAlignment="1" applyProtection="1">
      <alignment horizontal="justify" vertical="center"/>
    </xf>
    <xf numFmtId="0" fontId="7" fillId="0" borderId="16" xfId="0" applyNumberFormat="1" applyFont="1" applyFill="1" applyBorder="1" applyAlignment="1" applyProtection="1">
      <alignment horizontal="justify" vertical="center"/>
    </xf>
    <xf numFmtId="0" fontId="7" fillId="0" borderId="2" xfId="0" applyNumberFormat="1" applyFont="1" applyFill="1" applyBorder="1" applyAlignment="1" applyProtection="1">
      <alignment horizontal="justify" vertical="center"/>
    </xf>
    <xf numFmtId="0" fontId="7" fillId="0" borderId="8" xfId="0" applyNumberFormat="1" applyFont="1" applyFill="1" applyBorder="1" applyAlignment="1" applyProtection="1">
      <alignment horizontal="justify" vertical="center"/>
    </xf>
    <xf numFmtId="0" fontId="4" fillId="0" borderId="8" xfId="0" applyNumberFormat="1" applyFont="1" applyFill="1" applyBorder="1" applyAlignment="1" applyProtection="1">
      <alignment horizontal="justify" vertical="center"/>
    </xf>
    <xf numFmtId="0" fontId="7" fillId="0" borderId="52" xfId="0" applyFont="1" applyFill="1" applyBorder="1" applyAlignment="1" applyProtection="1">
      <alignment horizontal="center" vertical="center" wrapText="1"/>
    </xf>
    <xf numFmtId="0" fontId="4" fillId="0" borderId="21" xfId="0" applyFont="1" applyBorder="1" applyAlignment="1" applyProtection="1">
      <alignment horizontal="center" vertical="center"/>
    </xf>
    <xf numFmtId="49" fontId="7" fillId="2" borderId="0"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distributed" vertical="center"/>
    </xf>
    <xf numFmtId="0" fontId="7" fillId="0" borderId="53" xfId="0" applyFont="1" applyFill="1" applyBorder="1" applyAlignment="1" applyProtection="1">
      <alignment horizontal="distributed" vertical="center"/>
    </xf>
    <xf numFmtId="0" fontId="7" fillId="0" borderId="56" xfId="0" applyFont="1" applyFill="1" applyBorder="1" applyAlignment="1" applyProtection="1">
      <alignment horizontal="distributed" vertical="center"/>
    </xf>
    <xf numFmtId="0" fontId="7" fillId="0" borderId="15" xfId="0" applyFont="1" applyFill="1" applyBorder="1" applyAlignment="1" applyProtection="1">
      <alignment horizontal="distributed" vertical="center" wrapText="1"/>
    </xf>
    <xf numFmtId="0" fontId="7" fillId="0" borderId="54" xfId="0" applyFont="1" applyFill="1" applyBorder="1" applyAlignment="1" applyProtection="1">
      <alignment horizontal="distributed" vertical="center" wrapText="1"/>
    </xf>
    <xf numFmtId="49" fontId="7" fillId="2" borderId="54" xfId="0" applyNumberFormat="1" applyFont="1" applyFill="1" applyBorder="1" applyAlignment="1" applyProtection="1">
      <alignment horizontal="justify" vertical="center" wrapText="1"/>
      <protection locked="0"/>
    </xf>
    <xf numFmtId="49" fontId="7" fillId="2" borderId="17" xfId="0" applyNumberFormat="1" applyFont="1" applyFill="1" applyBorder="1" applyAlignment="1" applyProtection="1">
      <alignment horizontal="justify" vertical="center" wrapText="1"/>
      <protection locked="0"/>
    </xf>
    <xf numFmtId="0" fontId="7" fillId="0" borderId="28" xfId="0" applyFont="1" applyFill="1" applyBorder="1" applyAlignment="1" applyProtection="1">
      <alignment horizontal="distributed" vertical="center" wrapText="1"/>
    </xf>
    <xf numFmtId="0" fontId="7" fillId="0" borderId="5" xfId="0" applyFont="1" applyFill="1" applyBorder="1" applyAlignment="1" applyProtection="1">
      <alignment horizontal="distributed" vertical="center" wrapText="1"/>
    </xf>
    <xf numFmtId="0" fontId="7" fillId="0" borderId="65" xfId="0" applyFont="1" applyFill="1" applyBorder="1" applyAlignment="1" applyProtection="1">
      <alignment horizontal="distributed" vertical="center" wrapText="1"/>
    </xf>
    <xf numFmtId="49" fontId="7" fillId="2" borderId="8"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left" vertical="center"/>
      <protection locked="0"/>
    </xf>
    <xf numFmtId="0" fontId="7" fillId="0" borderId="11"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176" fontId="7" fillId="0" borderId="54" xfId="0" applyNumberFormat="1" applyFont="1" applyFill="1" applyBorder="1" applyAlignment="1" applyProtection="1">
      <alignment horizontal="right" vertical="center"/>
    </xf>
    <xf numFmtId="176" fontId="7" fillId="0" borderId="40" xfId="0" applyNumberFormat="1" applyFont="1" applyFill="1" applyBorder="1" applyAlignment="1" applyProtection="1">
      <alignment horizontal="right" vertical="center"/>
    </xf>
    <xf numFmtId="0" fontId="7" fillId="0" borderId="52" xfId="0" applyFont="1" applyFill="1" applyBorder="1" applyAlignment="1" applyProtection="1">
      <alignment horizontal="distributed" vertical="center"/>
    </xf>
    <xf numFmtId="0" fontId="7" fillId="0" borderId="57" xfId="0" applyFont="1" applyFill="1" applyBorder="1" applyAlignment="1" applyProtection="1">
      <alignment horizontal="distributed" vertical="center"/>
    </xf>
    <xf numFmtId="49" fontId="7" fillId="2" borderId="18" xfId="0" applyNumberFormat="1" applyFont="1" applyFill="1" applyBorder="1" applyAlignment="1" applyProtection="1">
      <alignment horizontal="left" vertical="center" wrapText="1"/>
      <protection locked="0"/>
    </xf>
    <xf numFmtId="49" fontId="7" fillId="2" borderId="53" xfId="0" applyNumberFormat="1" applyFont="1" applyFill="1" applyBorder="1" applyAlignment="1" applyProtection="1">
      <alignment horizontal="left" vertical="center" wrapText="1"/>
      <protection locked="0"/>
    </xf>
    <xf numFmtId="49" fontId="7" fillId="2" borderId="56" xfId="0" applyNumberFormat="1" applyFont="1" applyFill="1" applyBorder="1" applyAlignment="1" applyProtection="1">
      <alignment horizontal="left" vertical="center" wrapText="1"/>
      <protection locked="0"/>
    </xf>
    <xf numFmtId="0" fontId="7" fillId="0" borderId="23" xfId="0" applyFont="1" applyFill="1" applyBorder="1" applyAlignment="1" applyProtection="1">
      <alignment horizontal="center" vertical="center" wrapText="1"/>
    </xf>
    <xf numFmtId="0" fontId="7" fillId="0" borderId="0" xfId="0" applyFont="1" applyFill="1" applyBorder="1" applyAlignment="1" applyProtection="1">
      <alignment horizontal="justify" vertical="center"/>
    </xf>
    <xf numFmtId="0" fontId="7" fillId="0" borderId="16" xfId="0" applyFont="1" applyFill="1" applyBorder="1" applyAlignment="1" applyProtection="1">
      <alignment horizontal="distributed" vertical="center"/>
    </xf>
    <xf numFmtId="0" fontId="7" fillId="0" borderId="1" xfId="0" applyFont="1" applyFill="1" applyBorder="1" applyAlignment="1" applyProtection="1">
      <alignment horizontal="justify" vertical="center"/>
    </xf>
    <xf numFmtId="0" fontId="7" fillId="0" borderId="45"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2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7" fillId="0" borderId="64" xfId="0" applyFont="1" applyFill="1" applyBorder="1" applyAlignment="1" applyProtection="1">
      <alignment horizontal="justify" vertical="center" wrapText="1"/>
    </xf>
    <xf numFmtId="0" fontId="7" fillId="0" borderId="65" xfId="0" applyFont="1" applyFill="1" applyBorder="1" applyAlignment="1" applyProtection="1">
      <alignment horizontal="justify" vertical="center" wrapText="1"/>
    </xf>
    <xf numFmtId="0" fontId="7" fillId="0" borderId="5"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176" fontId="7" fillId="2" borderId="64" xfId="0" applyNumberFormat="1" applyFont="1" applyFill="1" applyBorder="1" applyAlignment="1" applyProtection="1">
      <alignment horizontal="right" vertical="center"/>
      <protection locked="0"/>
    </xf>
    <xf numFmtId="176" fontId="7" fillId="2" borderId="5" xfId="0" applyNumberFormat="1"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xf>
    <xf numFmtId="49" fontId="90" fillId="2" borderId="34" xfId="1" applyNumberFormat="1" applyFill="1" applyBorder="1" applyAlignment="1" applyProtection="1">
      <alignment horizontal="left" vertical="center"/>
      <protection locked="0"/>
    </xf>
    <xf numFmtId="49" fontId="7" fillId="2" borderId="34" xfId="0" applyNumberFormat="1" applyFont="1" applyFill="1" applyBorder="1" applyAlignment="1" applyProtection="1">
      <alignment horizontal="left" vertical="center"/>
      <protection locked="0"/>
    </xf>
    <xf numFmtId="49" fontId="7" fillId="2" borderId="39" xfId="0" applyNumberFormat="1" applyFont="1" applyFill="1" applyBorder="1" applyAlignment="1" applyProtection="1">
      <alignment horizontal="left" vertical="center"/>
      <protection locked="0"/>
    </xf>
    <xf numFmtId="0" fontId="7" fillId="0" borderId="57" xfId="0" applyFont="1" applyFill="1" applyBorder="1" applyAlignment="1" applyProtection="1">
      <alignment horizontal="justify" vertical="center"/>
    </xf>
    <xf numFmtId="176" fontId="7" fillId="0" borderId="57" xfId="0" applyNumberFormat="1" applyFont="1" applyFill="1" applyBorder="1" applyAlignment="1" applyProtection="1">
      <alignment horizontal="right" vertical="center"/>
      <protection locked="0"/>
    </xf>
    <xf numFmtId="0" fontId="7" fillId="0" borderId="62" xfId="0" applyFont="1" applyFill="1" applyBorder="1" applyAlignment="1" applyProtection="1">
      <alignment horizontal="distributed" vertical="center" wrapText="1"/>
    </xf>
    <xf numFmtId="49" fontId="7" fillId="2" borderId="52" xfId="0" applyNumberFormat="1" applyFont="1" applyFill="1" applyBorder="1" applyAlignment="1" applyProtection="1">
      <alignment horizontal="justify" vertical="center" wrapText="1"/>
      <protection locked="0"/>
    </xf>
    <xf numFmtId="49" fontId="7" fillId="2" borderId="13" xfId="0" applyNumberFormat="1" applyFont="1" applyFill="1" applyBorder="1" applyAlignment="1" applyProtection="1">
      <alignment horizontal="justify" vertical="center" wrapText="1"/>
      <protection locked="0"/>
    </xf>
    <xf numFmtId="0" fontId="7" fillId="0" borderId="13" xfId="0" applyFont="1" applyFill="1" applyBorder="1" applyAlignment="1" applyProtection="1">
      <alignment horizontal="distributed" vertical="center"/>
    </xf>
    <xf numFmtId="0" fontId="7" fillId="0" borderId="10" xfId="0" applyFont="1" applyFill="1" applyBorder="1" applyAlignment="1" applyProtection="1">
      <alignment horizontal="left" vertical="center"/>
    </xf>
    <xf numFmtId="0" fontId="7" fillId="0" borderId="54" xfId="0" applyFont="1" applyFill="1" applyBorder="1" applyAlignment="1" applyProtection="1">
      <alignment horizontal="right" vertical="center"/>
    </xf>
    <xf numFmtId="0" fontId="7" fillId="0" borderId="40" xfId="0" applyFont="1" applyFill="1" applyBorder="1" applyAlignment="1" applyProtection="1">
      <alignment horizontal="right" vertical="center"/>
    </xf>
    <xf numFmtId="0" fontId="7" fillId="0" borderId="57" xfId="0"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protection locked="0"/>
    </xf>
    <xf numFmtId="0" fontId="7" fillId="0" borderId="57" xfId="0" quotePrefix="1" applyFont="1" applyFill="1" applyBorder="1" applyAlignment="1" applyProtection="1">
      <alignment horizontal="right" vertical="center"/>
      <protection locked="0"/>
    </xf>
    <xf numFmtId="0" fontId="7" fillId="0" borderId="2" xfId="0" applyFont="1" applyFill="1" applyBorder="1" applyAlignment="1" applyProtection="1">
      <alignment horizontal="distributed" vertical="center"/>
    </xf>
    <xf numFmtId="0" fontId="7" fillId="2" borderId="57" xfId="0" quotePrefix="1" applyFont="1" applyFill="1" applyBorder="1" applyAlignment="1" applyProtection="1">
      <alignment horizontal="right" vertical="center"/>
      <protection locked="0"/>
    </xf>
    <xf numFmtId="0" fontId="7" fillId="2" borderId="1" xfId="0" applyFont="1" applyFill="1" applyBorder="1" applyAlignment="1" applyProtection="1">
      <alignment horizontal="right" vertical="center"/>
      <protection locked="0"/>
    </xf>
    <xf numFmtId="0" fontId="7" fillId="2" borderId="54" xfId="0" quotePrefix="1" applyFont="1" applyFill="1" applyBorder="1" applyAlignment="1" applyProtection="1">
      <alignment horizontal="right" vertical="center"/>
      <protection locked="0"/>
    </xf>
    <xf numFmtId="0" fontId="7" fillId="2" borderId="40" xfId="0"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protection locked="0"/>
    </xf>
    <xf numFmtId="0" fontId="7" fillId="0" borderId="40" xfId="0" applyFont="1" applyFill="1" applyBorder="1" applyAlignment="1" applyProtection="1">
      <alignment horizontal="right" vertical="center"/>
      <protection locked="0"/>
    </xf>
    <xf numFmtId="0" fontId="7" fillId="0" borderId="28" xfId="0" applyFont="1" applyFill="1" applyBorder="1" applyAlignment="1" applyProtection="1">
      <alignment horizontal="justify" vertical="center" wrapText="1"/>
    </xf>
    <xf numFmtId="0" fontId="7" fillId="0" borderId="5" xfId="0" applyFont="1" applyFill="1" applyBorder="1" applyAlignment="1" applyProtection="1">
      <alignment horizontal="justify" vertical="center" wrapText="1"/>
    </xf>
    <xf numFmtId="0" fontId="15" fillId="2" borderId="64" xfId="0" applyFont="1" applyFill="1" applyBorder="1" applyAlignment="1" applyProtection="1">
      <alignment horizontal="left" vertical="top" wrapText="1"/>
      <protection locked="0"/>
    </xf>
    <xf numFmtId="0" fontId="15" fillId="2" borderId="5" xfId="0" applyFont="1" applyFill="1" applyBorder="1" applyAlignment="1" applyProtection="1">
      <alignment horizontal="left" vertical="top" wrapText="1"/>
      <protection locked="0"/>
    </xf>
    <xf numFmtId="0" fontId="15" fillId="2" borderId="29" xfId="0" applyFont="1" applyFill="1" applyBorder="1" applyAlignment="1" applyProtection="1">
      <alignment horizontal="left" vertical="top" wrapText="1"/>
      <protection locked="0"/>
    </xf>
    <xf numFmtId="49" fontId="7" fillId="2" borderId="53" xfId="0" applyNumberFormat="1" applyFont="1" applyFill="1" applyBorder="1" applyAlignment="1" applyProtection="1">
      <alignment horizontal="justify" vertical="center" wrapText="1"/>
      <protection locked="0"/>
    </xf>
    <xf numFmtId="0" fontId="0" fillId="0" borderId="21" xfId="0" applyBorder="1" applyAlignment="1" applyProtection="1">
      <alignment horizontal="justify" vertical="center" wrapText="1"/>
      <protection locked="0"/>
    </xf>
    <xf numFmtId="0" fontId="7" fillId="0" borderId="51" xfId="0" applyFont="1" applyFill="1" applyBorder="1" applyAlignment="1" applyProtection="1">
      <alignment horizontal="justify" vertical="center"/>
    </xf>
    <xf numFmtId="0" fontId="7" fillId="0" borderId="66" xfId="0" applyFont="1" applyFill="1" applyBorder="1" applyAlignment="1" applyProtection="1">
      <alignment horizontal="justify" vertical="center"/>
    </xf>
    <xf numFmtId="49" fontId="8" fillId="2" borderId="52" xfId="0" applyNumberFormat="1" applyFont="1" applyFill="1" applyBorder="1" applyAlignment="1" applyProtection="1">
      <alignment horizontal="justify" vertical="center" wrapText="1"/>
    </xf>
    <xf numFmtId="49" fontId="8" fillId="2" borderId="13" xfId="0" applyNumberFormat="1" applyFont="1" applyFill="1" applyBorder="1" applyAlignment="1" applyProtection="1">
      <alignment horizontal="justify" vertical="center" wrapText="1"/>
    </xf>
    <xf numFmtId="49" fontId="8" fillId="2" borderId="54" xfId="0" applyNumberFormat="1" applyFont="1" applyFill="1" applyBorder="1" applyAlignment="1" applyProtection="1">
      <alignment horizontal="justify" vertical="center" wrapText="1"/>
    </xf>
    <xf numFmtId="49" fontId="8" fillId="2" borderId="17" xfId="0" applyNumberFormat="1" applyFont="1" applyFill="1" applyBorder="1" applyAlignment="1" applyProtection="1">
      <alignment horizontal="justify" vertical="center" wrapText="1"/>
    </xf>
    <xf numFmtId="176" fontId="8" fillId="2" borderId="64"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176" fontId="8" fillId="2" borderId="54" xfId="0" applyNumberFormat="1" applyFont="1" applyFill="1" applyBorder="1" applyAlignment="1" applyProtection="1">
      <alignment horizontal="right" vertical="center"/>
    </xf>
    <xf numFmtId="176" fontId="8" fillId="2" borderId="40" xfId="0" applyNumberFormat="1" applyFont="1" applyFill="1" applyBorder="1" applyAlignment="1" applyProtection="1">
      <alignment horizontal="right" vertical="center"/>
    </xf>
    <xf numFmtId="49" fontId="8" fillId="2" borderId="8" xfId="0" applyNumberFormat="1" applyFont="1" applyFill="1" applyBorder="1" applyAlignment="1" applyProtection="1">
      <alignment horizontal="left" vertical="center"/>
    </xf>
    <xf numFmtId="49" fontId="8" fillId="2" borderId="36" xfId="0" applyNumberFormat="1"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49" fontId="8" fillId="2" borderId="34" xfId="1" applyNumberFormat="1" applyFont="1" applyFill="1" applyBorder="1" applyAlignment="1" applyProtection="1">
      <alignment horizontal="left" vertical="center"/>
    </xf>
    <xf numFmtId="49" fontId="8" fillId="2" borderId="34" xfId="0" applyNumberFormat="1" applyFont="1" applyFill="1" applyBorder="1" applyAlignment="1" applyProtection="1">
      <alignment horizontal="left" vertical="center"/>
    </xf>
    <xf numFmtId="49" fontId="8" fillId="2" borderId="39" xfId="0" applyNumberFormat="1" applyFont="1" applyFill="1" applyBorder="1" applyAlignment="1" applyProtection="1">
      <alignment horizontal="left" vertical="center"/>
    </xf>
    <xf numFmtId="176" fontId="8" fillId="2" borderId="57" xfId="0" applyNumberFormat="1" applyFont="1" applyFill="1" applyBorder="1" applyAlignment="1" applyProtection="1">
      <alignment horizontal="right" vertical="center"/>
    </xf>
    <xf numFmtId="176" fontId="8" fillId="2" borderId="1" xfId="0" applyNumberFormat="1" applyFont="1" applyFill="1" applyBorder="1" applyAlignment="1" applyProtection="1">
      <alignment horizontal="right" vertical="center"/>
    </xf>
    <xf numFmtId="49" fontId="8" fillId="2" borderId="18" xfId="0" applyNumberFormat="1" applyFont="1" applyFill="1" applyBorder="1" applyAlignment="1" applyProtection="1">
      <alignment horizontal="left" vertical="center"/>
    </xf>
    <xf numFmtId="49" fontId="8" fillId="2" borderId="53" xfId="0" applyNumberFormat="1" applyFont="1" applyFill="1" applyBorder="1" applyAlignment="1" applyProtection="1">
      <alignment horizontal="left" vertical="center"/>
    </xf>
    <xf numFmtId="49" fontId="8" fillId="2" borderId="56" xfId="0" applyNumberFormat="1" applyFont="1" applyFill="1" applyBorder="1" applyAlignment="1" applyProtection="1">
      <alignment horizontal="left" vertical="center"/>
    </xf>
    <xf numFmtId="0" fontId="8" fillId="2" borderId="54" xfId="0" applyFont="1" applyFill="1" applyBorder="1" applyAlignment="1" applyProtection="1">
      <alignment horizontal="right" vertical="center"/>
    </xf>
    <xf numFmtId="0" fontId="8" fillId="2" borderId="40" xfId="0" applyFont="1" applyFill="1" applyBorder="1" applyAlignment="1" applyProtection="1">
      <alignment horizontal="right" vertical="center"/>
    </xf>
    <xf numFmtId="0" fontId="16" fillId="2" borderId="64" xfId="0" applyFont="1" applyFill="1" applyBorder="1" applyAlignment="1" applyProtection="1">
      <alignment horizontal="justify" vertical="top" wrapText="1"/>
      <protection locked="0"/>
    </xf>
    <xf numFmtId="0" fontId="16" fillId="2" borderId="5" xfId="0" applyFont="1" applyFill="1" applyBorder="1" applyAlignment="1" applyProtection="1">
      <alignment horizontal="justify" vertical="top" wrapText="1"/>
      <protection locked="0"/>
    </xf>
    <xf numFmtId="0" fontId="16" fillId="2" borderId="29" xfId="0" applyFont="1" applyFill="1" applyBorder="1" applyAlignment="1" applyProtection="1">
      <alignment horizontal="justify" vertical="top" wrapText="1"/>
      <protection locked="0"/>
    </xf>
    <xf numFmtId="0" fontId="8" fillId="2" borderId="57"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178" fontId="7" fillId="2" borderId="43" xfId="0" applyNumberFormat="1" applyFont="1" applyFill="1" applyBorder="1" applyAlignment="1" applyProtection="1">
      <alignment horizontal="right" vertical="center"/>
      <protection locked="0"/>
    </xf>
    <xf numFmtId="178" fontId="0" fillId="2" borderId="20" xfId="0" applyNumberFormat="1" applyFill="1" applyBorder="1" applyAlignment="1" applyProtection="1">
      <alignment horizontal="right" vertical="center"/>
      <protection locked="0"/>
    </xf>
    <xf numFmtId="178" fontId="0" fillId="2" borderId="49" xfId="0" applyNumberFormat="1" applyFill="1" applyBorder="1" applyAlignment="1" applyProtection="1">
      <alignment horizontal="right" vertical="center"/>
      <protection locked="0"/>
    </xf>
    <xf numFmtId="178" fontId="0" fillId="2" borderId="50" xfId="0" applyNumberFormat="1" applyFill="1" applyBorder="1" applyAlignment="1" applyProtection="1">
      <alignment horizontal="right" vertical="center"/>
      <protection locked="0"/>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23" xfId="0" applyFont="1" applyFill="1" applyBorder="1" applyAlignment="1" applyProtection="1">
      <alignment horizontal="center"/>
    </xf>
    <xf numFmtId="0" fontId="10" fillId="0" borderId="0" xfId="0" applyFont="1" applyFill="1" applyAlignment="1" applyProtection="1">
      <alignment horizontal="justify" vertical="top" wrapText="1"/>
    </xf>
    <xf numFmtId="0" fontId="7" fillId="0" borderId="0" xfId="0" quotePrefix="1" applyFont="1" applyFill="1" applyAlignment="1" applyProtection="1">
      <alignment horizontal="right" vertical="top"/>
    </xf>
    <xf numFmtId="0" fontId="7" fillId="0" borderId="0" xfId="0" applyFont="1" applyFill="1" applyBorder="1" applyAlignment="1" applyProtection="1">
      <alignment horizontal="right" vertical="top"/>
    </xf>
    <xf numFmtId="0" fontId="7" fillId="2" borderId="49" xfId="0" applyFont="1" applyFill="1" applyBorder="1" applyAlignment="1" applyProtection="1">
      <alignment vertical="center"/>
      <protection locked="0"/>
    </xf>
    <xf numFmtId="0" fontId="0" fillId="2" borderId="50" xfId="0" applyFill="1" applyBorder="1" applyProtection="1">
      <protection locked="0"/>
    </xf>
    <xf numFmtId="49" fontId="7" fillId="2" borderId="43" xfId="0" applyNumberFormat="1" applyFont="1" applyFill="1" applyBorder="1" applyAlignment="1" applyProtection="1">
      <alignment horizontal="justify" vertical="center" wrapText="1"/>
      <protection locked="0"/>
    </xf>
    <xf numFmtId="49" fontId="7" fillId="2" borderId="44" xfId="0" applyNumberFormat="1" applyFont="1" applyFill="1" applyBorder="1" applyAlignment="1" applyProtection="1">
      <alignment horizontal="justify" vertical="center" wrapText="1"/>
      <protection locked="0"/>
    </xf>
    <xf numFmtId="49" fontId="7" fillId="2" borderId="20" xfId="0" applyNumberFormat="1" applyFont="1" applyFill="1" applyBorder="1" applyAlignment="1" applyProtection="1">
      <alignment horizontal="justify" vertical="center" wrapText="1"/>
      <protection locked="0"/>
    </xf>
    <xf numFmtId="49" fontId="7" fillId="2" borderId="49" xfId="0" applyNumberFormat="1" applyFont="1" applyFill="1" applyBorder="1" applyAlignment="1" applyProtection="1">
      <alignment horizontal="justify" vertical="center" wrapText="1"/>
      <protection locked="0"/>
    </xf>
    <xf numFmtId="49" fontId="7" fillId="2" borderId="38" xfId="0" applyNumberFormat="1" applyFont="1" applyFill="1" applyBorder="1" applyAlignment="1" applyProtection="1">
      <alignment horizontal="justify" vertical="center" wrapText="1"/>
      <protection locked="0"/>
    </xf>
    <xf numFmtId="49" fontId="7" fillId="2" borderId="50" xfId="0" applyNumberFormat="1" applyFont="1" applyFill="1" applyBorder="1" applyAlignment="1" applyProtection="1">
      <alignment horizontal="justify" vertical="center" wrapText="1"/>
      <protection locked="0"/>
    </xf>
    <xf numFmtId="0" fontId="7" fillId="0" borderId="43" xfId="0" applyNumberFormat="1" applyFont="1" applyFill="1" applyBorder="1" applyAlignment="1" applyProtection="1">
      <alignment horizontal="justify" vertical="center" wrapText="1"/>
    </xf>
    <xf numFmtId="0" fontId="7" fillId="0" borderId="44" xfId="0" applyNumberFormat="1" applyFont="1" applyFill="1" applyBorder="1" applyAlignment="1" applyProtection="1">
      <alignment horizontal="justify" vertical="center" wrapText="1"/>
    </xf>
    <xf numFmtId="0" fontId="7" fillId="0" borderId="20" xfId="0" applyNumberFormat="1" applyFont="1" applyFill="1" applyBorder="1" applyAlignment="1" applyProtection="1">
      <alignment horizontal="justify" vertical="center" wrapText="1"/>
    </xf>
    <xf numFmtId="0" fontId="7" fillId="0" borderId="49" xfId="0" applyNumberFormat="1" applyFont="1" applyFill="1" applyBorder="1" applyAlignment="1" applyProtection="1">
      <alignment horizontal="justify" vertical="center" wrapText="1"/>
    </xf>
    <xf numFmtId="0" fontId="7" fillId="0" borderId="38" xfId="0" applyNumberFormat="1" applyFont="1" applyFill="1" applyBorder="1" applyAlignment="1" applyProtection="1">
      <alignment horizontal="justify" vertical="center" wrapText="1"/>
    </xf>
    <xf numFmtId="0" fontId="7" fillId="0" borderId="50" xfId="0" applyNumberFormat="1" applyFont="1" applyFill="1" applyBorder="1" applyAlignment="1" applyProtection="1">
      <alignment horizontal="justify" vertical="center" wrapText="1"/>
    </xf>
    <xf numFmtId="49" fontId="7" fillId="2" borderId="37" xfId="0" applyNumberFormat="1" applyFont="1" applyFill="1" applyBorder="1" applyAlignment="1" applyProtection="1">
      <alignment horizontal="justify" vertical="center" wrapText="1"/>
      <protection locked="0"/>
    </xf>
    <xf numFmtId="49" fontId="7" fillId="2" borderId="34" xfId="0" applyNumberFormat="1" applyFont="1" applyFill="1" applyBorder="1" applyAlignment="1" applyProtection="1">
      <alignment horizontal="justify" vertical="center" wrapText="1"/>
      <protection locked="0"/>
    </xf>
    <xf numFmtId="49" fontId="7" fillId="2" borderId="35" xfId="0" applyNumberFormat="1" applyFont="1" applyFill="1" applyBorder="1" applyAlignment="1" applyProtection="1">
      <alignment horizontal="justify" vertical="center" wrapText="1"/>
      <protection locked="0"/>
    </xf>
    <xf numFmtId="0" fontId="7" fillId="2" borderId="43" xfId="0" applyFont="1" applyFill="1" applyBorder="1" applyAlignment="1" applyProtection="1">
      <alignment vertical="center"/>
      <protection locked="0"/>
    </xf>
    <xf numFmtId="0" fontId="0" fillId="2" borderId="20" xfId="0" applyFill="1" applyBorder="1" applyProtection="1">
      <protection locked="0"/>
    </xf>
    <xf numFmtId="0" fontId="7" fillId="2" borderId="20" xfId="0" applyFont="1" applyFill="1" applyBorder="1" applyAlignment="1" applyProtection="1">
      <alignment vertical="center"/>
      <protection locked="0"/>
    </xf>
    <xf numFmtId="49" fontId="15" fillId="2" borderId="43" xfId="0" applyNumberFormat="1" applyFont="1" applyFill="1" applyBorder="1" applyAlignment="1" applyProtection="1">
      <alignment horizontal="justify" vertical="center" wrapText="1"/>
      <protection locked="0"/>
    </xf>
    <xf numFmtId="49" fontId="15" fillId="2" borderId="44" xfId="0" applyNumberFormat="1" applyFont="1" applyFill="1" applyBorder="1" applyAlignment="1" applyProtection="1">
      <alignment horizontal="justify" vertical="center" wrapText="1"/>
      <protection locked="0"/>
    </xf>
    <xf numFmtId="49" fontId="15" fillId="2" borderId="19" xfId="0" applyNumberFormat="1" applyFont="1" applyFill="1" applyBorder="1" applyAlignment="1" applyProtection="1">
      <alignment horizontal="justify" vertical="center" wrapText="1"/>
      <protection locked="0"/>
    </xf>
    <xf numFmtId="49" fontId="15" fillId="2" borderId="49" xfId="0" applyNumberFormat="1" applyFont="1" applyFill="1" applyBorder="1" applyAlignment="1" applyProtection="1">
      <alignment horizontal="justify" vertical="center" wrapText="1"/>
      <protection locked="0"/>
    </xf>
    <xf numFmtId="49" fontId="15" fillId="2" borderId="38" xfId="0" applyNumberFormat="1" applyFont="1" applyFill="1" applyBorder="1" applyAlignment="1" applyProtection="1">
      <alignment horizontal="justify" vertical="center" wrapText="1"/>
      <protection locked="0"/>
    </xf>
    <xf numFmtId="49" fontId="15" fillId="2" borderId="22" xfId="0" applyNumberFormat="1" applyFont="1" applyFill="1" applyBorder="1" applyAlignment="1" applyProtection="1">
      <alignment horizontal="justify" vertical="center" wrapText="1"/>
      <protection locked="0"/>
    </xf>
    <xf numFmtId="178" fontId="0" fillId="2" borderId="37" xfId="0" applyNumberFormat="1" applyFill="1" applyBorder="1" applyAlignment="1" applyProtection="1">
      <alignment horizontal="right" vertical="center"/>
      <protection locked="0"/>
    </xf>
    <xf numFmtId="178" fontId="0" fillId="2" borderId="35" xfId="0" applyNumberFormat="1" applyFill="1" applyBorder="1" applyAlignment="1" applyProtection="1">
      <alignment horizontal="right" vertical="center"/>
      <protection locked="0"/>
    </xf>
    <xf numFmtId="0" fontId="7" fillId="0" borderId="69" xfId="0" applyFont="1" applyFill="1" applyBorder="1" applyAlignment="1" applyProtection="1">
      <alignment horizontal="center" vertical="center"/>
    </xf>
    <xf numFmtId="49" fontId="15" fillId="2" borderId="37" xfId="0" applyNumberFormat="1" applyFont="1" applyFill="1" applyBorder="1" applyAlignment="1" applyProtection="1">
      <alignment horizontal="justify" vertical="center" wrapText="1"/>
      <protection locked="0"/>
    </xf>
    <xf numFmtId="49" fontId="15" fillId="2" borderId="34" xfId="0" applyNumberFormat="1" applyFont="1" applyFill="1" applyBorder="1" applyAlignment="1" applyProtection="1">
      <alignment horizontal="justify" vertical="center" wrapText="1"/>
      <protection locked="0"/>
    </xf>
    <xf numFmtId="49" fontId="15" fillId="2" borderId="39" xfId="0" applyNumberFormat="1" applyFont="1" applyFill="1" applyBorder="1" applyAlignment="1" applyProtection="1">
      <alignment horizontal="justify" vertical="center" wrapText="1"/>
      <protection locked="0"/>
    </xf>
    <xf numFmtId="0" fontId="7" fillId="2" borderId="37" xfId="0" applyFont="1" applyFill="1" applyBorder="1" applyAlignment="1" applyProtection="1">
      <alignment vertical="center"/>
      <protection locked="0"/>
    </xf>
    <xf numFmtId="0" fontId="0" fillId="2" borderId="35" xfId="0" applyFill="1" applyBorder="1" applyProtection="1">
      <protection locked="0"/>
    </xf>
    <xf numFmtId="0" fontId="7" fillId="0" borderId="37" xfId="0" applyNumberFormat="1" applyFont="1" applyFill="1" applyBorder="1" applyAlignment="1" applyProtection="1">
      <alignment horizontal="justify" vertical="center" wrapText="1"/>
    </xf>
    <xf numFmtId="0" fontId="7" fillId="0" borderId="34" xfId="0" applyNumberFormat="1" applyFont="1" applyFill="1" applyBorder="1" applyAlignment="1" applyProtection="1">
      <alignment horizontal="justify" vertical="center" wrapText="1"/>
    </xf>
    <xf numFmtId="0" fontId="7" fillId="0" borderId="35" xfId="0" applyNumberFormat="1" applyFont="1" applyFill="1" applyBorder="1" applyAlignment="1" applyProtection="1">
      <alignment horizontal="justify" vertical="center" wrapText="1"/>
    </xf>
    <xf numFmtId="0" fontId="7" fillId="0" borderId="57" xfId="0" applyFont="1" applyFill="1" applyBorder="1" applyAlignment="1" applyProtection="1">
      <alignment horizontal="center" vertical="center" wrapText="1"/>
    </xf>
    <xf numFmtId="0" fontId="7" fillId="0" borderId="0" xfId="0" applyFont="1" applyFill="1" applyAlignment="1" applyProtection="1">
      <alignment horizontal="justify" vertical="top" wrapText="1"/>
    </xf>
    <xf numFmtId="0" fontId="7" fillId="0" borderId="12"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0" borderId="38"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178" fontId="8" fillId="2" borderId="43" xfId="0" applyNumberFormat="1" applyFont="1" applyFill="1" applyBorder="1" applyAlignment="1" applyProtection="1">
      <alignment horizontal="right" vertical="center"/>
    </xf>
    <xf numFmtId="178" fontId="18" fillId="2" borderId="20" xfId="0" applyNumberFormat="1" applyFont="1" applyFill="1" applyBorder="1" applyAlignment="1" applyProtection="1">
      <alignment horizontal="right" vertical="center"/>
    </xf>
    <xf numFmtId="178" fontId="18" fillId="2" borderId="49" xfId="0" applyNumberFormat="1" applyFont="1" applyFill="1" applyBorder="1" applyAlignment="1" applyProtection="1">
      <alignment horizontal="right" vertical="center"/>
    </xf>
    <xf numFmtId="178" fontId="18" fillId="2" borderId="50" xfId="0" applyNumberFormat="1" applyFont="1" applyFill="1" applyBorder="1" applyAlignment="1" applyProtection="1">
      <alignment horizontal="right" vertical="center"/>
    </xf>
    <xf numFmtId="49" fontId="7" fillId="2" borderId="43" xfId="0" applyNumberFormat="1" applyFont="1" applyFill="1" applyBorder="1" applyAlignment="1" applyProtection="1">
      <alignment horizontal="justify" vertical="center" wrapText="1"/>
    </xf>
    <xf numFmtId="49" fontId="7" fillId="2" borderId="44" xfId="0" applyNumberFormat="1" applyFont="1" applyFill="1" applyBorder="1" applyAlignment="1" applyProtection="1">
      <alignment horizontal="justify" vertical="center" wrapText="1"/>
    </xf>
    <xf numFmtId="49" fontId="7" fillId="2" borderId="20" xfId="0" applyNumberFormat="1" applyFont="1" applyFill="1" applyBorder="1" applyAlignment="1" applyProtection="1">
      <alignment horizontal="justify" vertical="center" wrapText="1"/>
    </xf>
    <xf numFmtId="49" fontId="7" fillId="2" borderId="49" xfId="0" applyNumberFormat="1" applyFont="1" applyFill="1" applyBorder="1" applyAlignment="1" applyProtection="1">
      <alignment horizontal="justify" vertical="center" wrapText="1"/>
    </xf>
    <xf numFmtId="49" fontId="7" fillId="2" borderId="38" xfId="0" applyNumberFormat="1" applyFont="1" applyFill="1" applyBorder="1" applyAlignment="1" applyProtection="1">
      <alignment horizontal="justify" vertical="center" wrapText="1"/>
    </xf>
    <xf numFmtId="49" fontId="7" fillId="2" borderId="50" xfId="0" applyNumberFormat="1" applyFont="1" applyFill="1" applyBorder="1" applyAlignment="1" applyProtection="1">
      <alignment horizontal="justify" vertical="center" wrapText="1"/>
    </xf>
    <xf numFmtId="0" fontId="7" fillId="2" borderId="43" xfId="0" applyFont="1" applyFill="1" applyBorder="1" applyAlignment="1" applyProtection="1">
      <alignment vertical="center"/>
    </xf>
    <xf numFmtId="0" fontId="0" fillId="2" borderId="20" xfId="0" applyFill="1" applyBorder="1" applyProtection="1"/>
    <xf numFmtId="49" fontId="15" fillId="2" borderId="43" xfId="0" applyNumberFormat="1" applyFont="1" applyFill="1" applyBorder="1" applyAlignment="1" applyProtection="1">
      <alignment horizontal="justify" vertical="center" wrapText="1"/>
    </xf>
    <xf numFmtId="49" fontId="15" fillId="2" borderId="44" xfId="0" applyNumberFormat="1" applyFont="1" applyFill="1" applyBorder="1" applyAlignment="1" applyProtection="1">
      <alignment horizontal="justify" vertical="center" wrapText="1"/>
    </xf>
    <xf numFmtId="49" fontId="15" fillId="2" borderId="19" xfId="0" applyNumberFormat="1" applyFont="1" applyFill="1" applyBorder="1" applyAlignment="1" applyProtection="1">
      <alignment horizontal="justify" vertical="center" wrapText="1"/>
    </xf>
    <xf numFmtId="49" fontId="15" fillId="2" borderId="49" xfId="0" applyNumberFormat="1" applyFont="1" applyFill="1" applyBorder="1" applyAlignment="1" applyProtection="1">
      <alignment horizontal="justify" vertical="center" wrapText="1"/>
    </xf>
    <xf numFmtId="49" fontId="15" fillId="2" borderId="38" xfId="0" applyNumberFormat="1" applyFont="1" applyFill="1" applyBorder="1" applyAlignment="1" applyProtection="1">
      <alignment horizontal="justify" vertical="center" wrapText="1"/>
    </xf>
    <xf numFmtId="49" fontId="15" fillId="2" borderId="22" xfId="0" applyNumberFormat="1" applyFont="1" applyFill="1" applyBorder="1" applyAlignment="1" applyProtection="1">
      <alignment horizontal="justify" vertical="center" wrapText="1"/>
    </xf>
    <xf numFmtId="0" fontId="7" fillId="2" borderId="49" xfId="0" applyFont="1" applyFill="1" applyBorder="1" applyAlignment="1" applyProtection="1">
      <alignment vertical="center"/>
    </xf>
    <xf numFmtId="0" fontId="0" fillId="2" borderId="50" xfId="0" applyFill="1" applyBorder="1" applyProtection="1"/>
    <xf numFmtId="178" fontId="8" fillId="2" borderId="20" xfId="0" applyNumberFormat="1" applyFont="1" applyFill="1" applyBorder="1" applyAlignment="1" applyProtection="1">
      <alignment horizontal="right" vertical="center"/>
    </xf>
    <xf numFmtId="178" fontId="8" fillId="2" borderId="49" xfId="0" applyNumberFormat="1" applyFont="1" applyFill="1" applyBorder="1" applyAlignment="1" applyProtection="1">
      <alignment horizontal="right" vertical="center"/>
    </xf>
    <xf numFmtId="178" fontId="8" fillId="2" borderId="50" xfId="0" applyNumberFormat="1" applyFont="1" applyFill="1" applyBorder="1" applyAlignment="1" applyProtection="1">
      <alignment horizontal="right" vertical="center"/>
    </xf>
    <xf numFmtId="49" fontId="19" fillId="2" borderId="43" xfId="0" applyNumberFormat="1" applyFont="1" applyFill="1" applyBorder="1" applyAlignment="1" applyProtection="1">
      <alignment horizontal="justify" vertical="center" wrapText="1"/>
    </xf>
    <xf numFmtId="49" fontId="19" fillId="2" borderId="44" xfId="0" applyNumberFormat="1" applyFont="1" applyFill="1" applyBorder="1" applyAlignment="1" applyProtection="1">
      <alignment horizontal="justify" vertical="center" wrapText="1"/>
    </xf>
    <xf numFmtId="49" fontId="19" fillId="2" borderId="19" xfId="0" applyNumberFormat="1" applyFont="1" applyFill="1" applyBorder="1" applyAlignment="1" applyProtection="1">
      <alignment horizontal="justify" vertical="center" wrapText="1"/>
    </xf>
    <xf numFmtId="49" fontId="19" fillId="2" borderId="49" xfId="0" applyNumberFormat="1" applyFont="1" applyFill="1" applyBorder="1" applyAlignment="1" applyProtection="1">
      <alignment horizontal="justify" vertical="center" wrapText="1"/>
    </xf>
    <xf numFmtId="49" fontId="19" fillId="2" borderId="38" xfId="0" applyNumberFormat="1" applyFont="1" applyFill="1" applyBorder="1" applyAlignment="1" applyProtection="1">
      <alignment horizontal="justify" vertical="center" wrapText="1"/>
    </xf>
    <xf numFmtId="49" fontId="19" fillId="2" borderId="22" xfId="0" applyNumberFormat="1" applyFont="1" applyFill="1" applyBorder="1" applyAlignment="1" applyProtection="1">
      <alignment horizontal="justify" vertical="center" wrapText="1"/>
    </xf>
    <xf numFmtId="178" fontId="7" fillId="2" borderId="43" xfId="0" applyNumberFormat="1" applyFont="1" applyFill="1" applyBorder="1" applyAlignment="1" applyProtection="1">
      <alignment horizontal="right" vertical="center"/>
    </xf>
    <xf numFmtId="178" fontId="0" fillId="2" borderId="20" xfId="0" applyNumberFormat="1" applyFont="1" applyFill="1" applyBorder="1" applyAlignment="1" applyProtection="1">
      <alignment horizontal="right" vertical="center"/>
    </xf>
    <xf numFmtId="178" fontId="0" fillId="2" borderId="49" xfId="0" applyNumberFormat="1" applyFont="1" applyFill="1" applyBorder="1" applyAlignment="1" applyProtection="1">
      <alignment horizontal="right" vertical="center"/>
    </xf>
    <xf numFmtId="178" fontId="0" fillId="2" borderId="50" xfId="0" applyNumberFormat="1" applyFont="1" applyFill="1" applyBorder="1" applyAlignment="1" applyProtection="1">
      <alignment horizontal="right" vertical="center"/>
    </xf>
    <xf numFmtId="178" fontId="0" fillId="2" borderId="20" xfId="0" applyNumberFormat="1" applyFill="1" applyBorder="1" applyAlignment="1" applyProtection="1">
      <alignment horizontal="right" vertical="center"/>
    </xf>
    <xf numFmtId="178" fontId="0" fillId="2" borderId="49" xfId="0" applyNumberFormat="1" applyFill="1" applyBorder="1" applyAlignment="1" applyProtection="1">
      <alignment horizontal="right" vertical="center"/>
    </xf>
    <xf numFmtId="178" fontId="0" fillId="2" borderId="50" xfId="0" applyNumberFormat="1" applyFill="1" applyBorder="1" applyAlignment="1" applyProtection="1">
      <alignment horizontal="right" vertical="center"/>
    </xf>
    <xf numFmtId="178" fontId="0" fillId="2" borderId="37" xfId="0" applyNumberFormat="1" applyFill="1" applyBorder="1" applyAlignment="1" applyProtection="1">
      <alignment horizontal="right" vertical="center"/>
    </xf>
    <xf numFmtId="178" fontId="0" fillId="2" borderId="35" xfId="0" applyNumberFormat="1" applyFill="1" applyBorder="1" applyAlignment="1" applyProtection="1">
      <alignment horizontal="right" vertical="center"/>
    </xf>
    <xf numFmtId="49" fontId="7" fillId="2" borderId="37" xfId="0" applyNumberFormat="1" applyFont="1" applyFill="1" applyBorder="1" applyAlignment="1" applyProtection="1">
      <alignment horizontal="justify" vertical="center" wrapText="1"/>
    </xf>
    <xf numFmtId="49" fontId="7" fillId="2" borderId="34" xfId="0" applyNumberFormat="1" applyFont="1" applyFill="1" applyBorder="1" applyAlignment="1" applyProtection="1">
      <alignment horizontal="justify" vertical="center" wrapText="1"/>
    </xf>
    <xf numFmtId="49" fontId="7" fillId="2" borderId="35" xfId="0" applyNumberFormat="1" applyFont="1" applyFill="1" applyBorder="1" applyAlignment="1" applyProtection="1">
      <alignment horizontal="justify" vertical="center" wrapText="1"/>
    </xf>
    <xf numFmtId="49" fontId="15" fillId="2" borderId="37" xfId="0" applyNumberFormat="1" applyFont="1" applyFill="1" applyBorder="1" applyAlignment="1" applyProtection="1">
      <alignment horizontal="justify" vertical="center" wrapText="1"/>
    </xf>
    <xf numFmtId="49" fontId="15" fillId="2" borderId="34" xfId="0" applyNumberFormat="1" applyFont="1" applyFill="1" applyBorder="1" applyAlignment="1" applyProtection="1">
      <alignment horizontal="justify" vertical="center" wrapText="1"/>
    </xf>
    <xf numFmtId="49" fontId="15" fillId="2" borderId="39" xfId="0" applyNumberFormat="1" applyFont="1" applyFill="1" applyBorder="1" applyAlignment="1" applyProtection="1">
      <alignment horizontal="justify" vertical="center" wrapText="1"/>
    </xf>
    <xf numFmtId="0" fontId="7" fillId="2" borderId="37" xfId="0" applyFont="1" applyFill="1" applyBorder="1" applyAlignment="1" applyProtection="1">
      <alignment vertical="center"/>
    </xf>
    <xf numFmtId="0" fontId="0" fillId="2" borderId="35" xfId="0" applyFill="1" applyBorder="1" applyProtection="1"/>
    <xf numFmtId="0" fontId="65" fillId="12" borderId="28" xfId="12" applyFont="1" applyFill="1" applyBorder="1" applyAlignment="1" applyProtection="1">
      <alignment horizontal="right" vertical="top"/>
    </xf>
    <xf numFmtId="0" fontId="65" fillId="12" borderId="5" xfId="12" applyFont="1" applyFill="1" applyBorder="1" applyAlignment="1" applyProtection="1">
      <alignment horizontal="right" vertical="top"/>
    </xf>
    <xf numFmtId="0" fontId="65" fillId="0" borderId="0" xfId="12" applyFont="1" applyAlignment="1" applyProtection="1">
      <alignment horizontal="left" vertical="center"/>
    </xf>
    <xf numFmtId="0" fontId="65" fillId="12" borderId="0" xfId="12" applyFont="1" applyFill="1" applyAlignment="1" applyProtection="1">
      <alignment horizontal="left" vertical="center"/>
    </xf>
    <xf numFmtId="0" fontId="65" fillId="12" borderId="30" xfId="12" applyFont="1" applyFill="1" applyBorder="1" applyAlignment="1" applyProtection="1">
      <alignment horizontal="center" vertical="top"/>
    </xf>
    <xf numFmtId="0" fontId="65" fillId="12" borderId="8" xfId="12" applyFont="1" applyFill="1" applyBorder="1" applyAlignment="1" applyProtection="1">
      <alignment horizontal="center" vertical="top"/>
    </xf>
    <xf numFmtId="0" fontId="65" fillId="12" borderId="36" xfId="12" applyFont="1" applyFill="1" applyBorder="1" applyAlignment="1" applyProtection="1">
      <alignment horizontal="center" vertical="top"/>
    </xf>
    <xf numFmtId="0" fontId="65" fillId="12" borderId="30" xfId="12" applyFont="1" applyFill="1" applyBorder="1" applyAlignment="1" applyProtection="1">
      <alignment horizontal="center" vertical="top" wrapText="1"/>
    </xf>
    <xf numFmtId="0" fontId="65" fillId="12" borderId="25" xfId="12" applyFont="1" applyFill="1" applyBorder="1" applyAlignment="1" applyProtection="1">
      <alignment horizontal="center" vertical="center"/>
    </xf>
    <xf numFmtId="0" fontId="65" fillId="12" borderId="0" xfId="12" applyFont="1" applyFill="1" applyAlignment="1" applyProtection="1">
      <alignment horizontal="center" vertical="center"/>
    </xf>
    <xf numFmtId="0" fontId="65" fillId="12" borderId="23" xfId="12" applyFont="1" applyFill="1" applyBorder="1" applyAlignment="1" applyProtection="1">
      <alignment horizontal="center" vertical="center"/>
    </xf>
    <xf numFmtId="0" fontId="65" fillId="0" borderId="70" xfId="12" applyFont="1" applyBorder="1" applyAlignment="1" applyProtection="1">
      <alignment horizontal="center" vertical="top" wrapText="1"/>
    </xf>
    <xf numFmtId="0" fontId="65" fillId="0" borderId="75" xfId="12" applyFont="1" applyBorder="1" applyAlignment="1" applyProtection="1">
      <alignment horizontal="center" vertical="top" wrapText="1"/>
    </xf>
    <xf numFmtId="0" fontId="65" fillId="0" borderId="4" xfId="12" applyFont="1" applyBorder="1" applyAlignment="1" applyProtection="1">
      <alignment horizontal="center" vertical="top" wrapText="1"/>
    </xf>
    <xf numFmtId="0" fontId="65" fillId="0" borderId="4" xfId="12" applyFont="1" applyBorder="1" applyAlignment="1" applyProtection="1">
      <alignment horizontal="left" vertical="top" wrapText="1"/>
    </xf>
    <xf numFmtId="0" fontId="65" fillId="0" borderId="70" xfId="12" applyFont="1" applyBorder="1" applyAlignment="1" applyProtection="1">
      <alignment horizontal="left" vertical="top" wrapText="1"/>
    </xf>
    <xf numFmtId="0" fontId="65" fillId="12" borderId="28" xfId="12" applyFont="1" applyFill="1" applyBorder="1" applyAlignment="1" applyProtection="1">
      <alignment vertical="center" shrinkToFit="1"/>
    </xf>
    <xf numFmtId="0" fontId="65" fillId="12" borderId="5" xfId="12" applyFont="1" applyFill="1" applyBorder="1" applyAlignment="1" applyProtection="1">
      <alignment vertical="center" shrinkToFit="1"/>
    </xf>
    <xf numFmtId="0" fontId="65" fillId="12" borderId="29" xfId="12" applyFont="1" applyFill="1" applyBorder="1" applyAlignment="1" applyProtection="1">
      <alignment vertical="center" shrinkToFit="1"/>
    </xf>
    <xf numFmtId="187" fontId="65" fillId="0" borderId="0" xfId="12" applyNumberFormat="1" applyFont="1" applyAlignment="1" applyProtection="1">
      <alignment horizontal="left" vertical="center"/>
    </xf>
    <xf numFmtId="187" fontId="65" fillId="12" borderId="0" xfId="12" applyNumberFormat="1" applyFont="1" applyFill="1" applyAlignment="1" applyProtection="1">
      <alignment horizontal="left" vertical="center"/>
    </xf>
    <xf numFmtId="0" fontId="64" fillId="12" borderId="25" xfId="12" applyFont="1" applyFill="1" applyBorder="1" applyAlignment="1" applyProtection="1">
      <alignment horizontal="center" vertical="center"/>
    </xf>
    <xf numFmtId="0" fontId="64" fillId="12" borderId="0" xfId="12" applyFont="1" applyFill="1" applyAlignment="1" applyProtection="1">
      <alignment horizontal="center" vertical="center"/>
    </xf>
    <xf numFmtId="0" fontId="64" fillId="12" borderId="23" xfId="12" applyFont="1" applyFill="1" applyBorder="1" applyAlignment="1" applyProtection="1">
      <alignment horizontal="center"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5" fillId="12" borderId="33" xfId="12" applyFont="1" applyFill="1" applyBorder="1" applyAlignment="1" applyProtection="1">
      <alignment horizontal="center" vertical="center"/>
    </xf>
    <xf numFmtId="0" fontId="65" fillId="12" borderId="34" xfId="12" applyFont="1" applyFill="1" applyBorder="1" applyAlignment="1" applyProtection="1">
      <alignment horizontal="center" vertical="center"/>
    </xf>
    <xf numFmtId="0" fontId="65" fillId="12" borderId="39" xfId="12" applyFont="1" applyFill="1" applyBorder="1" applyAlignment="1" applyProtection="1">
      <alignment horizontal="center" vertical="center"/>
    </xf>
    <xf numFmtId="0" fontId="65" fillId="0" borderId="129" xfId="12" applyFont="1" applyBorder="1" applyAlignment="1" applyProtection="1">
      <alignment horizontal="center" vertical="top" wrapText="1"/>
    </xf>
    <xf numFmtId="0" fontId="65" fillId="0" borderId="127" xfId="12" applyFont="1" applyBorder="1" applyAlignment="1" applyProtection="1">
      <alignment horizontal="center" vertical="top" wrapText="1"/>
    </xf>
    <xf numFmtId="0" fontId="65" fillId="0" borderId="138" xfId="12" applyFont="1" applyBorder="1" applyAlignment="1" applyProtection="1">
      <alignment horizontal="center" vertical="top" wrapText="1"/>
    </xf>
    <xf numFmtId="0" fontId="65" fillId="0" borderId="94" xfId="12" applyFont="1" applyBorder="1" applyAlignment="1" applyProtection="1">
      <alignment horizontal="left" vertical="top" wrapText="1"/>
    </xf>
    <xf numFmtId="0" fontId="65" fillId="0" borderId="117" xfId="12" applyFont="1" applyBorder="1" applyAlignment="1" applyProtection="1">
      <alignment horizontal="left" vertical="top" wrapText="1"/>
    </xf>
    <xf numFmtId="0" fontId="64" fillId="0" borderId="28" xfId="12" applyFont="1" applyBorder="1" applyAlignment="1" applyProtection="1">
      <alignment horizontal="left" vertical="top" wrapText="1"/>
    </xf>
    <xf numFmtId="0" fontId="65" fillId="0" borderId="4" xfId="0" applyFont="1" applyBorder="1" applyAlignment="1" applyProtection="1">
      <alignment horizontal="left" vertical="top" wrapText="1"/>
    </xf>
    <xf numFmtId="0" fontId="65" fillId="0" borderId="30" xfId="0" applyFont="1" applyBorder="1" applyAlignment="1" applyProtection="1">
      <alignment horizontal="left" vertical="top" wrapText="1"/>
    </xf>
    <xf numFmtId="0" fontId="65" fillId="0" borderId="36" xfId="0" applyFont="1" applyBorder="1" applyAlignment="1" applyProtection="1">
      <alignment horizontal="left" vertical="top" wrapText="1"/>
    </xf>
    <xf numFmtId="0" fontId="65" fillId="0" borderId="25"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33" xfId="0" applyFont="1" applyBorder="1" applyAlignment="1" applyProtection="1">
      <alignment horizontal="left" vertical="top" wrapText="1"/>
    </xf>
    <xf numFmtId="0" fontId="65" fillId="0" borderId="39" xfId="0" applyFont="1" applyBorder="1" applyAlignment="1" applyProtection="1">
      <alignment horizontal="left" vertical="top" wrapText="1"/>
    </xf>
    <xf numFmtId="0" fontId="65" fillId="0" borderId="75" xfId="12" applyFont="1" applyBorder="1" applyAlignment="1" applyProtection="1">
      <alignment horizontal="left" vertical="top" wrapText="1"/>
    </xf>
    <xf numFmtId="0" fontId="65" fillId="0" borderId="77" xfId="12" applyFont="1" applyBorder="1" applyAlignment="1" applyProtection="1">
      <alignment horizontal="left" vertical="top" wrapText="1"/>
    </xf>
    <xf numFmtId="0" fontId="65" fillId="0" borderId="77" xfId="12" applyFont="1" applyBorder="1" applyAlignment="1" applyProtection="1">
      <alignment horizontal="center" vertical="top" wrapText="1"/>
    </xf>
    <xf numFmtId="0" fontId="64" fillId="0" borderId="70" xfId="12" applyFont="1" applyBorder="1" applyAlignment="1" applyProtection="1">
      <alignment horizontal="left" vertical="top" wrapText="1"/>
    </xf>
    <xf numFmtId="0" fontId="64" fillId="0" borderId="77" xfId="12" applyFont="1" applyBorder="1" applyAlignment="1" applyProtection="1">
      <alignment horizontal="left" vertical="top" wrapText="1"/>
    </xf>
    <xf numFmtId="0" fontId="65" fillId="12" borderId="77" xfId="12" applyFont="1" applyFill="1" applyBorder="1" applyAlignment="1" applyProtection="1">
      <alignment horizontal="center" vertical="top"/>
    </xf>
    <xf numFmtId="0" fontId="64" fillId="17" borderId="28" xfId="12" applyFont="1" applyFill="1" applyBorder="1" applyAlignment="1" applyProtection="1">
      <alignment horizontal="left" vertical="top" wrapText="1"/>
    </xf>
    <xf numFmtId="0" fontId="64" fillId="19" borderId="28" xfId="12" applyFont="1" applyFill="1" applyBorder="1" applyAlignment="1" applyProtection="1">
      <alignment horizontal="left" vertical="top" wrapText="1"/>
    </xf>
    <xf numFmtId="0" fontId="65" fillId="0" borderId="30" xfId="12" applyFont="1" applyBorder="1" applyAlignment="1" applyProtection="1">
      <alignment horizontal="center" vertical="center" wrapText="1"/>
    </xf>
    <xf numFmtId="0" fontId="65" fillId="0" borderId="25" xfId="12" applyFont="1" applyBorder="1" applyAlignment="1" applyProtection="1">
      <alignment horizontal="center" vertical="center" wrapText="1"/>
    </xf>
    <xf numFmtId="0" fontId="65" fillId="0" borderId="33" xfId="12" applyFont="1" applyBorder="1" applyAlignment="1" applyProtection="1">
      <alignment horizontal="center" vertical="center" wrapText="1"/>
    </xf>
    <xf numFmtId="0" fontId="75" fillId="0" borderId="70" xfId="0" applyFont="1" applyBorder="1" applyAlignment="1" applyProtection="1">
      <alignment horizontal="center" vertical="top" wrapText="1"/>
    </xf>
    <xf numFmtId="0" fontId="75" fillId="0" borderId="75" xfId="0" applyFont="1" applyBorder="1" applyAlignment="1" applyProtection="1">
      <alignment horizontal="center" vertical="top" wrapText="1"/>
    </xf>
    <xf numFmtId="0" fontId="75" fillId="0" borderId="77" xfId="0" applyFont="1" applyBorder="1" applyAlignment="1" applyProtection="1">
      <alignment horizontal="center" vertical="top" wrapText="1"/>
    </xf>
    <xf numFmtId="0" fontId="75" fillId="0" borderId="70" xfId="0" applyFont="1" applyBorder="1" applyAlignment="1" applyProtection="1">
      <alignment horizontal="left" vertical="top"/>
    </xf>
    <xf numFmtId="0" fontId="75" fillId="0" borderId="75" xfId="0" applyFont="1" applyBorder="1" applyAlignment="1" applyProtection="1">
      <alignment horizontal="left" vertical="top"/>
    </xf>
    <xf numFmtId="0" fontId="75" fillId="0" borderId="77" xfId="0" applyFont="1" applyBorder="1" applyAlignment="1" applyProtection="1">
      <alignment horizontal="left" vertical="top"/>
    </xf>
    <xf numFmtId="0" fontId="75" fillId="0" borderId="70" xfId="0" applyFont="1" applyBorder="1" applyAlignment="1" applyProtection="1">
      <alignment horizontal="left" vertical="top" wrapText="1"/>
    </xf>
    <xf numFmtId="0" fontId="75" fillId="0" borderId="75" xfId="0" applyFont="1" applyBorder="1" applyAlignment="1" applyProtection="1">
      <alignment horizontal="left" vertical="top" wrapText="1"/>
    </xf>
    <xf numFmtId="0" fontId="75" fillId="0" borderId="77" xfId="0" applyFont="1" applyBorder="1" applyAlignment="1" applyProtection="1">
      <alignment horizontal="left" vertical="top" wrapText="1"/>
    </xf>
    <xf numFmtId="0" fontId="65" fillId="17" borderId="4" xfId="12" applyFont="1" applyFill="1" applyBorder="1" applyAlignment="1" applyProtection="1">
      <alignment horizontal="left" vertical="top" wrapText="1"/>
    </xf>
    <xf numFmtId="0" fontId="65" fillId="19" borderId="4" xfId="12" applyFont="1" applyFill="1" applyBorder="1" applyAlignment="1" applyProtection="1">
      <alignment horizontal="left" vertical="top" wrapText="1"/>
    </xf>
    <xf numFmtId="0" fontId="65" fillId="17" borderId="70" xfId="12" applyFont="1" applyFill="1" applyBorder="1" applyAlignment="1" applyProtection="1">
      <alignment horizontal="center" vertical="top" wrapText="1"/>
    </xf>
    <xf numFmtId="0" fontId="65" fillId="19" borderId="75" xfId="12" applyFont="1" applyFill="1" applyBorder="1" applyAlignment="1" applyProtection="1">
      <alignment horizontal="center" vertical="top" wrapText="1"/>
    </xf>
    <xf numFmtId="0" fontId="65" fillId="19" borderId="4" xfId="12" applyFont="1" applyFill="1" applyBorder="1" applyAlignment="1" applyProtection="1">
      <alignment horizontal="center" vertical="top" wrapText="1"/>
    </xf>
    <xf numFmtId="177" fontId="64" fillId="0" borderId="28" xfId="12" applyNumberFormat="1" applyFont="1" applyBorder="1" applyAlignment="1" applyProtection="1">
      <alignment horizontal="center" vertical="center" shrinkToFit="1"/>
    </xf>
    <xf numFmtId="177" fontId="64" fillId="0" borderId="5" xfId="12" applyNumberFormat="1" applyFont="1" applyBorder="1" applyAlignment="1" applyProtection="1">
      <alignment horizontal="center" vertical="center" shrinkToFit="1"/>
    </xf>
    <xf numFmtId="177" fontId="64" fillId="0" borderId="29" xfId="12" applyNumberFormat="1" applyFont="1" applyBorder="1" applyAlignment="1" applyProtection="1">
      <alignment horizontal="center" vertical="center" shrinkToFit="1"/>
    </xf>
    <xf numFmtId="0" fontId="75" fillId="0" borderId="30" xfId="0" applyFont="1" applyBorder="1" applyAlignment="1" applyProtection="1">
      <alignment horizontal="center" vertical="top" wrapText="1"/>
    </xf>
    <xf numFmtId="0" fontId="75" fillId="0" borderId="25"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64" fillId="0" borderId="36" xfId="0" applyFont="1" applyBorder="1" applyAlignment="1" applyProtection="1">
      <alignment horizontal="left" vertical="center"/>
    </xf>
    <xf numFmtId="0" fontId="64" fillId="0" borderId="39" xfId="0" applyFont="1" applyBorder="1" applyAlignment="1" applyProtection="1">
      <alignment horizontal="left" vertical="center"/>
    </xf>
    <xf numFmtId="0" fontId="65" fillId="0" borderId="4" xfId="12" applyFont="1" applyFill="1" applyBorder="1" applyAlignment="1" applyProtection="1">
      <alignment horizontal="left" vertical="top" wrapText="1"/>
    </xf>
    <xf numFmtId="0" fontId="65" fillId="0" borderId="70" xfId="12" applyFont="1" applyBorder="1" applyAlignment="1" applyProtection="1">
      <alignment horizontal="center" vertical="center" wrapText="1"/>
    </xf>
    <xf numFmtId="0" fontId="65" fillId="0" borderId="75" xfId="12" applyFont="1" applyBorder="1" applyAlignment="1" applyProtection="1">
      <alignment horizontal="center" vertical="center" wrapText="1"/>
    </xf>
    <xf numFmtId="0" fontId="65" fillId="0" borderId="77" xfId="12" applyFont="1" applyBorder="1" applyAlignment="1" applyProtection="1">
      <alignment horizontal="center" vertical="center" wrapText="1"/>
    </xf>
    <xf numFmtId="0" fontId="65" fillId="0" borderId="30" xfId="12" applyFont="1" applyBorder="1" applyAlignment="1" applyProtection="1">
      <alignment horizontal="center" vertical="top"/>
    </xf>
    <xf numFmtId="0" fontId="65" fillId="0" borderId="36" xfId="12" applyFont="1" applyBorder="1" applyAlignment="1" applyProtection="1">
      <alignment horizontal="center" vertical="top"/>
    </xf>
    <xf numFmtId="0" fontId="65" fillId="0" borderId="25" xfId="12" applyFont="1" applyBorder="1" applyAlignment="1" applyProtection="1">
      <alignment horizontal="center" vertical="top"/>
    </xf>
    <xf numFmtId="0" fontId="65" fillId="0" borderId="23" xfId="12" applyFont="1" applyBorder="1" applyAlignment="1" applyProtection="1">
      <alignment horizontal="center" vertical="top"/>
    </xf>
    <xf numFmtId="0" fontId="65" fillId="0" borderId="33" xfId="12" applyFont="1" applyBorder="1" applyAlignment="1" applyProtection="1">
      <alignment horizontal="center" vertical="top"/>
    </xf>
    <xf numFmtId="0" fontId="65" fillId="0" borderId="39" xfId="12" applyFont="1" applyBorder="1" applyAlignment="1" applyProtection="1">
      <alignment horizontal="center" vertical="top"/>
    </xf>
  </cellXfs>
  <cellStyles count="15">
    <cellStyle name="どちらでもない 2" xfId="9"/>
    <cellStyle name="パーセント 2" xfId="11"/>
    <cellStyle name="パーセント 3" xfId="5"/>
    <cellStyle name="ハイパーリンク" xfId="1" builtinId="8" customBuiltin="1"/>
    <cellStyle name="ハイパーリンク 2" xfId="6"/>
    <cellStyle name="悪い 2" xfId="8"/>
    <cellStyle name="桁区切り" xfId="13" builtinId="6"/>
    <cellStyle name="桁区切り 2" xfId="3"/>
    <cellStyle name="桁区切り 2 2" xfId="10"/>
    <cellStyle name="標準" xfId="0" builtinId="0"/>
    <cellStyle name="標準 2" xfId="2"/>
    <cellStyle name="標準 3" xfId="4"/>
    <cellStyle name="標準 4" xfId="7"/>
    <cellStyle name="標準 4 2" xfId="12"/>
    <cellStyle name="表示済みのハイパーリンク" xfId="14" builtinId="9" customBuiltin="1"/>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s>
  <tableStyles count="0" defaultTableStyle="TableStyleMedium9" defaultPivotStyle="PivotStyleLight16"/>
  <colors>
    <mruColors>
      <color rgb="FFFFFF99"/>
      <color rgb="FF0563C1"/>
      <color rgb="FFFFCC99"/>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176419</xdr:colOff>
      <xdr:row>8</xdr:row>
      <xdr:rowOff>34688</xdr:rowOff>
    </xdr:from>
    <xdr:ext cx="1114425" cy="425758"/>
    <xdr:sp macro="" textlink="">
      <xdr:nvSpPr>
        <xdr:cNvPr id="63" name="正方形/長方形 62"/>
        <xdr:cNvSpPr/>
      </xdr:nvSpPr>
      <xdr:spPr>
        <a:xfrm>
          <a:off x="9312799" y="157392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158798</xdr:colOff>
      <xdr:row>10</xdr:row>
      <xdr:rowOff>79446</xdr:rowOff>
    </xdr:from>
    <xdr:to>
      <xdr:col>32</xdr:col>
      <xdr:colOff>40212</xdr:colOff>
      <xdr:row>16</xdr:row>
      <xdr:rowOff>631</xdr:rowOff>
    </xdr:to>
    <xdr:cxnSp macro="">
      <xdr:nvCxnSpPr>
        <xdr:cNvPr id="64" name="直線コネクタ 63"/>
        <xdr:cNvCxnSpPr>
          <a:stCxn id="63" idx="2"/>
          <a:endCxn id="66" idx="1"/>
        </xdr:cNvCxnSpPr>
      </xdr:nvCxnSpPr>
      <xdr:spPr>
        <a:xfrm flipH="1">
          <a:off x="9005618" y="1999686"/>
          <a:ext cx="864394" cy="13842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83075</xdr:colOff>
      <xdr:row>9</xdr:row>
      <xdr:rowOff>24765</xdr:rowOff>
    </xdr:from>
    <xdr:ext cx="1266825" cy="692497"/>
    <xdr:sp macro="" textlink="">
      <xdr:nvSpPr>
        <xdr:cNvPr id="65" name="正方形/長方形 64"/>
        <xdr:cNvSpPr/>
      </xdr:nvSpPr>
      <xdr:spPr>
        <a:xfrm>
          <a:off x="10484375" y="1754505"/>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54499</xdr:colOff>
      <xdr:row>15</xdr:row>
      <xdr:rowOff>8249</xdr:rowOff>
    </xdr:from>
    <xdr:to>
      <xdr:col>28</xdr:col>
      <xdr:colOff>193564</xdr:colOff>
      <xdr:row>16</xdr:row>
      <xdr:rowOff>434972</xdr:rowOff>
    </xdr:to>
    <xdr:sp macro="" textlink="">
      <xdr:nvSpPr>
        <xdr:cNvPr id="66" name="左右矢印 3"/>
        <xdr:cNvSpPr/>
      </xdr:nvSpPr>
      <xdr:spPr>
        <a:xfrm rot="5400000">
          <a:off x="10559620" y="3304853"/>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44973</xdr:colOff>
      <xdr:row>23</xdr:row>
      <xdr:rowOff>38732</xdr:rowOff>
    </xdr:from>
    <xdr:to>
      <xdr:col>28</xdr:col>
      <xdr:colOff>193564</xdr:colOff>
      <xdr:row>33</xdr:row>
      <xdr:rowOff>274950</xdr:rowOff>
    </xdr:to>
    <xdr:sp macro="" textlink="">
      <xdr:nvSpPr>
        <xdr:cNvPr id="67" name="左右矢印 3"/>
        <xdr:cNvSpPr/>
      </xdr:nvSpPr>
      <xdr:spPr>
        <a:xfrm rot="5400000">
          <a:off x="9869060" y="6607170"/>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xdr:colOff>
      <xdr:row>17</xdr:row>
      <xdr:rowOff>30366</xdr:rowOff>
    </xdr:from>
    <xdr:to>
      <xdr:col>28</xdr:col>
      <xdr:colOff>203089</xdr:colOff>
      <xdr:row>22</xdr:row>
      <xdr:rowOff>242069</xdr:rowOff>
    </xdr:to>
    <xdr:sp macro="" textlink="">
      <xdr:nvSpPr>
        <xdr:cNvPr id="68" name="左右矢印 3"/>
        <xdr:cNvSpPr/>
      </xdr:nvSpPr>
      <xdr:spPr>
        <a:xfrm rot="5400000">
          <a:off x="10163631" y="4582860"/>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156417</xdr:colOff>
      <xdr:row>10</xdr:row>
      <xdr:rowOff>79446</xdr:rowOff>
    </xdr:from>
    <xdr:to>
      <xdr:col>32</xdr:col>
      <xdr:colOff>40212</xdr:colOff>
      <xdr:row>28</xdr:row>
      <xdr:rowOff>156841</xdr:rowOff>
    </xdr:to>
    <xdr:cxnSp macro="">
      <xdr:nvCxnSpPr>
        <xdr:cNvPr id="69" name="直線コネクタ 68"/>
        <xdr:cNvCxnSpPr>
          <a:stCxn id="63" idx="2"/>
          <a:endCxn id="67" idx="1"/>
        </xdr:cNvCxnSpPr>
      </xdr:nvCxnSpPr>
      <xdr:spPr>
        <a:xfrm flipH="1">
          <a:off x="9003237" y="1999686"/>
          <a:ext cx="866775" cy="467987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161842</xdr:colOff>
      <xdr:row>13</xdr:row>
      <xdr:rowOff>8602</xdr:rowOff>
    </xdr:from>
    <xdr:to>
      <xdr:col>36</xdr:col>
      <xdr:colOff>15448</xdr:colOff>
      <xdr:row>19</xdr:row>
      <xdr:rowOff>242898</xdr:rowOff>
    </xdr:to>
    <xdr:cxnSp macro="">
      <xdr:nvCxnSpPr>
        <xdr:cNvPr id="70" name="直線コネクタ 69"/>
        <xdr:cNvCxnSpPr>
          <a:stCxn id="65" idx="2"/>
          <a:endCxn id="68" idx="1"/>
        </xdr:cNvCxnSpPr>
      </xdr:nvCxnSpPr>
      <xdr:spPr>
        <a:xfrm flipH="1">
          <a:off x="9008662" y="2447002"/>
          <a:ext cx="2109126" cy="223073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47625</xdr:colOff>
      <xdr:row>1</xdr:row>
      <xdr:rowOff>57150</xdr:rowOff>
    </xdr:from>
    <xdr:ext cx="3615116" cy="295275"/>
    <xdr:sp macro="" textlink="">
      <xdr:nvSpPr>
        <xdr:cNvPr id="36" name="正方形/長方形 35"/>
        <xdr:cNvSpPr/>
      </xdr:nvSpPr>
      <xdr:spPr>
        <a:xfrm>
          <a:off x="1091565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47</xdr:col>
      <xdr:colOff>53068</xdr:colOff>
      <xdr:row>12</xdr:row>
      <xdr:rowOff>94659</xdr:rowOff>
    </xdr:from>
    <xdr:ext cx="1254236" cy="438453"/>
    <xdr:sp macro="" textlink="">
      <xdr:nvSpPr>
        <xdr:cNvPr id="37" name="正方形/長方形 36"/>
        <xdr:cNvSpPr/>
      </xdr:nvSpPr>
      <xdr:spPr>
        <a:xfrm>
          <a:off x="14956892"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38" name="直線矢印コネクタ 37"/>
        <xdr:cNvCxnSpPr>
          <a:stCxn id="37" idx="1"/>
        </xdr:cNvCxnSpPr>
      </xdr:nvCxnSpPr>
      <xdr:spPr bwMode="auto">
        <a:xfrm flipH="1" flipV="1">
          <a:off x="14470805"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39" name="直線矢印コネクタ 38"/>
        <xdr:cNvCxnSpPr>
          <a:stCxn id="37" idx="1"/>
        </xdr:cNvCxnSpPr>
      </xdr:nvCxnSpPr>
      <xdr:spPr bwMode="auto">
        <a:xfrm flipH="1">
          <a:off x="13207954"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40" name="直線矢印コネクタ 39"/>
        <xdr:cNvCxnSpPr>
          <a:stCxn id="37" idx="1"/>
        </xdr:cNvCxnSpPr>
      </xdr:nvCxnSpPr>
      <xdr:spPr bwMode="auto">
        <a:xfrm flipH="1">
          <a:off x="13007928"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41" name="直線矢印コネクタ 40"/>
        <xdr:cNvCxnSpPr>
          <a:stCxn id="37" idx="1"/>
        </xdr:cNvCxnSpPr>
      </xdr:nvCxnSpPr>
      <xdr:spPr bwMode="auto">
        <a:xfrm flipH="1" flipV="1">
          <a:off x="14140375"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220257</xdr:colOff>
      <xdr:row>4</xdr:row>
      <xdr:rowOff>6724</xdr:rowOff>
    </xdr:from>
    <xdr:ext cx="2484844" cy="609600"/>
    <xdr:sp macro="" textlink="">
      <xdr:nvSpPr>
        <xdr:cNvPr id="42" name="四角形吹き出し 15"/>
        <xdr:cNvSpPr/>
      </xdr:nvSpPr>
      <xdr:spPr>
        <a:xfrm>
          <a:off x="6316257" y="711574"/>
          <a:ext cx="2484844"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32</xdr:row>
      <xdr:rowOff>45720</xdr:rowOff>
    </xdr:from>
    <xdr:ext cx="2476500" cy="619125"/>
    <xdr:sp macro="" textlink="">
      <xdr:nvSpPr>
        <xdr:cNvPr id="49" name="四角形吹き出し 48"/>
        <xdr:cNvSpPr/>
      </xdr:nvSpPr>
      <xdr:spPr>
        <a:xfrm>
          <a:off x="6324600" y="7360920"/>
          <a:ext cx="2476500" cy="619125"/>
        </a:xfrm>
        <a:prstGeom prst="wedgeRectCallout">
          <a:avLst>
            <a:gd name="adj1" fmla="val -58632"/>
            <a:gd name="adj2" fmla="val -2491"/>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214735</xdr:colOff>
      <xdr:row>34</xdr:row>
      <xdr:rowOff>217264</xdr:rowOff>
    </xdr:from>
    <xdr:ext cx="2475126" cy="566822"/>
    <xdr:sp macro="" textlink="">
      <xdr:nvSpPr>
        <xdr:cNvPr id="50" name="四角形吹き出し 49"/>
        <xdr:cNvSpPr/>
      </xdr:nvSpPr>
      <xdr:spPr>
        <a:xfrm>
          <a:off x="6318355" y="8043004"/>
          <a:ext cx="2475126" cy="566822"/>
        </a:xfrm>
        <a:prstGeom prst="wedgeRectCallout">
          <a:avLst>
            <a:gd name="adj1" fmla="val -58049"/>
            <a:gd name="adj2" fmla="val -2993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476500" cy="605294"/>
    <xdr:sp macro="" textlink="">
      <xdr:nvSpPr>
        <xdr:cNvPr id="51" name="四角形吹き出し 50"/>
        <xdr:cNvSpPr/>
      </xdr:nvSpPr>
      <xdr:spPr>
        <a:xfrm>
          <a:off x="6324600" y="9265102"/>
          <a:ext cx="247650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45720</xdr:rowOff>
        </xdr:from>
        <xdr:to>
          <xdr:col>25</xdr:col>
          <xdr:colOff>556260</xdr:colOff>
          <xdr:row>33</xdr:row>
          <xdr:rowOff>152400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198120</xdr:rowOff>
        </xdr:from>
        <xdr:to>
          <xdr:col>25</xdr:col>
          <xdr:colOff>563880</xdr:colOff>
          <xdr:row>36</xdr:row>
          <xdr:rowOff>7620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43150" cy="276225"/>
    <xdr:sp macro="" textlink="">
      <xdr:nvSpPr>
        <xdr:cNvPr id="52" name="正方形/長方形 51"/>
        <xdr:cNvSpPr/>
      </xdr:nvSpPr>
      <xdr:spPr>
        <a:xfrm>
          <a:off x="6351271" y="200025"/>
          <a:ext cx="234315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5045</xdr:rowOff>
    </xdr:from>
    <xdr:ext cx="2487097" cy="588420"/>
    <xdr:sp macro="" textlink="">
      <xdr:nvSpPr>
        <xdr:cNvPr id="53" name="四角形吹き出し 52"/>
        <xdr:cNvSpPr/>
      </xdr:nvSpPr>
      <xdr:spPr>
        <a:xfrm>
          <a:off x="6324936" y="135378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55582</xdr:rowOff>
    </xdr:from>
    <xdr:ext cx="2484120" cy="1456768"/>
    <xdr:sp macro="" textlink="">
      <xdr:nvSpPr>
        <xdr:cNvPr id="54" name="四角形吹き出し 16"/>
        <xdr:cNvSpPr/>
      </xdr:nvSpPr>
      <xdr:spPr>
        <a:xfrm>
          <a:off x="6324600" y="1975822"/>
          <a:ext cx="248412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0</xdr:rowOff>
        </xdr:from>
        <xdr:to>
          <xdr:col>25</xdr:col>
          <xdr:colOff>525780</xdr:colOff>
          <xdr:row>8</xdr:row>
          <xdr:rowOff>114300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22860</xdr:rowOff>
        </xdr:from>
        <xdr:to>
          <xdr:col>25</xdr:col>
          <xdr:colOff>533400</xdr:colOff>
          <xdr:row>11</xdr:row>
          <xdr:rowOff>152400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99060</xdr:rowOff>
        </xdr:from>
        <xdr:to>
          <xdr:col>25</xdr:col>
          <xdr:colOff>533400</xdr:colOff>
          <xdr:row>14</xdr:row>
          <xdr:rowOff>175260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26</xdr:row>
      <xdr:rowOff>117457</xdr:rowOff>
    </xdr:from>
    <xdr:ext cx="2484120" cy="1089156"/>
    <xdr:sp macro="" textlink="">
      <xdr:nvSpPr>
        <xdr:cNvPr id="61" name="四角形吹き出し 60"/>
        <xdr:cNvSpPr/>
      </xdr:nvSpPr>
      <xdr:spPr>
        <a:xfrm>
          <a:off x="6324601" y="6243937"/>
          <a:ext cx="2484120" cy="1089156"/>
        </a:xfrm>
        <a:prstGeom prst="wedgeRectCallout">
          <a:avLst>
            <a:gd name="adj1" fmla="val -57423"/>
            <a:gd name="adj2" fmla="val -5479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297180</xdr:colOff>
          <xdr:row>26</xdr:row>
          <xdr:rowOff>68580</xdr:rowOff>
        </xdr:from>
        <xdr:to>
          <xdr:col>25</xdr:col>
          <xdr:colOff>579120</xdr:colOff>
          <xdr:row>27</xdr:row>
          <xdr:rowOff>182880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21</xdr:row>
      <xdr:rowOff>15576</xdr:rowOff>
    </xdr:from>
    <xdr:ext cx="2484120" cy="1211244"/>
    <xdr:sp macro="" textlink="">
      <xdr:nvSpPr>
        <xdr:cNvPr id="45" name="四角形吹き出し 44"/>
        <xdr:cNvSpPr/>
      </xdr:nvSpPr>
      <xdr:spPr>
        <a:xfrm>
          <a:off x="6309360" y="4999056"/>
          <a:ext cx="2484120" cy="1211244"/>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エネルギー使用量等入力シートで算出された数値のうち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mc:AlternateContent xmlns:mc="http://schemas.openxmlformats.org/markup-compatibility/2006">
    <mc:Choice xmlns:a14="http://schemas.microsoft.com/office/drawing/2010/main" Requires="a14">
      <xdr:twoCellAnchor editAs="oneCell">
        <xdr:from>
          <xdr:col>25</xdr:col>
          <xdr:colOff>274320</xdr:colOff>
          <xdr:row>21</xdr:row>
          <xdr:rowOff>7620</xdr:rowOff>
        </xdr:from>
        <xdr:to>
          <xdr:col>25</xdr:col>
          <xdr:colOff>556260</xdr:colOff>
          <xdr:row>22</xdr:row>
          <xdr:rowOff>45720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16</xdr:row>
      <xdr:rowOff>76200</xdr:rowOff>
    </xdr:from>
    <xdr:ext cx="2484120" cy="1511447"/>
    <xdr:sp macro="" textlink="">
      <xdr:nvSpPr>
        <xdr:cNvPr id="44" name="四角形吹き出し 15"/>
        <xdr:cNvSpPr/>
      </xdr:nvSpPr>
      <xdr:spPr>
        <a:xfrm>
          <a:off x="6309360" y="3459480"/>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16</xdr:row>
          <xdr:rowOff>76200</xdr:rowOff>
        </xdr:from>
        <xdr:to>
          <xdr:col>25</xdr:col>
          <xdr:colOff>541020</xdr:colOff>
          <xdr:row>16</xdr:row>
          <xdr:rowOff>381000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259080</xdr:colOff>
          <xdr:row>18</xdr:row>
          <xdr:rowOff>121920</xdr:rowOff>
        </xdr:from>
        <xdr:to>
          <xdr:col>25</xdr:col>
          <xdr:colOff>541020</xdr:colOff>
          <xdr:row>19</xdr:row>
          <xdr:rowOff>129540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39</xdr:col>
      <xdr:colOff>390525</xdr:colOff>
      <xdr:row>17</xdr:row>
      <xdr:rowOff>19050</xdr:rowOff>
    </xdr:from>
    <xdr:to>
      <xdr:col>44</xdr:col>
      <xdr:colOff>38100</xdr:colOff>
      <xdr:row>19</xdr:row>
      <xdr:rowOff>161925</xdr:rowOff>
    </xdr:to>
    <xdr:sp macro="" textlink="">
      <xdr:nvSpPr>
        <xdr:cNvPr id="146" name="角丸四角形 145"/>
        <xdr:cNvSpPr/>
      </xdr:nvSpPr>
      <xdr:spPr>
        <a:xfrm>
          <a:off x="14706600" y="3609975"/>
          <a:ext cx="1362075" cy="619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158" name="角丸四角形 157"/>
        <xdr:cNvSpPr/>
      </xdr:nvSpPr>
      <xdr:spPr>
        <a:xfrm>
          <a:off x="17430750"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159" name="角丸四角形 158"/>
        <xdr:cNvSpPr/>
      </xdr:nvSpPr>
      <xdr:spPr>
        <a:xfrm>
          <a:off x="17440275" y="1314450"/>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22860</xdr:colOff>
      <xdr:row>14</xdr:row>
      <xdr:rowOff>7620</xdr:rowOff>
    </xdr:from>
    <xdr:to>
      <xdr:col>36</xdr:col>
      <xdr:colOff>1904</xdr:colOff>
      <xdr:row>16</xdr:row>
      <xdr:rowOff>161924</xdr:rowOff>
    </xdr:to>
    <xdr:sp macro="" textlink="">
      <xdr:nvSpPr>
        <xdr:cNvPr id="142" name="角丸四角形 141"/>
        <xdr:cNvSpPr/>
      </xdr:nvSpPr>
      <xdr:spPr>
        <a:xfrm>
          <a:off x="11422380" y="2948940"/>
          <a:ext cx="1144904" cy="6343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11430</xdr:colOff>
      <xdr:row>8</xdr:row>
      <xdr:rowOff>28575</xdr:rowOff>
    </xdr:from>
    <xdr:to>
      <xdr:col>5</xdr:col>
      <xdr:colOff>209863</xdr:colOff>
      <xdr:row>8</xdr:row>
      <xdr:rowOff>152400</xdr:rowOff>
    </xdr:to>
    <xdr:sp macro="" textlink="">
      <xdr:nvSpPr>
        <xdr:cNvPr id="26670" name="Text Box 46"/>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209863</xdr:colOff>
      <xdr:row>9</xdr:row>
      <xdr:rowOff>152400</xdr:rowOff>
    </xdr:to>
    <xdr:sp macro="" textlink="">
      <xdr:nvSpPr>
        <xdr:cNvPr id="26671" name="Text Box 47"/>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8</xdr:row>
      <xdr:rowOff>28575</xdr:rowOff>
    </xdr:from>
    <xdr:to>
      <xdr:col>9</xdr:col>
      <xdr:colOff>202243</xdr:colOff>
      <xdr:row>8</xdr:row>
      <xdr:rowOff>152400</xdr:rowOff>
    </xdr:to>
    <xdr:sp macro="" textlink="">
      <xdr:nvSpPr>
        <xdr:cNvPr id="26672" name="Text Box 48"/>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9</xdr:row>
      <xdr:rowOff>28575</xdr:rowOff>
    </xdr:from>
    <xdr:to>
      <xdr:col>9</xdr:col>
      <xdr:colOff>202243</xdr:colOff>
      <xdr:row>9</xdr:row>
      <xdr:rowOff>152400</xdr:rowOff>
    </xdr:to>
    <xdr:sp macro="" textlink="">
      <xdr:nvSpPr>
        <xdr:cNvPr id="26673" name="Text Box 49"/>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26674" name="Text Box 50"/>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26675" name="Text Box 51"/>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203638</xdr:colOff>
      <xdr:row>8</xdr:row>
      <xdr:rowOff>152400</xdr:rowOff>
    </xdr:to>
    <xdr:sp macro="" textlink="">
      <xdr:nvSpPr>
        <xdr:cNvPr id="26676" name="Text Box 52"/>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203638</xdr:colOff>
      <xdr:row>9</xdr:row>
      <xdr:rowOff>152400</xdr:rowOff>
    </xdr:to>
    <xdr:sp macro="" textlink="">
      <xdr:nvSpPr>
        <xdr:cNvPr id="26677" name="Text Box 53"/>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209863</xdr:colOff>
      <xdr:row>11</xdr:row>
      <xdr:rowOff>152400</xdr:rowOff>
    </xdr:to>
    <xdr:sp macro="" textlink="">
      <xdr:nvSpPr>
        <xdr:cNvPr id="26678" name="Text Box 54"/>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209863</xdr:colOff>
      <xdr:row>12</xdr:row>
      <xdr:rowOff>152400</xdr:rowOff>
    </xdr:to>
    <xdr:sp macro="" textlink="">
      <xdr:nvSpPr>
        <xdr:cNvPr id="26679" name="Text Box 55"/>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11</xdr:row>
      <xdr:rowOff>28575</xdr:rowOff>
    </xdr:from>
    <xdr:to>
      <xdr:col>9</xdr:col>
      <xdr:colOff>202243</xdr:colOff>
      <xdr:row>11</xdr:row>
      <xdr:rowOff>152400</xdr:rowOff>
    </xdr:to>
    <xdr:sp macro="" textlink="">
      <xdr:nvSpPr>
        <xdr:cNvPr id="26680" name="Text Box 56"/>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12</xdr:row>
      <xdr:rowOff>28575</xdr:rowOff>
    </xdr:from>
    <xdr:to>
      <xdr:col>9</xdr:col>
      <xdr:colOff>202243</xdr:colOff>
      <xdr:row>12</xdr:row>
      <xdr:rowOff>152400</xdr:rowOff>
    </xdr:to>
    <xdr:sp macro="" textlink="">
      <xdr:nvSpPr>
        <xdr:cNvPr id="26681" name="Text Box 57"/>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203638</xdr:colOff>
      <xdr:row>11</xdr:row>
      <xdr:rowOff>152400</xdr:rowOff>
    </xdr:to>
    <xdr:sp macro="" textlink="">
      <xdr:nvSpPr>
        <xdr:cNvPr id="26682" name="Text Box 58"/>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203638</xdr:colOff>
      <xdr:row>12</xdr:row>
      <xdr:rowOff>152400</xdr:rowOff>
    </xdr:to>
    <xdr:sp macro="" textlink="">
      <xdr:nvSpPr>
        <xdr:cNvPr id="26683" name="Text Box 59"/>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26684" name="Text Box 60"/>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26685" name="Text Box 61"/>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36195</xdr:rowOff>
    </xdr:from>
    <xdr:to>
      <xdr:col>5</xdr:col>
      <xdr:colOff>209863</xdr:colOff>
      <xdr:row>15</xdr:row>
      <xdr:rowOff>152736</xdr:rowOff>
    </xdr:to>
    <xdr:sp macro="" textlink="">
      <xdr:nvSpPr>
        <xdr:cNvPr id="26686" name="Text Box 62"/>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209863</xdr:colOff>
      <xdr:row>16</xdr:row>
      <xdr:rowOff>152400</xdr:rowOff>
    </xdr:to>
    <xdr:sp macro="" textlink="">
      <xdr:nvSpPr>
        <xdr:cNvPr id="26687" name="Text Box 63"/>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15</xdr:row>
      <xdr:rowOff>36195</xdr:rowOff>
    </xdr:from>
    <xdr:to>
      <xdr:col>9</xdr:col>
      <xdr:colOff>202243</xdr:colOff>
      <xdr:row>15</xdr:row>
      <xdr:rowOff>152736</xdr:rowOff>
    </xdr:to>
    <xdr:sp macro="" textlink="">
      <xdr:nvSpPr>
        <xdr:cNvPr id="26688" name="Text Box 64"/>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16</xdr:row>
      <xdr:rowOff>28575</xdr:rowOff>
    </xdr:from>
    <xdr:to>
      <xdr:col>9</xdr:col>
      <xdr:colOff>202243</xdr:colOff>
      <xdr:row>16</xdr:row>
      <xdr:rowOff>152400</xdr:rowOff>
    </xdr:to>
    <xdr:sp macro="" textlink="">
      <xdr:nvSpPr>
        <xdr:cNvPr id="26689" name="Text Box 65"/>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36195</xdr:rowOff>
    </xdr:from>
    <xdr:to>
      <xdr:col>13</xdr:col>
      <xdr:colOff>203638</xdr:colOff>
      <xdr:row>15</xdr:row>
      <xdr:rowOff>152736</xdr:rowOff>
    </xdr:to>
    <xdr:sp macro="" textlink="">
      <xdr:nvSpPr>
        <xdr:cNvPr id="26690" name="Text Box 66"/>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203638</xdr:colOff>
      <xdr:row>16</xdr:row>
      <xdr:rowOff>152400</xdr:rowOff>
    </xdr:to>
    <xdr:sp macro="" textlink="">
      <xdr:nvSpPr>
        <xdr:cNvPr id="26691" name="Text Box 67"/>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36195</xdr:rowOff>
    </xdr:from>
    <xdr:to>
      <xdr:col>17</xdr:col>
      <xdr:colOff>203638</xdr:colOff>
      <xdr:row>15</xdr:row>
      <xdr:rowOff>152736</xdr:rowOff>
    </xdr:to>
    <xdr:sp macro="" textlink="">
      <xdr:nvSpPr>
        <xdr:cNvPr id="26692" name="Text Box 68"/>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203638</xdr:colOff>
      <xdr:row>16</xdr:row>
      <xdr:rowOff>152400</xdr:rowOff>
    </xdr:to>
    <xdr:sp macro="" textlink="">
      <xdr:nvSpPr>
        <xdr:cNvPr id="26693" name="Text Box 69"/>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36195</xdr:rowOff>
    </xdr:from>
    <xdr:to>
      <xdr:col>5</xdr:col>
      <xdr:colOff>209863</xdr:colOff>
      <xdr:row>18</xdr:row>
      <xdr:rowOff>152736</xdr:rowOff>
    </xdr:to>
    <xdr:sp macro="" textlink="">
      <xdr:nvSpPr>
        <xdr:cNvPr id="26694" name="Text Box 70"/>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209863</xdr:colOff>
      <xdr:row>19</xdr:row>
      <xdr:rowOff>152400</xdr:rowOff>
    </xdr:to>
    <xdr:sp macro="" textlink="">
      <xdr:nvSpPr>
        <xdr:cNvPr id="26695" name="Text Box 71"/>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18</xdr:row>
      <xdr:rowOff>36195</xdr:rowOff>
    </xdr:from>
    <xdr:to>
      <xdr:col>9</xdr:col>
      <xdr:colOff>202243</xdr:colOff>
      <xdr:row>18</xdr:row>
      <xdr:rowOff>152736</xdr:rowOff>
    </xdr:to>
    <xdr:sp macro="" textlink="">
      <xdr:nvSpPr>
        <xdr:cNvPr id="26696" name="Text Box 72"/>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19</xdr:row>
      <xdr:rowOff>28575</xdr:rowOff>
    </xdr:from>
    <xdr:to>
      <xdr:col>9</xdr:col>
      <xdr:colOff>202243</xdr:colOff>
      <xdr:row>19</xdr:row>
      <xdr:rowOff>152400</xdr:rowOff>
    </xdr:to>
    <xdr:sp macro="" textlink="">
      <xdr:nvSpPr>
        <xdr:cNvPr id="26697" name="Text Box 73"/>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36195</xdr:rowOff>
    </xdr:from>
    <xdr:to>
      <xdr:col>13</xdr:col>
      <xdr:colOff>203638</xdr:colOff>
      <xdr:row>18</xdr:row>
      <xdr:rowOff>152736</xdr:rowOff>
    </xdr:to>
    <xdr:sp macro="" textlink="">
      <xdr:nvSpPr>
        <xdr:cNvPr id="26698" name="Text Box 74"/>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203638</xdr:colOff>
      <xdr:row>19</xdr:row>
      <xdr:rowOff>152400</xdr:rowOff>
    </xdr:to>
    <xdr:sp macro="" textlink="">
      <xdr:nvSpPr>
        <xdr:cNvPr id="26699" name="Text Box 75"/>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36195</xdr:rowOff>
    </xdr:from>
    <xdr:to>
      <xdr:col>17</xdr:col>
      <xdr:colOff>203638</xdr:colOff>
      <xdr:row>18</xdr:row>
      <xdr:rowOff>152736</xdr:rowOff>
    </xdr:to>
    <xdr:sp macro="" textlink="">
      <xdr:nvSpPr>
        <xdr:cNvPr id="26700" name="Text Box 76"/>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203638</xdr:colOff>
      <xdr:row>19</xdr:row>
      <xdr:rowOff>152400</xdr:rowOff>
    </xdr:to>
    <xdr:sp macro="" textlink="">
      <xdr:nvSpPr>
        <xdr:cNvPr id="26701" name="Text Box 77"/>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23</xdr:row>
      <xdr:rowOff>28575</xdr:rowOff>
    </xdr:from>
    <xdr:to>
      <xdr:col>5</xdr:col>
      <xdr:colOff>209863</xdr:colOff>
      <xdr:row>23</xdr:row>
      <xdr:rowOff>152400</xdr:rowOff>
    </xdr:to>
    <xdr:sp macro="" textlink="">
      <xdr:nvSpPr>
        <xdr:cNvPr id="26702" name="Text Box 78"/>
        <xdr:cNvSpPr txBox="1">
          <a:spLocks noChangeArrowheads="1"/>
        </xdr:cNvSpPr>
      </xdr:nvSpPr>
      <xdr:spPr bwMode="auto">
        <a:xfrm>
          <a:off x="166687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24</xdr:row>
      <xdr:rowOff>28575</xdr:rowOff>
    </xdr:from>
    <xdr:to>
      <xdr:col>5</xdr:col>
      <xdr:colOff>209863</xdr:colOff>
      <xdr:row>24</xdr:row>
      <xdr:rowOff>152400</xdr:rowOff>
    </xdr:to>
    <xdr:sp macro="" textlink="">
      <xdr:nvSpPr>
        <xdr:cNvPr id="26703" name="Text Box 79"/>
        <xdr:cNvSpPr txBox="1">
          <a:spLocks noChangeArrowheads="1"/>
        </xdr:cNvSpPr>
      </xdr:nvSpPr>
      <xdr:spPr bwMode="auto">
        <a:xfrm>
          <a:off x="166687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23</xdr:row>
      <xdr:rowOff>28575</xdr:rowOff>
    </xdr:from>
    <xdr:to>
      <xdr:col>9</xdr:col>
      <xdr:colOff>202243</xdr:colOff>
      <xdr:row>23</xdr:row>
      <xdr:rowOff>152400</xdr:rowOff>
    </xdr:to>
    <xdr:sp macro="" textlink="">
      <xdr:nvSpPr>
        <xdr:cNvPr id="26704" name="Text Box 80"/>
        <xdr:cNvSpPr txBox="1">
          <a:spLocks noChangeArrowheads="1"/>
        </xdr:cNvSpPr>
      </xdr:nvSpPr>
      <xdr:spPr bwMode="auto">
        <a:xfrm>
          <a:off x="295275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24</xdr:row>
      <xdr:rowOff>28575</xdr:rowOff>
    </xdr:from>
    <xdr:to>
      <xdr:col>9</xdr:col>
      <xdr:colOff>202243</xdr:colOff>
      <xdr:row>24</xdr:row>
      <xdr:rowOff>152400</xdr:rowOff>
    </xdr:to>
    <xdr:sp macro="" textlink="">
      <xdr:nvSpPr>
        <xdr:cNvPr id="26705" name="Text Box 81"/>
        <xdr:cNvSpPr txBox="1">
          <a:spLocks noChangeArrowheads="1"/>
        </xdr:cNvSpPr>
      </xdr:nvSpPr>
      <xdr:spPr bwMode="auto">
        <a:xfrm>
          <a:off x="295275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28575</xdr:rowOff>
    </xdr:from>
    <xdr:to>
      <xdr:col>13</xdr:col>
      <xdr:colOff>203638</xdr:colOff>
      <xdr:row>23</xdr:row>
      <xdr:rowOff>152400</xdr:rowOff>
    </xdr:to>
    <xdr:sp macro="" textlink="">
      <xdr:nvSpPr>
        <xdr:cNvPr id="26706" name="Text Box 82"/>
        <xdr:cNvSpPr txBox="1">
          <a:spLocks noChangeArrowheads="1"/>
        </xdr:cNvSpPr>
      </xdr:nvSpPr>
      <xdr:spPr bwMode="auto">
        <a:xfrm>
          <a:off x="423862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28575</xdr:rowOff>
    </xdr:from>
    <xdr:to>
      <xdr:col>13</xdr:col>
      <xdr:colOff>203638</xdr:colOff>
      <xdr:row>24</xdr:row>
      <xdr:rowOff>152400</xdr:rowOff>
    </xdr:to>
    <xdr:sp macro="" textlink="">
      <xdr:nvSpPr>
        <xdr:cNvPr id="26707" name="Text Box 83"/>
        <xdr:cNvSpPr txBox="1">
          <a:spLocks noChangeArrowheads="1"/>
        </xdr:cNvSpPr>
      </xdr:nvSpPr>
      <xdr:spPr bwMode="auto">
        <a:xfrm>
          <a:off x="423862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23</xdr:row>
      <xdr:rowOff>28575</xdr:rowOff>
    </xdr:from>
    <xdr:to>
      <xdr:col>17</xdr:col>
      <xdr:colOff>203638</xdr:colOff>
      <xdr:row>23</xdr:row>
      <xdr:rowOff>152400</xdr:rowOff>
    </xdr:to>
    <xdr:sp macro="" textlink="">
      <xdr:nvSpPr>
        <xdr:cNvPr id="26708" name="Text Box 84"/>
        <xdr:cNvSpPr txBox="1">
          <a:spLocks noChangeArrowheads="1"/>
        </xdr:cNvSpPr>
      </xdr:nvSpPr>
      <xdr:spPr bwMode="auto">
        <a:xfrm>
          <a:off x="552450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24</xdr:row>
      <xdr:rowOff>28575</xdr:rowOff>
    </xdr:from>
    <xdr:to>
      <xdr:col>17</xdr:col>
      <xdr:colOff>203638</xdr:colOff>
      <xdr:row>24</xdr:row>
      <xdr:rowOff>152400</xdr:rowOff>
    </xdr:to>
    <xdr:sp macro="" textlink="">
      <xdr:nvSpPr>
        <xdr:cNvPr id="26709" name="Text Box 85"/>
        <xdr:cNvSpPr txBox="1">
          <a:spLocks noChangeArrowheads="1"/>
        </xdr:cNvSpPr>
      </xdr:nvSpPr>
      <xdr:spPr bwMode="auto">
        <a:xfrm>
          <a:off x="552450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26</xdr:row>
      <xdr:rowOff>36195</xdr:rowOff>
    </xdr:from>
    <xdr:to>
      <xdr:col>5</xdr:col>
      <xdr:colOff>209863</xdr:colOff>
      <xdr:row>26</xdr:row>
      <xdr:rowOff>152736</xdr:rowOff>
    </xdr:to>
    <xdr:sp macro="" textlink="">
      <xdr:nvSpPr>
        <xdr:cNvPr id="26710" name="Text Box 86"/>
        <xdr:cNvSpPr txBox="1">
          <a:spLocks noChangeArrowheads="1"/>
        </xdr:cNvSpPr>
      </xdr:nvSpPr>
      <xdr:spPr bwMode="auto">
        <a:xfrm>
          <a:off x="166687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27</xdr:row>
      <xdr:rowOff>28575</xdr:rowOff>
    </xdr:from>
    <xdr:to>
      <xdr:col>5</xdr:col>
      <xdr:colOff>209863</xdr:colOff>
      <xdr:row>27</xdr:row>
      <xdr:rowOff>152400</xdr:rowOff>
    </xdr:to>
    <xdr:sp macro="" textlink="">
      <xdr:nvSpPr>
        <xdr:cNvPr id="26711" name="Text Box 87"/>
        <xdr:cNvSpPr txBox="1">
          <a:spLocks noChangeArrowheads="1"/>
        </xdr:cNvSpPr>
      </xdr:nvSpPr>
      <xdr:spPr bwMode="auto">
        <a:xfrm>
          <a:off x="166687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26</xdr:row>
      <xdr:rowOff>36195</xdr:rowOff>
    </xdr:from>
    <xdr:to>
      <xdr:col>9</xdr:col>
      <xdr:colOff>202243</xdr:colOff>
      <xdr:row>26</xdr:row>
      <xdr:rowOff>152736</xdr:rowOff>
    </xdr:to>
    <xdr:sp macro="" textlink="">
      <xdr:nvSpPr>
        <xdr:cNvPr id="26712" name="Text Box 88"/>
        <xdr:cNvSpPr txBox="1">
          <a:spLocks noChangeArrowheads="1"/>
        </xdr:cNvSpPr>
      </xdr:nvSpPr>
      <xdr:spPr bwMode="auto">
        <a:xfrm>
          <a:off x="295275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27</xdr:row>
      <xdr:rowOff>28575</xdr:rowOff>
    </xdr:from>
    <xdr:to>
      <xdr:col>9</xdr:col>
      <xdr:colOff>202243</xdr:colOff>
      <xdr:row>27</xdr:row>
      <xdr:rowOff>152400</xdr:rowOff>
    </xdr:to>
    <xdr:sp macro="" textlink="">
      <xdr:nvSpPr>
        <xdr:cNvPr id="26713" name="Text Box 89"/>
        <xdr:cNvSpPr txBox="1">
          <a:spLocks noChangeArrowheads="1"/>
        </xdr:cNvSpPr>
      </xdr:nvSpPr>
      <xdr:spPr bwMode="auto">
        <a:xfrm>
          <a:off x="295275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26</xdr:row>
      <xdr:rowOff>36195</xdr:rowOff>
    </xdr:from>
    <xdr:to>
      <xdr:col>13</xdr:col>
      <xdr:colOff>203638</xdr:colOff>
      <xdr:row>26</xdr:row>
      <xdr:rowOff>152736</xdr:rowOff>
    </xdr:to>
    <xdr:sp macro="" textlink="">
      <xdr:nvSpPr>
        <xdr:cNvPr id="26714" name="Text Box 90"/>
        <xdr:cNvSpPr txBox="1">
          <a:spLocks noChangeArrowheads="1"/>
        </xdr:cNvSpPr>
      </xdr:nvSpPr>
      <xdr:spPr bwMode="auto">
        <a:xfrm>
          <a:off x="423862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27</xdr:row>
      <xdr:rowOff>28575</xdr:rowOff>
    </xdr:from>
    <xdr:to>
      <xdr:col>13</xdr:col>
      <xdr:colOff>203638</xdr:colOff>
      <xdr:row>27</xdr:row>
      <xdr:rowOff>152400</xdr:rowOff>
    </xdr:to>
    <xdr:sp macro="" textlink="">
      <xdr:nvSpPr>
        <xdr:cNvPr id="26715" name="Text Box 91"/>
        <xdr:cNvSpPr txBox="1">
          <a:spLocks noChangeArrowheads="1"/>
        </xdr:cNvSpPr>
      </xdr:nvSpPr>
      <xdr:spPr bwMode="auto">
        <a:xfrm>
          <a:off x="423862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26</xdr:row>
      <xdr:rowOff>36195</xdr:rowOff>
    </xdr:from>
    <xdr:to>
      <xdr:col>17</xdr:col>
      <xdr:colOff>203638</xdr:colOff>
      <xdr:row>26</xdr:row>
      <xdr:rowOff>152736</xdr:rowOff>
    </xdr:to>
    <xdr:sp macro="" textlink="">
      <xdr:nvSpPr>
        <xdr:cNvPr id="26716" name="Text Box 92"/>
        <xdr:cNvSpPr txBox="1">
          <a:spLocks noChangeArrowheads="1"/>
        </xdr:cNvSpPr>
      </xdr:nvSpPr>
      <xdr:spPr bwMode="auto">
        <a:xfrm>
          <a:off x="552450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27</xdr:row>
      <xdr:rowOff>28575</xdr:rowOff>
    </xdr:from>
    <xdr:to>
      <xdr:col>17</xdr:col>
      <xdr:colOff>203638</xdr:colOff>
      <xdr:row>27</xdr:row>
      <xdr:rowOff>152400</xdr:rowOff>
    </xdr:to>
    <xdr:sp macro="" textlink="">
      <xdr:nvSpPr>
        <xdr:cNvPr id="26717" name="Text Box 93"/>
        <xdr:cNvSpPr txBox="1">
          <a:spLocks noChangeArrowheads="1"/>
        </xdr:cNvSpPr>
      </xdr:nvSpPr>
      <xdr:spPr bwMode="auto">
        <a:xfrm>
          <a:off x="552450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30</xdr:row>
      <xdr:rowOff>28575</xdr:rowOff>
    </xdr:from>
    <xdr:to>
      <xdr:col>5</xdr:col>
      <xdr:colOff>209863</xdr:colOff>
      <xdr:row>30</xdr:row>
      <xdr:rowOff>152400</xdr:rowOff>
    </xdr:to>
    <xdr:sp macro="" textlink="">
      <xdr:nvSpPr>
        <xdr:cNvPr id="26718" name="Text Box 94"/>
        <xdr:cNvSpPr txBox="1">
          <a:spLocks noChangeArrowheads="1"/>
        </xdr:cNvSpPr>
      </xdr:nvSpPr>
      <xdr:spPr bwMode="auto">
        <a:xfrm>
          <a:off x="166687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31</xdr:row>
      <xdr:rowOff>28575</xdr:rowOff>
    </xdr:from>
    <xdr:to>
      <xdr:col>5</xdr:col>
      <xdr:colOff>209863</xdr:colOff>
      <xdr:row>31</xdr:row>
      <xdr:rowOff>152400</xdr:rowOff>
    </xdr:to>
    <xdr:sp macro="" textlink="">
      <xdr:nvSpPr>
        <xdr:cNvPr id="26719" name="Text Box 95"/>
        <xdr:cNvSpPr txBox="1">
          <a:spLocks noChangeArrowheads="1"/>
        </xdr:cNvSpPr>
      </xdr:nvSpPr>
      <xdr:spPr bwMode="auto">
        <a:xfrm>
          <a:off x="166687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30</xdr:row>
      <xdr:rowOff>28575</xdr:rowOff>
    </xdr:from>
    <xdr:to>
      <xdr:col>9</xdr:col>
      <xdr:colOff>202243</xdr:colOff>
      <xdr:row>30</xdr:row>
      <xdr:rowOff>152400</xdr:rowOff>
    </xdr:to>
    <xdr:sp macro="" textlink="">
      <xdr:nvSpPr>
        <xdr:cNvPr id="26720" name="Text Box 96"/>
        <xdr:cNvSpPr txBox="1">
          <a:spLocks noChangeArrowheads="1"/>
        </xdr:cNvSpPr>
      </xdr:nvSpPr>
      <xdr:spPr bwMode="auto">
        <a:xfrm>
          <a:off x="295275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31</xdr:row>
      <xdr:rowOff>28575</xdr:rowOff>
    </xdr:from>
    <xdr:to>
      <xdr:col>9</xdr:col>
      <xdr:colOff>202243</xdr:colOff>
      <xdr:row>31</xdr:row>
      <xdr:rowOff>152400</xdr:rowOff>
    </xdr:to>
    <xdr:sp macro="" textlink="">
      <xdr:nvSpPr>
        <xdr:cNvPr id="26721" name="Text Box 97"/>
        <xdr:cNvSpPr txBox="1">
          <a:spLocks noChangeArrowheads="1"/>
        </xdr:cNvSpPr>
      </xdr:nvSpPr>
      <xdr:spPr bwMode="auto">
        <a:xfrm>
          <a:off x="295275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30</xdr:row>
      <xdr:rowOff>28575</xdr:rowOff>
    </xdr:from>
    <xdr:to>
      <xdr:col>13</xdr:col>
      <xdr:colOff>203638</xdr:colOff>
      <xdr:row>30</xdr:row>
      <xdr:rowOff>152400</xdr:rowOff>
    </xdr:to>
    <xdr:sp macro="" textlink="">
      <xdr:nvSpPr>
        <xdr:cNvPr id="26722" name="Text Box 98"/>
        <xdr:cNvSpPr txBox="1">
          <a:spLocks noChangeArrowheads="1"/>
        </xdr:cNvSpPr>
      </xdr:nvSpPr>
      <xdr:spPr bwMode="auto">
        <a:xfrm>
          <a:off x="423862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31</xdr:row>
      <xdr:rowOff>28575</xdr:rowOff>
    </xdr:from>
    <xdr:to>
      <xdr:col>13</xdr:col>
      <xdr:colOff>203638</xdr:colOff>
      <xdr:row>31</xdr:row>
      <xdr:rowOff>152400</xdr:rowOff>
    </xdr:to>
    <xdr:sp macro="" textlink="">
      <xdr:nvSpPr>
        <xdr:cNvPr id="26723" name="Text Box 99"/>
        <xdr:cNvSpPr txBox="1">
          <a:spLocks noChangeArrowheads="1"/>
        </xdr:cNvSpPr>
      </xdr:nvSpPr>
      <xdr:spPr bwMode="auto">
        <a:xfrm>
          <a:off x="423862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30</xdr:row>
      <xdr:rowOff>28575</xdr:rowOff>
    </xdr:from>
    <xdr:to>
      <xdr:col>17</xdr:col>
      <xdr:colOff>203638</xdr:colOff>
      <xdr:row>30</xdr:row>
      <xdr:rowOff>152400</xdr:rowOff>
    </xdr:to>
    <xdr:sp macro="" textlink="">
      <xdr:nvSpPr>
        <xdr:cNvPr id="26724" name="Text Box 100"/>
        <xdr:cNvSpPr txBox="1">
          <a:spLocks noChangeArrowheads="1"/>
        </xdr:cNvSpPr>
      </xdr:nvSpPr>
      <xdr:spPr bwMode="auto">
        <a:xfrm>
          <a:off x="552450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31</xdr:row>
      <xdr:rowOff>28575</xdr:rowOff>
    </xdr:from>
    <xdr:to>
      <xdr:col>17</xdr:col>
      <xdr:colOff>203638</xdr:colOff>
      <xdr:row>31</xdr:row>
      <xdr:rowOff>152400</xdr:rowOff>
    </xdr:to>
    <xdr:sp macro="" textlink="">
      <xdr:nvSpPr>
        <xdr:cNvPr id="26725" name="Text Box 101"/>
        <xdr:cNvSpPr txBox="1">
          <a:spLocks noChangeArrowheads="1"/>
        </xdr:cNvSpPr>
      </xdr:nvSpPr>
      <xdr:spPr bwMode="auto">
        <a:xfrm>
          <a:off x="552450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33</xdr:row>
      <xdr:rowOff>36195</xdr:rowOff>
    </xdr:from>
    <xdr:to>
      <xdr:col>5</xdr:col>
      <xdr:colOff>209863</xdr:colOff>
      <xdr:row>33</xdr:row>
      <xdr:rowOff>152736</xdr:rowOff>
    </xdr:to>
    <xdr:sp macro="" textlink="">
      <xdr:nvSpPr>
        <xdr:cNvPr id="26726" name="Text Box 102"/>
        <xdr:cNvSpPr txBox="1">
          <a:spLocks noChangeArrowheads="1"/>
        </xdr:cNvSpPr>
      </xdr:nvSpPr>
      <xdr:spPr bwMode="auto">
        <a:xfrm>
          <a:off x="166687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34</xdr:row>
      <xdr:rowOff>28575</xdr:rowOff>
    </xdr:from>
    <xdr:to>
      <xdr:col>5</xdr:col>
      <xdr:colOff>209863</xdr:colOff>
      <xdr:row>34</xdr:row>
      <xdr:rowOff>152400</xdr:rowOff>
    </xdr:to>
    <xdr:sp macro="" textlink="">
      <xdr:nvSpPr>
        <xdr:cNvPr id="26727" name="Text Box 103"/>
        <xdr:cNvSpPr txBox="1">
          <a:spLocks noChangeArrowheads="1"/>
        </xdr:cNvSpPr>
      </xdr:nvSpPr>
      <xdr:spPr bwMode="auto">
        <a:xfrm>
          <a:off x="166687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33</xdr:row>
      <xdr:rowOff>36195</xdr:rowOff>
    </xdr:from>
    <xdr:to>
      <xdr:col>9</xdr:col>
      <xdr:colOff>202243</xdr:colOff>
      <xdr:row>33</xdr:row>
      <xdr:rowOff>152736</xdr:rowOff>
    </xdr:to>
    <xdr:sp macro="" textlink="">
      <xdr:nvSpPr>
        <xdr:cNvPr id="26728" name="Text Box 104"/>
        <xdr:cNvSpPr txBox="1">
          <a:spLocks noChangeArrowheads="1"/>
        </xdr:cNvSpPr>
      </xdr:nvSpPr>
      <xdr:spPr bwMode="auto">
        <a:xfrm>
          <a:off x="295275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34</xdr:row>
      <xdr:rowOff>28575</xdr:rowOff>
    </xdr:from>
    <xdr:to>
      <xdr:col>9</xdr:col>
      <xdr:colOff>202243</xdr:colOff>
      <xdr:row>34</xdr:row>
      <xdr:rowOff>152400</xdr:rowOff>
    </xdr:to>
    <xdr:sp macro="" textlink="">
      <xdr:nvSpPr>
        <xdr:cNvPr id="26729" name="Text Box 105"/>
        <xdr:cNvSpPr txBox="1">
          <a:spLocks noChangeArrowheads="1"/>
        </xdr:cNvSpPr>
      </xdr:nvSpPr>
      <xdr:spPr bwMode="auto">
        <a:xfrm>
          <a:off x="295275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33</xdr:row>
      <xdr:rowOff>36195</xdr:rowOff>
    </xdr:from>
    <xdr:to>
      <xdr:col>13</xdr:col>
      <xdr:colOff>203638</xdr:colOff>
      <xdr:row>33</xdr:row>
      <xdr:rowOff>152736</xdr:rowOff>
    </xdr:to>
    <xdr:sp macro="" textlink="">
      <xdr:nvSpPr>
        <xdr:cNvPr id="26730" name="Text Box 106"/>
        <xdr:cNvSpPr txBox="1">
          <a:spLocks noChangeArrowheads="1"/>
        </xdr:cNvSpPr>
      </xdr:nvSpPr>
      <xdr:spPr bwMode="auto">
        <a:xfrm>
          <a:off x="423862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34</xdr:row>
      <xdr:rowOff>28575</xdr:rowOff>
    </xdr:from>
    <xdr:to>
      <xdr:col>13</xdr:col>
      <xdr:colOff>203638</xdr:colOff>
      <xdr:row>34</xdr:row>
      <xdr:rowOff>152400</xdr:rowOff>
    </xdr:to>
    <xdr:sp macro="" textlink="">
      <xdr:nvSpPr>
        <xdr:cNvPr id="26731" name="Text Box 107"/>
        <xdr:cNvSpPr txBox="1">
          <a:spLocks noChangeArrowheads="1"/>
        </xdr:cNvSpPr>
      </xdr:nvSpPr>
      <xdr:spPr bwMode="auto">
        <a:xfrm>
          <a:off x="423862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33</xdr:row>
      <xdr:rowOff>36195</xdr:rowOff>
    </xdr:from>
    <xdr:to>
      <xdr:col>17</xdr:col>
      <xdr:colOff>203638</xdr:colOff>
      <xdr:row>33</xdr:row>
      <xdr:rowOff>152736</xdr:rowOff>
    </xdr:to>
    <xdr:sp macro="" textlink="">
      <xdr:nvSpPr>
        <xdr:cNvPr id="26732" name="Text Box 108"/>
        <xdr:cNvSpPr txBox="1">
          <a:spLocks noChangeArrowheads="1"/>
        </xdr:cNvSpPr>
      </xdr:nvSpPr>
      <xdr:spPr bwMode="auto">
        <a:xfrm>
          <a:off x="552450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34</xdr:row>
      <xdr:rowOff>28575</xdr:rowOff>
    </xdr:from>
    <xdr:to>
      <xdr:col>17</xdr:col>
      <xdr:colOff>203638</xdr:colOff>
      <xdr:row>34</xdr:row>
      <xdr:rowOff>152400</xdr:rowOff>
    </xdr:to>
    <xdr:sp macro="" textlink="">
      <xdr:nvSpPr>
        <xdr:cNvPr id="26733" name="Text Box 109"/>
        <xdr:cNvSpPr txBox="1">
          <a:spLocks noChangeArrowheads="1"/>
        </xdr:cNvSpPr>
      </xdr:nvSpPr>
      <xdr:spPr bwMode="auto">
        <a:xfrm>
          <a:off x="552450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25</xdr:col>
      <xdr:colOff>47624</xdr:colOff>
      <xdr:row>2</xdr:row>
      <xdr:rowOff>13610</xdr:rowOff>
    </xdr:from>
    <xdr:to>
      <xdr:col>25</xdr:col>
      <xdr:colOff>228975</xdr:colOff>
      <xdr:row>34</xdr:row>
      <xdr:rowOff>163286</xdr:rowOff>
    </xdr:to>
    <xdr:sp macro="" textlink="">
      <xdr:nvSpPr>
        <xdr:cNvPr id="67" name="左右矢印 3"/>
        <xdr:cNvSpPr/>
      </xdr:nvSpPr>
      <xdr:spPr>
        <a:xfrm rot="5400000">
          <a:off x="6240424" y="5117460"/>
          <a:ext cx="9760401" cy="18135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11430</xdr:colOff>
      <xdr:row>8</xdr:row>
      <xdr:rowOff>28575</xdr:rowOff>
    </xdr:from>
    <xdr:to>
      <xdr:col>32</xdr:col>
      <xdr:colOff>203638</xdr:colOff>
      <xdr:row>8</xdr:row>
      <xdr:rowOff>152400</xdr:rowOff>
    </xdr:to>
    <xdr:sp macro="" textlink="">
      <xdr:nvSpPr>
        <xdr:cNvPr id="69" name="Text Box 46"/>
        <xdr:cNvSpPr txBox="1">
          <a:spLocks noChangeArrowheads="1"/>
        </xdr:cNvSpPr>
      </xdr:nvSpPr>
      <xdr:spPr bwMode="auto">
        <a:xfrm>
          <a:off x="163068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203638</xdr:colOff>
      <xdr:row>9</xdr:row>
      <xdr:rowOff>152400</xdr:rowOff>
    </xdr:to>
    <xdr:sp macro="" textlink="">
      <xdr:nvSpPr>
        <xdr:cNvPr id="70" name="Text Box 47"/>
        <xdr:cNvSpPr txBox="1">
          <a:spLocks noChangeArrowheads="1"/>
        </xdr:cNvSpPr>
      </xdr:nvSpPr>
      <xdr:spPr bwMode="auto">
        <a:xfrm>
          <a:off x="163068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209863</xdr:colOff>
      <xdr:row>8</xdr:row>
      <xdr:rowOff>152400</xdr:rowOff>
    </xdr:to>
    <xdr:sp macro="" textlink="">
      <xdr:nvSpPr>
        <xdr:cNvPr id="71" name="Text Box 48"/>
        <xdr:cNvSpPr txBox="1">
          <a:spLocks noChangeArrowheads="1"/>
        </xdr:cNvSpPr>
      </xdr:nvSpPr>
      <xdr:spPr bwMode="auto">
        <a:xfrm>
          <a:off x="291655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209863</xdr:colOff>
      <xdr:row>9</xdr:row>
      <xdr:rowOff>152400</xdr:rowOff>
    </xdr:to>
    <xdr:sp macro="" textlink="">
      <xdr:nvSpPr>
        <xdr:cNvPr id="72" name="Text Box 49"/>
        <xdr:cNvSpPr txBox="1">
          <a:spLocks noChangeArrowheads="1"/>
        </xdr:cNvSpPr>
      </xdr:nvSpPr>
      <xdr:spPr bwMode="auto">
        <a:xfrm>
          <a:off x="291655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28575</xdr:rowOff>
    </xdr:from>
    <xdr:to>
      <xdr:col>40</xdr:col>
      <xdr:colOff>209863</xdr:colOff>
      <xdr:row>8</xdr:row>
      <xdr:rowOff>152400</xdr:rowOff>
    </xdr:to>
    <xdr:sp macro="" textlink="">
      <xdr:nvSpPr>
        <xdr:cNvPr id="73" name="Text Box 50"/>
        <xdr:cNvSpPr txBox="1">
          <a:spLocks noChangeArrowheads="1"/>
        </xdr:cNvSpPr>
      </xdr:nvSpPr>
      <xdr:spPr bwMode="auto">
        <a:xfrm>
          <a:off x="420243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209863</xdr:colOff>
      <xdr:row>9</xdr:row>
      <xdr:rowOff>152400</xdr:rowOff>
    </xdr:to>
    <xdr:sp macro="" textlink="">
      <xdr:nvSpPr>
        <xdr:cNvPr id="74" name="Text Box 51"/>
        <xdr:cNvSpPr txBox="1">
          <a:spLocks noChangeArrowheads="1"/>
        </xdr:cNvSpPr>
      </xdr:nvSpPr>
      <xdr:spPr bwMode="auto">
        <a:xfrm>
          <a:off x="420243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8</xdr:row>
      <xdr:rowOff>28575</xdr:rowOff>
    </xdr:from>
    <xdr:to>
      <xdr:col>44</xdr:col>
      <xdr:colOff>202243</xdr:colOff>
      <xdr:row>8</xdr:row>
      <xdr:rowOff>152400</xdr:rowOff>
    </xdr:to>
    <xdr:sp macro="" textlink="">
      <xdr:nvSpPr>
        <xdr:cNvPr id="75" name="Text Box 52"/>
        <xdr:cNvSpPr txBox="1">
          <a:spLocks noChangeArrowheads="1"/>
        </xdr:cNvSpPr>
      </xdr:nvSpPr>
      <xdr:spPr bwMode="auto">
        <a:xfrm>
          <a:off x="548830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9</xdr:row>
      <xdr:rowOff>28575</xdr:rowOff>
    </xdr:from>
    <xdr:to>
      <xdr:col>44</xdr:col>
      <xdr:colOff>202243</xdr:colOff>
      <xdr:row>9</xdr:row>
      <xdr:rowOff>152400</xdr:rowOff>
    </xdr:to>
    <xdr:sp macro="" textlink="">
      <xdr:nvSpPr>
        <xdr:cNvPr id="76" name="Text Box 53"/>
        <xdr:cNvSpPr txBox="1">
          <a:spLocks noChangeArrowheads="1"/>
        </xdr:cNvSpPr>
      </xdr:nvSpPr>
      <xdr:spPr bwMode="auto">
        <a:xfrm>
          <a:off x="548830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203638</xdr:colOff>
      <xdr:row>11</xdr:row>
      <xdr:rowOff>152400</xdr:rowOff>
    </xdr:to>
    <xdr:sp macro="" textlink="">
      <xdr:nvSpPr>
        <xdr:cNvPr id="77" name="Text Box 54"/>
        <xdr:cNvSpPr txBox="1">
          <a:spLocks noChangeArrowheads="1"/>
        </xdr:cNvSpPr>
      </xdr:nvSpPr>
      <xdr:spPr bwMode="auto">
        <a:xfrm>
          <a:off x="163068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203638</xdr:colOff>
      <xdr:row>12</xdr:row>
      <xdr:rowOff>152400</xdr:rowOff>
    </xdr:to>
    <xdr:sp macro="" textlink="">
      <xdr:nvSpPr>
        <xdr:cNvPr id="78" name="Text Box 55"/>
        <xdr:cNvSpPr txBox="1">
          <a:spLocks noChangeArrowheads="1"/>
        </xdr:cNvSpPr>
      </xdr:nvSpPr>
      <xdr:spPr bwMode="auto">
        <a:xfrm>
          <a:off x="163068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209863</xdr:colOff>
      <xdr:row>11</xdr:row>
      <xdr:rowOff>152400</xdr:rowOff>
    </xdr:to>
    <xdr:sp macro="" textlink="">
      <xdr:nvSpPr>
        <xdr:cNvPr id="79" name="Text Box 56"/>
        <xdr:cNvSpPr txBox="1">
          <a:spLocks noChangeArrowheads="1"/>
        </xdr:cNvSpPr>
      </xdr:nvSpPr>
      <xdr:spPr bwMode="auto">
        <a:xfrm>
          <a:off x="2916555"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209863</xdr:colOff>
      <xdr:row>12</xdr:row>
      <xdr:rowOff>152400</xdr:rowOff>
    </xdr:to>
    <xdr:sp macro="" textlink="">
      <xdr:nvSpPr>
        <xdr:cNvPr id="80" name="Text Box 57"/>
        <xdr:cNvSpPr txBox="1">
          <a:spLocks noChangeArrowheads="1"/>
        </xdr:cNvSpPr>
      </xdr:nvSpPr>
      <xdr:spPr bwMode="auto">
        <a:xfrm>
          <a:off x="2916555"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209863</xdr:colOff>
      <xdr:row>11</xdr:row>
      <xdr:rowOff>152400</xdr:rowOff>
    </xdr:to>
    <xdr:sp macro="" textlink="">
      <xdr:nvSpPr>
        <xdr:cNvPr id="81" name="Text Box 58"/>
        <xdr:cNvSpPr txBox="1">
          <a:spLocks noChangeArrowheads="1"/>
        </xdr:cNvSpPr>
      </xdr:nvSpPr>
      <xdr:spPr bwMode="auto">
        <a:xfrm>
          <a:off x="420243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209863</xdr:colOff>
      <xdr:row>12</xdr:row>
      <xdr:rowOff>152400</xdr:rowOff>
    </xdr:to>
    <xdr:sp macro="" textlink="">
      <xdr:nvSpPr>
        <xdr:cNvPr id="82" name="Text Box 59"/>
        <xdr:cNvSpPr txBox="1">
          <a:spLocks noChangeArrowheads="1"/>
        </xdr:cNvSpPr>
      </xdr:nvSpPr>
      <xdr:spPr bwMode="auto">
        <a:xfrm>
          <a:off x="420243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11</xdr:row>
      <xdr:rowOff>28575</xdr:rowOff>
    </xdr:from>
    <xdr:to>
      <xdr:col>44</xdr:col>
      <xdr:colOff>240343</xdr:colOff>
      <xdr:row>11</xdr:row>
      <xdr:rowOff>152400</xdr:rowOff>
    </xdr:to>
    <xdr:sp macro="" textlink="">
      <xdr:nvSpPr>
        <xdr:cNvPr id="83" name="Text Box 60"/>
        <xdr:cNvSpPr txBox="1">
          <a:spLocks noChangeArrowheads="1"/>
        </xdr:cNvSpPr>
      </xdr:nvSpPr>
      <xdr:spPr bwMode="auto">
        <a:xfrm>
          <a:off x="17444085" y="229552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12</xdr:row>
      <xdr:rowOff>28575</xdr:rowOff>
    </xdr:from>
    <xdr:to>
      <xdr:col>44</xdr:col>
      <xdr:colOff>240343</xdr:colOff>
      <xdr:row>12</xdr:row>
      <xdr:rowOff>152400</xdr:rowOff>
    </xdr:to>
    <xdr:sp macro="" textlink="">
      <xdr:nvSpPr>
        <xdr:cNvPr id="84" name="Text Box 61"/>
        <xdr:cNvSpPr txBox="1">
          <a:spLocks noChangeArrowheads="1"/>
        </xdr:cNvSpPr>
      </xdr:nvSpPr>
      <xdr:spPr bwMode="auto">
        <a:xfrm>
          <a:off x="17444085" y="246697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36195</xdr:rowOff>
    </xdr:from>
    <xdr:to>
      <xdr:col>32</xdr:col>
      <xdr:colOff>203638</xdr:colOff>
      <xdr:row>15</xdr:row>
      <xdr:rowOff>152736</xdr:rowOff>
    </xdr:to>
    <xdr:sp macro="" textlink="">
      <xdr:nvSpPr>
        <xdr:cNvPr id="85" name="Text Box 62"/>
        <xdr:cNvSpPr txBox="1">
          <a:spLocks noChangeArrowheads="1"/>
        </xdr:cNvSpPr>
      </xdr:nvSpPr>
      <xdr:spPr bwMode="auto">
        <a:xfrm>
          <a:off x="163068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203638</xdr:colOff>
      <xdr:row>16</xdr:row>
      <xdr:rowOff>152400</xdr:rowOff>
    </xdr:to>
    <xdr:sp macro="" textlink="">
      <xdr:nvSpPr>
        <xdr:cNvPr id="86" name="Text Box 63"/>
        <xdr:cNvSpPr txBox="1">
          <a:spLocks noChangeArrowheads="1"/>
        </xdr:cNvSpPr>
      </xdr:nvSpPr>
      <xdr:spPr bwMode="auto">
        <a:xfrm>
          <a:off x="163068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36195</xdr:rowOff>
    </xdr:from>
    <xdr:to>
      <xdr:col>36</xdr:col>
      <xdr:colOff>209863</xdr:colOff>
      <xdr:row>15</xdr:row>
      <xdr:rowOff>152736</xdr:rowOff>
    </xdr:to>
    <xdr:sp macro="" textlink="">
      <xdr:nvSpPr>
        <xdr:cNvPr id="87" name="Text Box 64"/>
        <xdr:cNvSpPr txBox="1">
          <a:spLocks noChangeArrowheads="1"/>
        </xdr:cNvSpPr>
      </xdr:nvSpPr>
      <xdr:spPr bwMode="auto">
        <a:xfrm>
          <a:off x="291655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209863</xdr:colOff>
      <xdr:row>16</xdr:row>
      <xdr:rowOff>152400</xdr:rowOff>
    </xdr:to>
    <xdr:sp macro="" textlink="">
      <xdr:nvSpPr>
        <xdr:cNvPr id="88" name="Text Box 65"/>
        <xdr:cNvSpPr txBox="1">
          <a:spLocks noChangeArrowheads="1"/>
        </xdr:cNvSpPr>
      </xdr:nvSpPr>
      <xdr:spPr bwMode="auto">
        <a:xfrm>
          <a:off x="291655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36195</xdr:rowOff>
    </xdr:from>
    <xdr:to>
      <xdr:col>40</xdr:col>
      <xdr:colOff>209863</xdr:colOff>
      <xdr:row>15</xdr:row>
      <xdr:rowOff>152736</xdr:rowOff>
    </xdr:to>
    <xdr:sp macro="" textlink="">
      <xdr:nvSpPr>
        <xdr:cNvPr id="89" name="Text Box 66"/>
        <xdr:cNvSpPr txBox="1">
          <a:spLocks noChangeArrowheads="1"/>
        </xdr:cNvSpPr>
      </xdr:nvSpPr>
      <xdr:spPr bwMode="auto">
        <a:xfrm>
          <a:off x="420243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209863</xdr:colOff>
      <xdr:row>16</xdr:row>
      <xdr:rowOff>152400</xdr:rowOff>
    </xdr:to>
    <xdr:sp macro="" textlink="">
      <xdr:nvSpPr>
        <xdr:cNvPr id="90" name="Text Box 67"/>
        <xdr:cNvSpPr txBox="1">
          <a:spLocks noChangeArrowheads="1"/>
        </xdr:cNvSpPr>
      </xdr:nvSpPr>
      <xdr:spPr bwMode="auto">
        <a:xfrm>
          <a:off x="420243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15</xdr:row>
      <xdr:rowOff>36195</xdr:rowOff>
    </xdr:from>
    <xdr:to>
      <xdr:col>44</xdr:col>
      <xdr:colOff>202243</xdr:colOff>
      <xdr:row>15</xdr:row>
      <xdr:rowOff>152736</xdr:rowOff>
    </xdr:to>
    <xdr:sp macro="" textlink="">
      <xdr:nvSpPr>
        <xdr:cNvPr id="91" name="Text Box 68"/>
        <xdr:cNvSpPr txBox="1">
          <a:spLocks noChangeArrowheads="1"/>
        </xdr:cNvSpPr>
      </xdr:nvSpPr>
      <xdr:spPr bwMode="auto">
        <a:xfrm>
          <a:off x="548830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16</xdr:row>
      <xdr:rowOff>28575</xdr:rowOff>
    </xdr:from>
    <xdr:to>
      <xdr:col>44</xdr:col>
      <xdr:colOff>202243</xdr:colOff>
      <xdr:row>16</xdr:row>
      <xdr:rowOff>152400</xdr:rowOff>
    </xdr:to>
    <xdr:sp macro="" textlink="">
      <xdr:nvSpPr>
        <xdr:cNvPr id="92" name="Text Box 69"/>
        <xdr:cNvSpPr txBox="1">
          <a:spLocks noChangeArrowheads="1"/>
        </xdr:cNvSpPr>
      </xdr:nvSpPr>
      <xdr:spPr bwMode="auto">
        <a:xfrm>
          <a:off x="548830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36195</xdr:rowOff>
    </xdr:from>
    <xdr:to>
      <xdr:col>32</xdr:col>
      <xdr:colOff>203638</xdr:colOff>
      <xdr:row>18</xdr:row>
      <xdr:rowOff>152736</xdr:rowOff>
    </xdr:to>
    <xdr:sp macro="" textlink="">
      <xdr:nvSpPr>
        <xdr:cNvPr id="93" name="Text Box 70"/>
        <xdr:cNvSpPr txBox="1">
          <a:spLocks noChangeArrowheads="1"/>
        </xdr:cNvSpPr>
      </xdr:nvSpPr>
      <xdr:spPr bwMode="auto">
        <a:xfrm>
          <a:off x="163068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203638</xdr:colOff>
      <xdr:row>19</xdr:row>
      <xdr:rowOff>152400</xdr:rowOff>
    </xdr:to>
    <xdr:sp macro="" textlink="">
      <xdr:nvSpPr>
        <xdr:cNvPr id="94" name="Text Box 71"/>
        <xdr:cNvSpPr txBox="1">
          <a:spLocks noChangeArrowheads="1"/>
        </xdr:cNvSpPr>
      </xdr:nvSpPr>
      <xdr:spPr bwMode="auto">
        <a:xfrm>
          <a:off x="163068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36195</xdr:rowOff>
    </xdr:from>
    <xdr:to>
      <xdr:col>36</xdr:col>
      <xdr:colOff>209863</xdr:colOff>
      <xdr:row>18</xdr:row>
      <xdr:rowOff>152736</xdr:rowOff>
    </xdr:to>
    <xdr:sp macro="" textlink="">
      <xdr:nvSpPr>
        <xdr:cNvPr id="95" name="Text Box 72"/>
        <xdr:cNvSpPr txBox="1">
          <a:spLocks noChangeArrowheads="1"/>
        </xdr:cNvSpPr>
      </xdr:nvSpPr>
      <xdr:spPr bwMode="auto">
        <a:xfrm>
          <a:off x="2916555"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209863</xdr:colOff>
      <xdr:row>19</xdr:row>
      <xdr:rowOff>152400</xdr:rowOff>
    </xdr:to>
    <xdr:sp macro="" textlink="">
      <xdr:nvSpPr>
        <xdr:cNvPr id="96" name="Text Box 73"/>
        <xdr:cNvSpPr txBox="1">
          <a:spLocks noChangeArrowheads="1"/>
        </xdr:cNvSpPr>
      </xdr:nvSpPr>
      <xdr:spPr bwMode="auto">
        <a:xfrm>
          <a:off x="2916555"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36195</xdr:rowOff>
    </xdr:from>
    <xdr:to>
      <xdr:col>40</xdr:col>
      <xdr:colOff>209863</xdr:colOff>
      <xdr:row>18</xdr:row>
      <xdr:rowOff>152736</xdr:rowOff>
    </xdr:to>
    <xdr:sp macro="" textlink="">
      <xdr:nvSpPr>
        <xdr:cNvPr id="97" name="Text Box 74"/>
        <xdr:cNvSpPr txBox="1">
          <a:spLocks noChangeArrowheads="1"/>
        </xdr:cNvSpPr>
      </xdr:nvSpPr>
      <xdr:spPr bwMode="auto">
        <a:xfrm>
          <a:off x="420243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209863</xdr:colOff>
      <xdr:row>19</xdr:row>
      <xdr:rowOff>152400</xdr:rowOff>
    </xdr:to>
    <xdr:sp macro="" textlink="">
      <xdr:nvSpPr>
        <xdr:cNvPr id="98" name="Text Box 75"/>
        <xdr:cNvSpPr txBox="1">
          <a:spLocks noChangeArrowheads="1"/>
        </xdr:cNvSpPr>
      </xdr:nvSpPr>
      <xdr:spPr bwMode="auto">
        <a:xfrm>
          <a:off x="420243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18</xdr:row>
      <xdr:rowOff>36195</xdr:rowOff>
    </xdr:from>
    <xdr:to>
      <xdr:col>44</xdr:col>
      <xdr:colOff>240343</xdr:colOff>
      <xdr:row>18</xdr:row>
      <xdr:rowOff>152736</xdr:rowOff>
    </xdr:to>
    <xdr:sp macro="" textlink="">
      <xdr:nvSpPr>
        <xdr:cNvPr id="99" name="Text Box 76"/>
        <xdr:cNvSpPr txBox="1">
          <a:spLocks noChangeArrowheads="1"/>
        </xdr:cNvSpPr>
      </xdr:nvSpPr>
      <xdr:spPr bwMode="auto">
        <a:xfrm>
          <a:off x="16072485" y="3931920"/>
          <a:ext cx="198433"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19</xdr:row>
      <xdr:rowOff>28575</xdr:rowOff>
    </xdr:from>
    <xdr:to>
      <xdr:col>44</xdr:col>
      <xdr:colOff>240343</xdr:colOff>
      <xdr:row>19</xdr:row>
      <xdr:rowOff>152400</xdr:rowOff>
    </xdr:to>
    <xdr:sp macro="" textlink="">
      <xdr:nvSpPr>
        <xdr:cNvPr id="100" name="Text Box 77"/>
        <xdr:cNvSpPr txBox="1">
          <a:spLocks noChangeArrowheads="1"/>
        </xdr:cNvSpPr>
      </xdr:nvSpPr>
      <xdr:spPr bwMode="auto">
        <a:xfrm>
          <a:off x="16072485" y="4095750"/>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23</xdr:row>
      <xdr:rowOff>28575</xdr:rowOff>
    </xdr:from>
    <xdr:to>
      <xdr:col>32</xdr:col>
      <xdr:colOff>203638</xdr:colOff>
      <xdr:row>23</xdr:row>
      <xdr:rowOff>152400</xdr:rowOff>
    </xdr:to>
    <xdr:sp macro="" textlink="">
      <xdr:nvSpPr>
        <xdr:cNvPr id="101" name="Text Box 78"/>
        <xdr:cNvSpPr txBox="1">
          <a:spLocks noChangeArrowheads="1"/>
        </xdr:cNvSpPr>
      </xdr:nvSpPr>
      <xdr:spPr bwMode="auto">
        <a:xfrm>
          <a:off x="163068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24</xdr:row>
      <xdr:rowOff>28575</xdr:rowOff>
    </xdr:from>
    <xdr:to>
      <xdr:col>32</xdr:col>
      <xdr:colOff>203638</xdr:colOff>
      <xdr:row>24</xdr:row>
      <xdr:rowOff>152400</xdr:rowOff>
    </xdr:to>
    <xdr:sp macro="" textlink="">
      <xdr:nvSpPr>
        <xdr:cNvPr id="102" name="Text Box 79"/>
        <xdr:cNvSpPr txBox="1">
          <a:spLocks noChangeArrowheads="1"/>
        </xdr:cNvSpPr>
      </xdr:nvSpPr>
      <xdr:spPr bwMode="auto">
        <a:xfrm>
          <a:off x="163068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23</xdr:row>
      <xdr:rowOff>28575</xdr:rowOff>
    </xdr:from>
    <xdr:to>
      <xdr:col>36</xdr:col>
      <xdr:colOff>209863</xdr:colOff>
      <xdr:row>23</xdr:row>
      <xdr:rowOff>152400</xdr:rowOff>
    </xdr:to>
    <xdr:sp macro="" textlink="">
      <xdr:nvSpPr>
        <xdr:cNvPr id="103" name="Text Box 80"/>
        <xdr:cNvSpPr txBox="1">
          <a:spLocks noChangeArrowheads="1"/>
        </xdr:cNvSpPr>
      </xdr:nvSpPr>
      <xdr:spPr bwMode="auto">
        <a:xfrm>
          <a:off x="291655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24</xdr:row>
      <xdr:rowOff>28575</xdr:rowOff>
    </xdr:from>
    <xdr:to>
      <xdr:col>36</xdr:col>
      <xdr:colOff>209863</xdr:colOff>
      <xdr:row>24</xdr:row>
      <xdr:rowOff>152400</xdr:rowOff>
    </xdr:to>
    <xdr:sp macro="" textlink="">
      <xdr:nvSpPr>
        <xdr:cNvPr id="104" name="Text Box 81"/>
        <xdr:cNvSpPr txBox="1">
          <a:spLocks noChangeArrowheads="1"/>
        </xdr:cNvSpPr>
      </xdr:nvSpPr>
      <xdr:spPr bwMode="auto">
        <a:xfrm>
          <a:off x="291655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23</xdr:row>
      <xdr:rowOff>28575</xdr:rowOff>
    </xdr:from>
    <xdr:to>
      <xdr:col>40</xdr:col>
      <xdr:colOff>209863</xdr:colOff>
      <xdr:row>23</xdr:row>
      <xdr:rowOff>152400</xdr:rowOff>
    </xdr:to>
    <xdr:sp macro="" textlink="">
      <xdr:nvSpPr>
        <xdr:cNvPr id="105" name="Text Box 82"/>
        <xdr:cNvSpPr txBox="1">
          <a:spLocks noChangeArrowheads="1"/>
        </xdr:cNvSpPr>
      </xdr:nvSpPr>
      <xdr:spPr bwMode="auto">
        <a:xfrm>
          <a:off x="420243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24</xdr:row>
      <xdr:rowOff>28575</xdr:rowOff>
    </xdr:from>
    <xdr:to>
      <xdr:col>40</xdr:col>
      <xdr:colOff>209863</xdr:colOff>
      <xdr:row>24</xdr:row>
      <xdr:rowOff>152400</xdr:rowOff>
    </xdr:to>
    <xdr:sp macro="" textlink="">
      <xdr:nvSpPr>
        <xdr:cNvPr id="106" name="Text Box 83"/>
        <xdr:cNvSpPr txBox="1">
          <a:spLocks noChangeArrowheads="1"/>
        </xdr:cNvSpPr>
      </xdr:nvSpPr>
      <xdr:spPr bwMode="auto">
        <a:xfrm>
          <a:off x="420243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23</xdr:row>
      <xdr:rowOff>28575</xdr:rowOff>
    </xdr:from>
    <xdr:to>
      <xdr:col>44</xdr:col>
      <xdr:colOff>202243</xdr:colOff>
      <xdr:row>23</xdr:row>
      <xdr:rowOff>152400</xdr:rowOff>
    </xdr:to>
    <xdr:sp macro="" textlink="">
      <xdr:nvSpPr>
        <xdr:cNvPr id="107" name="Text Box 84"/>
        <xdr:cNvSpPr txBox="1">
          <a:spLocks noChangeArrowheads="1"/>
        </xdr:cNvSpPr>
      </xdr:nvSpPr>
      <xdr:spPr bwMode="auto">
        <a:xfrm>
          <a:off x="548830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24</xdr:row>
      <xdr:rowOff>28575</xdr:rowOff>
    </xdr:from>
    <xdr:to>
      <xdr:col>44</xdr:col>
      <xdr:colOff>202243</xdr:colOff>
      <xdr:row>24</xdr:row>
      <xdr:rowOff>152400</xdr:rowOff>
    </xdr:to>
    <xdr:sp macro="" textlink="">
      <xdr:nvSpPr>
        <xdr:cNvPr id="108" name="Text Box 85"/>
        <xdr:cNvSpPr txBox="1">
          <a:spLocks noChangeArrowheads="1"/>
        </xdr:cNvSpPr>
      </xdr:nvSpPr>
      <xdr:spPr bwMode="auto">
        <a:xfrm>
          <a:off x="548830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26</xdr:row>
      <xdr:rowOff>36195</xdr:rowOff>
    </xdr:from>
    <xdr:to>
      <xdr:col>32</xdr:col>
      <xdr:colOff>203638</xdr:colOff>
      <xdr:row>26</xdr:row>
      <xdr:rowOff>152736</xdr:rowOff>
    </xdr:to>
    <xdr:sp macro="" textlink="">
      <xdr:nvSpPr>
        <xdr:cNvPr id="109" name="Text Box 86"/>
        <xdr:cNvSpPr txBox="1">
          <a:spLocks noChangeArrowheads="1"/>
        </xdr:cNvSpPr>
      </xdr:nvSpPr>
      <xdr:spPr bwMode="auto">
        <a:xfrm>
          <a:off x="163068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27</xdr:row>
      <xdr:rowOff>28575</xdr:rowOff>
    </xdr:from>
    <xdr:to>
      <xdr:col>32</xdr:col>
      <xdr:colOff>203638</xdr:colOff>
      <xdr:row>27</xdr:row>
      <xdr:rowOff>152400</xdr:rowOff>
    </xdr:to>
    <xdr:sp macro="" textlink="">
      <xdr:nvSpPr>
        <xdr:cNvPr id="110" name="Text Box 87"/>
        <xdr:cNvSpPr txBox="1">
          <a:spLocks noChangeArrowheads="1"/>
        </xdr:cNvSpPr>
      </xdr:nvSpPr>
      <xdr:spPr bwMode="auto">
        <a:xfrm>
          <a:off x="163068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26</xdr:row>
      <xdr:rowOff>36195</xdr:rowOff>
    </xdr:from>
    <xdr:to>
      <xdr:col>36</xdr:col>
      <xdr:colOff>209863</xdr:colOff>
      <xdr:row>26</xdr:row>
      <xdr:rowOff>152736</xdr:rowOff>
    </xdr:to>
    <xdr:sp macro="" textlink="">
      <xdr:nvSpPr>
        <xdr:cNvPr id="111" name="Text Box 88"/>
        <xdr:cNvSpPr txBox="1">
          <a:spLocks noChangeArrowheads="1"/>
        </xdr:cNvSpPr>
      </xdr:nvSpPr>
      <xdr:spPr bwMode="auto">
        <a:xfrm>
          <a:off x="291655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27</xdr:row>
      <xdr:rowOff>28575</xdr:rowOff>
    </xdr:from>
    <xdr:to>
      <xdr:col>36</xdr:col>
      <xdr:colOff>209863</xdr:colOff>
      <xdr:row>27</xdr:row>
      <xdr:rowOff>152400</xdr:rowOff>
    </xdr:to>
    <xdr:sp macro="" textlink="">
      <xdr:nvSpPr>
        <xdr:cNvPr id="112" name="Text Box 89"/>
        <xdr:cNvSpPr txBox="1">
          <a:spLocks noChangeArrowheads="1"/>
        </xdr:cNvSpPr>
      </xdr:nvSpPr>
      <xdr:spPr bwMode="auto">
        <a:xfrm>
          <a:off x="291655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26</xdr:row>
      <xdr:rowOff>36195</xdr:rowOff>
    </xdr:from>
    <xdr:to>
      <xdr:col>40</xdr:col>
      <xdr:colOff>209863</xdr:colOff>
      <xdr:row>26</xdr:row>
      <xdr:rowOff>152736</xdr:rowOff>
    </xdr:to>
    <xdr:sp macro="" textlink="">
      <xdr:nvSpPr>
        <xdr:cNvPr id="113" name="Text Box 90"/>
        <xdr:cNvSpPr txBox="1">
          <a:spLocks noChangeArrowheads="1"/>
        </xdr:cNvSpPr>
      </xdr:nvSpPr>
      <xdr:spPr bwMode="auto">
        <a:xfrm>
          <a:off x="420243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27</xdr:row>
      <xdr:rowOff>28575</xdr:rowOff>
    </xdr:from>
    <xdr:to>
      <xdr:col>40</xdr:col>
      <xdr:colOff>209863</xdr:colOff>
      <xdr:row>27</xdr:row>
      <xdr:rowOff>152400</xdr:rowOff>
    </xdr:to>
    <xdr:sp macro="" textlink="">
      <xdr:nvSpPr>
        <xdr:cNvPr id="114" name="Text Box 91"/>
        <xdr:cNvSpPr txBox="1">
          <a:spLocks noChangeArrowheads="1"/>
        </xdr:cNvSpPr>
      </xdr:nvSpPr>
      <xdr:spPr bwMode="auto">
        <a:xfrm>
          <a:off x="420243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26</xdr:row>
      <xdr:rowOff>36195</xdr:rowOff>
    </xdr:from>
    <xdr:to>
      <xdr:col>44</xdr:col>
      <xdr:colOff>202243</xdr:colOff>
      <xdr:row>26</xdr:row>
      <xdr:rowOff>152736</xdr:rowOff>
    </xdr:to>
    <xdr:sp macro="" textlink="">
      <xdr:nvSpPr>
        <xdr:cNvPr id="115" name="Text Box 92"/>
        <xdr:cNvSpPr txBox="1">
          <a:spLocks noChangeArrowheads="1"/>
        </xdr:cNvSpPr>
      </xdr:nvSpPr>
      <xdr:spPr bwMode="auto">
        <a:xfrm>
          <a:off x="548830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27</xdr:row>
      <xdr:rowOff>28575</xdr:rowOff>
    </xdr:from>
    <xdr:to>
      <xdr:col>44</xdr:col>
      <xdr:colOff>202243</xdr:colOff>
      <xdr:row>27</xdr:row>
      <xdr:rowOff>152400</xdr:rowOff>
    </xdr:to>
    <xdr:sp macro="" textlink="">
      <xdr:nvSpPr>
        <xdr:cNvPr id="116" name="Text Box 93"/>
        <xdr:cNvSpPr txBox="1">
          <a:spLocks noChangeArrowheads="1"/>
        </xdr:cNvSpPr>
      </xdr:nvSpPr>
      <xdr:spPr bwMode="auto">
        <a:xfrm>
          <a:off x="548830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30</xdr:row>
      <xdr:rowOff>28575</xdr:rowOff>
    </xdr:from>
    <xdr:to>
      <xdr:col>32</xdr:col>
      <xdr:colOff>203638</xdr:colOff>
      <xdr:row>30</xdr:row>
      <xdr:rowOff>152400</xdr:rowOff>
    </xdr:to>
    <xdr:sp macro="" textlink="">
      <xdr:nvSpPr>
        <xdr:cNvPr id="117" name="Text Box 94"/>
        <xdr:cNvSpPr txBox="1">
          <a:spLocks noChangeArrowheads="1"/>
        </xdr:cNvSpPr>
      </xdr:nvSpPr>
      <xdr:spPr bwMode="auto">
        <a:xfrm>
          <a:off x="163068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31</xdr:row>
      <xdr:rowOff>28575</xdr:rowOff>
    </xdr:from>
    <xdr:to>
      <xdr:col>32</xdr:col>
      <xdr:colOff>203638</xdr:colOff>
      <xdr:row>31</xdr:row>
      <xdr:rowOff>152400</xdr:rowOff>
    </xdr:to>
    <xdr:sp macro="" textlink="">
      <xdr:nvSpPr>
        <xdr:cNvPr id="118" name="Text Box 95"/>
        <xdr:cNvSpPr txBox="1">
          <a:spLocks noChangeArrowheads="1"/>
        </xdr:cNvSpPr>
      </xdr:nvSpPr>
      <xdr:spPr bwMode="auto">
        <a:xfrm>
          <a:off x="163068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30</xdr:row>
      <xdr:rowOff>28575</xdr:rowOff>
    </xdr:from>
    <xdr:to>
      <xdr:col>36</xdr:col>
      <xdr:colOff>209863</xdr:colOff>
      <xdr:row>30</xdr:row>
      <xdr:rowOff>152400</xdr:rowOff>
    </xdr:to>
    <xdr:sp macro="" textlink="">
      <xdr:nvSpPr>
        <xdr:cNvPr id="119" name="Text Box 96"/>
        <xdr:cNvSpPr txBox="1">
          <a:spLocks noChangeArrowheads="1"/>
        </xdr:cNvSpPr>
      </xdr:nvSpPr>
      <xdr:spPr bwMode="auto">
        <a:xfrm>
          <a:off x="291655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31</xdr:row>
      <xdr:rowOff>28575</xdr:rowOff>
    </xdr:from>
    <xdr:to>
      <xdr:col>36</xdr:col>
      <xdr:colOff>209863</xdr:colOff>
      <xdr:row>31</xdr:row>
      <xdr:rowOff>152400</xdr:rowOff>
    </xdr:to>
    <xdr:sp macro="" textlink="">
      <xdr:nvSpPr>
        <xdr:cNvPr id="120" name="Text Box 97"/>
        <xdr:cNvSpPr txBox="1">
          <a:spLocks noChangeArrowheads="1"/>
        </xdr:cNvSpPr>
      </xdr:nvSpPr>
      <xdr:spPr bwMode="auto">
        <a:xfrm>
          <a:off x="291655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30</xdr:row>
      <xdr:rowOff>28575</xdr:rowOff>
    </xdr:from>
    <xdr:to>
      <xdr:col>40</xdr:col>
      <xdr:colOff>209863</xdr:colOff>
      <xdr:row>30</xdr:row>
      <xdr:rowOff>152400</xdr:rowOff>
    </xdr:to>
    <xdr:sp macro="" textlink="">
      <xdr:nvSpPr>
        <xdr:cNvPr id="121" name="Text Box 98"/>
        <xdr:cNvSpPr txBox="1">
          <a:spLocks noChangeArrowheads="1"/>
        </xdr:cNvSpPr>
      </xdr:nvSpPr>
      <xdr:spPr bwMode="auto">
        <a:xfrm>
          <a:off x="420243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31</xdr:row>
      <xdr:rowOff>28575</xdr:rowOff>
    </xdr:from>
    <xdr:to>
      <xdr:col>40</xdr:col>
      <xdr:colOff>209863</xdr:colOff>
      <xdr:row>31</xdr:row>
      <xdr:rowOff>152400</xdr:rowOff>
    </xdr:to>
    <xdr:sp macro="" textlink="">
      <xdr:nvSpPr>
        <xdr:cNvPr id="122" name="Text Box 99"/>
        <xdr:cNvSpPr txBox="1">
          <a:spLocks noChangeArrowheads="1"/>
        </xdr:cNvSpPr>
      </xdr:nvSpPr>
      <xdr:spPr bwMode="auto">
        <a:xfrm>
          <a:off x="420243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30</xdr:row>
      <xdr:rowOff>28575</xdr:rowOff>
    </xdr:from>
    <xdr:to>
      <xdr:col>44</xdr:col>
      <xdr:colOff>202243</xdr:colOff>
      <xdr:row>30</xdr:row>
      <xdr:rowOff>152400</xdr:rowOff>
    </xdr:to>
    <xdr:sp macro="" textlink="">
      <xdr:nvSpPr>
        <xdr:cNvPr id="123" name="Text Box 100"/>
        <xdr:cNvSpPr txBox="1">
          <a:spLocks noChangeArrowheads="1"/>
        </xdr:cNvSpPr>
      </xdr:nvSpPr>
      <xdr:spPr bwMode="auto">
        <a:xfrm>
          <a:off x="548830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31</xdr:row>
      <xdr:rowOff>28575</xdr:rowOff>
    </xdr:from>
    <xdr:to>
      <xdr:col>44</xdr:col>
      <xdr:colOff>202243</xdr:colOff>
      <xdr:row>31</xdr:row>
      <xdr:rowOff>152400</xdr:rowOff>
    </xdr:to>
    <xdr:sp macro="" textlink="">
      <xdr:nvSpPr>
        <xdr:cNvPr id="124" name="Text Box 101"/>
        <xdr:cNvSpPr txBox="1">
          <a:spLocks noChangeArrowheads="1"/>
        </xdr:cNvSpPr>
      </xdr:nvSpPr>
      <xdr:spPr bwMode="auto">
        <a:xfrm>
          <a:off x="548830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33</xdr:row>
      <xdr:rowOff>36195</xdr:rowOff>
    </xdr:from>
    <xdr:to>
      <xdr:col>32</xdr:col>
      <xdr:colOff>203638</xdr:colOff>
      <xdr:row>33</xdr:row>
      <xdr:rowOff>152736</xdr:rowOff>
    </xdr:to>
    <xdr:sp macro="" textlink="">
      <xdr:nvSpPr>
        <xdr:cNvPr id="125" name="Text Box 102"/>
        <xdr:cNvSpPr txBox="1">
          <a:spLocks noChangeArrowheads="1"/>
        </xdr:cNvSpPr>
      </xdr:nvSpPr>
      <xdr:spPr bwMode="auto">
        <a:xfrm>
          <a:off x="163068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34</xdr:row>
      <xdr:rowOff>28575</xdr:rowOff>
    </xdr:from>
    <xdr:to>
      <xdr:col>32</xdr:col>
      <xdr:colOff>203638</xdr:colOff>
      <xdr:row>34</xdr:row>
      <xdr:rowOff>152400</xdr:rowOff>
    </xdr:to>
    <xdr:sp macro="" textlink="">
      <xdr:nvSpPr>
        <xdr:cNvPr id="126" name="Text Box 103"/>
        <xdr:cNvSpPr txBox="1">
          <a:spLocks noChangeArrowheads="1"/>
        </xdr:cNvSpPr>
      </xdr:nvSpPr>
      <xdr:spPr bwMode="auto">
        <a:xfrm>
          <a:off x="163068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33</xdr:row>
      <xdr:rowOff>36195</xdr:rowOff>
    </xdr:from>
    <xdr:to>
      <xdr:col>36</xdr:col>
      <xdr:colOff>209863</xdr:colOff>
      <xdr:row>33</xdr:row>
      <xdr:rowOff>152736</xdr:rowOff>
    </xdr:to>
    <xdr:sp macro="" textlink="">
      <xdr:nvSpPr>
        <xdr:cNvPr id="127" name="Text Box 104"/>
        <xdr:cNvSpPr txBox="1">
          <a:spLocks noChangeArrowheads="1"/>
        </xdr:cNvSpPr>
      </xdr:nvSpPr>
      <xdr:spPr bwMode="auto">
        <a:xfrm>
          <a:off x="291655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34</xdr:row>
      <xdr:rowOff>28575</xdr:rowOff>
    </xdr:from>
    <xdr:to>
      <xdr:col>36</xdr:col>
      <xdr:colOff>209863</xdr:colOff>
      <xdr:row>34</xdr:row>
      <xdr:rowOff>152400</xdr:rowOff>
    </xdr:to>
    <xdr:sp macro="" textlink="">
      <xdr:nvSpPr>
        <xdr:cNvPr id="128" name="Text Box 105"/>
        <xdr:cNvSpPr txBox="1">
          <a:spLocks noChangeArrowheads="1"/>
        </xdr:cNvSpPr>
      </xdr:nvSpPr>
      <xdr:spPr bwMode="auto">
        <a:xfrm>
          <a:off x="291655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33</xdr:row>
      <xdr:rowOff>36195</xdr:rowOff>
    </xdr:from>
    <xdr:to>
      <xdr:col>40</xdr:col>
      <xdr:colOff>209863</xdr:colOff>
      <xdr:row>33</xdr:row>
      <xdr:rowOff>152736</xdr:rowOff>
    </xdr:to>
    <xdr:sp macro="" textlink="">
      <xdr:nvSpPr>
        <xdr:cNvPr id="129" name="Text Box 106"/>
        <xdr:cNvSpPr txBox="1">
          <a:spLocks noChangeArrowheads="1"/>
        </xdr:cNvSpPr>
      </xdr:nvSpPr>
      <xdr:spPr bwMode="auto">
        <a:xfrm>
          <a:off x="420243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34</xdr:row>
      <xdr:rowOff>28575</xdr:rowOff>
    </xdr:from>
    <xdr:to>
      <xdr:col>40</xdr:col>
      <xdr:colOff>209863</xdr:colOff>
      <xdr:row>34</xdr:row>
      <xdr:rowOff>152400</xdr:rowOff>
    </xdr:to>
    <xdr:sp macro="" textlink="">
      <xdr:nvSpPr>
        <xdr:cNvPr id="130" name="Text Box 107"/>
        <xdr:cNvSpPr txBox="1">
          <a:spLocks noChangeArrowheads="1"/>
        </xdr:cNvSpPr>
      </xdr:nvSpPr>
      <xdr:spPr bwMode="auto">
        <a:xfrm>
          <a:off x="420243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33</xdr:row>
      <xdr:rowOff>36195</xdr:rowOff>
    </xdr:from>
    <xdr:to>
      <xdr:col>44</xdr:col>
      <xdr:colOff>202243</xdr:colOff>
      <xdr:row>33</xdr:row>
      <xdr:rowOff>152736</xdr:rowOff>
    </xdr:to>
    <xdr:sp macro="" textlink="">
      <xdr:nvSpPr>
        <xdr:cNvPr id="131" name="Text Box 108"/>
        <xdr:cNvSpPr txBox="1">
          <a:spLocks noChangeArrowheads="1"/>
        </xdr:cNvSpPr>
      </xdr:nvSpPr>
      <xdr:spPr bwMode="auto">
        <a:xfrm>
          <a:off x="548830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34</xdr:row>
      <xdr:rowOff>28575</xdr:rowOff>
    </xdr:from>
    <xdr:to>
      <xdr:col>44</xdr:col>
      <xdr:colOff>202243</xdr:colOff>
      <xdr:row>34</xdr:row>
      <xdr:rowOff>152400</xdr:rowOff>
    </xdr:to>
    <xdr:sp macro="" textlink="">
      <xdr:nvSpPr>
        <xdr:cNvPr id="132" name="Text Box 109"/>
        <xdr:cNvSpPr txBox="1">
          <a:spLocks noChangeArrowheads="1"/>
        </xdr:cNvSpPr>
      </xdr:nvSpPr>
      <xdr:spPr bwMode="auto">
        <a:xfrm>
          <a:off x="548830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26</xdr:col>
      <xdr:colOff>80682</xdr:colOff>
      <xdr:row>0</xdr:row>
      <xdr:rowOff>0</xdr:rowOff>
    </xdr:from>
    <xdr:ext cx="3209365" cy="295275"/>
    <xdr:sp macro="" textlink="">
      <xdr:nvSpPr>
        <xdr:cNvPr id="133" name="正方形/長方形 132"/>
        <xdr:cNvSpPr/>
      </xdr:nvSpPr>
      <xdr:spPr>
        <a:xfrm>
          <a:off x="9314329" y="0"/>
          <a:ext cx="3209365"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19050</xdr:colOff>
      <xdr:row>14</xdr:row>
      <xdr:rowOff>9524</xdr:rowOff>
    </xdr:from>
    <xdr:to>
      <xdr:col>44</xdr:col>
      <xdr:colOff>9526</xdr:colOff>
      <xdr:row>16</xdr:row>
      <xdr:rowOff>161925</xdr:rowOff>
    </xdr:to>
    <xdr:sp macro="" textlink="">
      <xdr:nvSpPr>
        <xdr:cNvPr id="149" name="角丸四角形 148"/>
        <xdr:cNvSpPr/>
      </xdr:nvSpPr>
      <xdr:spPr>
        <a:xfrm>
          <a:off x="14849475" y="2952749"/>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7</xdr:row>
      <xdr:rowOff>9524</xdr:rowOff>
    </xdr:from>
    <xdr:to>
      <xdr:col>44</xdr:col>
      <xdr:colOff>9526</xdr:colOff>
      <xdr:row>9</xdr:row>
      <xdr:rowOff>161925</xdr:rowOff>
    </xdr:to>
    <xdr:sp macro="" textlink="">
      <xdr:nvSpPr>
        <xdr:cNvPr id="151" name="角丸四角形 150"/>
        <xdr:cNvSpPr/>
      </xdr:nvSpPr>
      <xdr:spPr>
        <a:xfrm>
          <a:off x="14849475" y="1323974"/>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66675</xdr:colOff>
      <xdr:row>10</xdr:row>
      <xdr:rowOff>123825</xdr:rowOff>
    </xdr:from>
    <xdr:ext cx="2162175" cy="951543"/>
    <xdr:sp macro="" textlink="">
      <xdr:nvSpPr>
        <xdr:cNvPr id="150" name="正方形/長方形 149"/>
        <xdr:cNvSpPr/>
      </xdr:nvSpPr>
      <xdr:spPr>
        <a:xfrm>
          <a:off x="7145655" y="2082165"/>
          <a:ext cx="216217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121920</xdr:colOff>
          <xdr:row>10</xdr:row>
          <xdr:rowOff>60960</xdr:rowOff>
        </xdr:from>
        <xdr:to>
          <xdr:col>22</xdr:col>
          <xdr:colOff>502920</xdr:colOff>
          <xdr:row>11</xdr:row>
          <xdr:rowOff>99060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41413</xdr:colOff>
      <xdr:row>20</xdr:row>
      <xdr:rowOff>546734</xdr:rowOff>
    </xdr:from>
    <xdr:ext cx="2206487" cy="1967866"/>
    <xdr:sp macro="" textlink="">
      <xdr:nvSpPr>
        <xdr:cNvPr id="166" name="四角形吹き出し 165"/>
        <xdr:cNvSpPr/>
      </xdr:nvSpPr>
      <xdr:spPr>
        <a:xfrm>
          <a:off x="7370060" y="4760146"/>
          <a:ext cx="2206487" cy="1967866"/>
        </a:xfrm>
        <a:prstGeom prst="wedgeRectCallout">
          <a:avLst>
            <a:gd name="adj1" fmla="val -66561"/>
            <a:gd name="adj2" fmla="val -28439"/>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r>
            <a:rPr lang="ja-JP" altLang="en-US" sz="800" b="1">
              <a:solidFill>
                <a:schemeClr val="tx1"/>
              </a:solidFill>
              <a:effectLst/>
              <a:latin typeface="+mn-ea"/>
              <a:ea typeface="+mn-ea"/>
              <a:cs typeface="+mn-cs"/>
            </a:rPr>
            <a:t> </a:t>
          </a:r>
          <a:endParaRPr lang="ja-JP" altLang="ja-JP" sz="800" b="1">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76200</xdr:colOff>
          <xdr:row>20</xdr:row>
          <xdr:rowOff>487680</xdr:rowOff>
        </xdr:from>
        <xdr:to>
          <xdr:col>22</xdr:col>
          <xdr:colOff>457200</xdr:colOff>
          <xdr:row>20</xdr:row>
          <xdr:rowOff>830580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67234</xdr:colOff>
      <xdr:row>2</xdr:row>
      <xdr:rowOff>22860</xdr:rowOff>
    </xdr:from>
    <xdr:ext cx="2152091" cy="1702846"/>
    <xdr:sp macro="" textlink="">
      <xdr:nvSpPr>
        <xdr:cNvPr id="171" name="正方形/長方形 170"/>
        <xdr:cNvSpPr/>
      </xdr:nvSpPr>
      <xdr:spPr>
        <a:xfrm>
          <a:off x="7146214" y="335280"/>
          <a:ext cx="2152091" cy="170284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2</xdr:row>
          <xdr:rowOff>7620</xdr:rowOff>
        </xdr:from>
        <xdr:to>
          <xdr:col>22</xdr:col>
          <xdr:colOff>441960</xdr:colOff>
          <xdr:row>3</xdr:row>
          <xdr:rowOff>22860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409575</xdr:colOff>
      <xdr:row>10</xdr:row>
      <xdr:rowOff>19050</xdr:rowOff>
    </xdr:from>
    <xdr:to>
      <xdr:col>44</xdr:col>
      <xdr:colOff>0</xdr:colOff>
      <xdr:row>12</xdr:row>
      <xdr:rowOff>152400</xdr:rowOff>
    </xdr:to>
    <xdr:sp macro="" textlink="">
      <xdr:nvSpPr>
        <xdr:cNvPr id="173" name="角丸四角形 172"/>
        <xdr:cNvSpPr/>
      </xdr:nvSpPr>
      <xdr:spPr>
        <a:xfrm>
          <a:off x="14725650" y="1981200"/>
          <a:ext cx="1304925" cy="6096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480059</xdr:colOff>
      <xdr:row>7</xdr:row>
      <xdr:rowOff>9525</xdr:rowOff>
    </xdr:from>
    <xdr:to>
      <xdr:col>35</xdr:col>
      <xdr:colOff>386714</xdr:colOff>
      <xdr:row>10</xdr:row>
      <xdr:rowOff>9525</xdr:rowOff>
    </xdr:to>
    <xdr:sp macro="" textlink="">
      <xdr:nvSpPr>
        <xdr:cNvPr id="175" name="角丸四角形 174"/>
        <xdr:cNvSpPr/>
      </xdr:nvSpPr>
      <xdr:spPr>
        <a:xfrm>
          <a:off x="11391899" y="1312545"/>
          <a:ext cx="1171575" cy="65532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30480</xdr:rowOff>
    </xdr:from>
    <xdr:to>
      <xdr:col>43</xdr:col>
      <xdr:colOff>386715</xdr:colOff>
      <xdr:row>13</xdr:row>
      <xdr:rowOff>297180</xdr:rowOff>
    </xdr:to>
    <xdr:sp macro="" textlink="">
      <xdr:nvSpPr>
        <xdr:cNvPr id="178" name="角丸四角形 177"/>
        <xdr:cNvSpPr/>
      </xdr:nvSpPr>
      <xdr:spPr>
        <a:xfrm>
          <a:off x="10351770" y="2644140"/>
          <a:ext cx="4330065" cy="2667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297180</xdr:colOff>
      <xdr:row>2</xdr:row>
      <xdr:rowOff>28575</xdr:rowOff>
    </xdr:from>
    <xdr:to>
      <xdr:col>35</xdr:col>
      <xdr:colOff>384810</xdr:colOff>
      <xdr:row>3</xdr:row>
      <xdr:rowOff>30480</xdr:rowOff>
    </xdr:to>
    <xdr:sp macro="" textlink="">
      <xdr:nvSpPr>
        <xdr:cNvPr id="179" name="角丸四角形 178"/>
        <xdr:cNvSpPr/>
      </xdr:nvSpPr>
      <xdr:spPr>
        <a:xfrm>
          <a:off x="10530840" y="340995"/>
          <a:ext cx="2030730" cy="238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390525</xdr:colOff>
      <xdr:row>22</xdr:row>
      <xdr:rowOff>43702</xdr:rowOff>
    </xdr:from>
    <xdr:ext cx="1809750" cy="1558739"/>
    <xdr:sp macro="" textlink="">
      <xdr:nvSpPr>
        <xdr:cNvPr id="180" name="四角形吹き出し 179"/>
        <xdr:cNvSpPr/>
      </xdr:nvSpPr>
      <xdr:spPr>
        <a:xfrm>
          <a:off x="7185772" y="7502337"/>
          <a:ext cx="1809750" cy="1558739"/>
        </a:xfrm>
        <a:prstGeom prst="wedgeRectCallout">
          <a:avLst>
            <a:gd name="adj1" fmla="val -59862"/>
            <a:gd name="adj2" fmla="val -26651"/>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u="none">
              <a:solidFill>
                <a:schemeClr val="tx1"/>
              </a:solidFill>
              <a:effectLst/>
              <a:latin typeface="+mn-ea"/>
              <a:ea typeface="+mn-ea"/>
              <a:cs typeface="+mn-cs"/>
            </a:rPr>
            <a:t>してく</a:t>
          </a:r>
          <a:r>
            <a:rPr kumimoji="0" lang="ja-JP" altLang="en-US" sz="1100" b="0">
              <a:solidFill>
                <a:schemeClr val="tx1"/>
              </a:solidFill>
              <a:effectLst/>
              <a:latin typeface="+mn-ea"/>
              <a:ea typeface="+mn-ea"/>
              <a:cs typeface="+mn-cs"/>
            </a:rPr>
            <a:t>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449580</xdr:colOff>
          <xdr:row>22</xdr:row>
          <xdr:rowOff>22860</xdr:rowOff>
        </xdr:from>
        <xdr:to>
          <xdr:col>22</xdr:col>
          <xdr:colOff>762000</xdr:colOff>
          <xdr:row>23</xdr:row>
          <xdr:rowOff>38100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38099</xdr:colOff>
      <xdr:row>22</xdr:row>
      <xdr:rowOff>19050</xdr:rowOff>
    </xdr:from>
    <xdr:to>
      <xdr:col>22</xdr:col>
      <xdr:colOff>215152</xdr:colOff>
      <xdr:row>34</xdr:row>
      <xdr:rowOff>133350</xdr:rowOff>
    </xdr:to>
    <xdr:sp macro="" textlink="">
      <xdr:nvSpPr>
        <xdr:cNvPr id="4" name="右中かっこ 3"/>
        <xdr:cNvSpPr/>
      </xdr:nvSpPr>
      <xdr:spPr>
        <a:xfrm>
          <a:off x="6833346" y="7477685"/>
          <a:ext cx="177053" cy="2669241"/>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57149</xdr:colOff>
      <xdr:row>20</xdr:row>
      <xdr:rowOff>66674</xdr:rowOff>
    </xdr:from>
    <xdr:to>
      <xdr:col>21</xdr:col>
      <xdr:colOff>268941</xdr:colOff>
      <xdr:row>20</xdr:row>
      <xdr:rowOff>3086099</xdr:rowOff>
    </xdr:to>
    <xdr:sp macro="" textlink="">
      <xdr:nvSpPr>
        <xdr:cNvPr id="186" name="右中かっこ 185"/>
        <xdr:cNvSpPr/>
      </xdr:nvSpPr>
      <xdr:spPr>
        <a:xfrm>
          <a:off x="6224867" y="4342839"/>
          <a:ext cx="211792" cy="3019425"/>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6" name="フリーフォーム 5"/>
        <xdr:cNvSpPr/>
      </xdr:nvSpPr>
      <xdr:spPr>
        <a:xfrm>
          <a:off x="9553575" y="1962150"/>
          <a:ext cx="4286250"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7" name="フリーフォーム 6"/>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371475</xdr:colOff>
      <xdr:row>17</xdr:row>
      <xdr:rowOff>0</xdr:rowOff>
    </xdr:from>
    <xdr:to>
      <xdr:col>44</xdr:col>
      <xdr:colOff>371475</xdr:colOff>
      <xdr:row>20</xdr:row>
      <xdr:rowOff>66675</xdr:rowOff>
    </xdr:to>
    <xdr:sp macro="" textlink="">
      <xdr:nvSpPr>
        <xdr:cNvPr id="10" name="フリーフォーム 9"/>
        <xdr:cNvSpPr/>
      </xdr:nvSpPr>
      <xdr:spPr>
        <a:xfrm>
          <a:off x="16402050" y="3590925"/>
          <a:ext cx="0" cy="7143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1" name="フリーフォーム 10"/>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30481</xdr:rowOff>
    </xdr:from>
    <xdr:to>
      <xdr:col>32</xdr:col>
      <xdr:colOff>22860</xdr:colOff>
      <xdr:row>14</xdr:row>
      <xdr:rowOff>220980</xdr:rowOff>
    </xdr:to>
    <xdr:sp macro="" textlink="">
      <xdr:nvSpPr>
        <xdr:cNvPr id="14" name="フリーフォーム 13"/>
        <xdr:cNvSpPr/>
      </xdr:nvSpPr>
      <xdr:spPr>
        <a:xfrm>
          <a:off x="9806940" y="2468881"/>
          <a:ext cx="1615440" cy="693419"/>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5" name="フリーフォーム 14"/>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 name="フリーフォーム 15"/>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8" name="フリーフォーム 17"/>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180974</xdr:rowOff>
    </xdr:from>
    <xdr:to>
      <xdr:col>32</xdr:col>
      <xdr:colOff>7620</xdr:colOff>
      <xdr:row>8</xdr:row>
      <xdr:rowOff>68579</xdr:rowOff>
    </xdr:to>
    <xdr:sp macro="" textlink="">
      <xdr:nvSpPr>
        <xdr:cNvPr id="22" name="フリーフォーム 21"/>
        <xdr:cNvSpPr/>
      </xdr:nvSpPr>
      <xdr:spPr>
        <a:xfrm>
          <a:off x="9806940" y="1293494"/>
          <a:ext cx="1600200" cy="382905"/>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23" name="フリーフォーム 22"/>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206" name="フリーフォーム 205"/>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26893</xdr:colOff>
      <xdr:row>7</xdr:row>
      <xdr:rowOff>295275</xdr:rowOff>
    </xdr:from>
    <xdr:to>
      <xdr:col>48</xdr:col>
      <xdr:colOff>152399</xdr:colOff>
      <xdr:row>20</xdr:row>
      <xdr:rowOff>85725</xdr:rowOff>
    </xdr:to>
    <xdr:sp macro="" textlink="">
      <xdr:nvSpPr>
        <xdr:cNvPr id="24" name="フリーフォーム 23"/>
        <xdr:cNvSpPr/>
      </xdr:nvSpPr>
      <xdr:spPr>
        <a:xfrm>
          <a:off x="9045387" y="1586193"/>
          <a:ext cx="6786283" cy="2775697"/>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2214282</xdr:colOff>
      <xdr:row>2</xdr:row>
      <xdr:rowOff>142874</xdr:rowOff>
    </xdr:from>
    <xdr:to>
      <xdr:col>29</xdr:col>
      <xdr:colOff>274320</xdr:colOff>
      <xdr:row>7</xdr:row>
      <xdr:rowOff>7619</xdr:rowOff>
    </xdr:to>
    <xdr:sp macro="" textlink="">
      <xdr:nvSpPr>
        <xdr:cNvPr id="25" name="フリーフォーム 24"/>
        <xdr:cNvSpPr/>
      </xdr:nvSpPr>
      <xdr:spPr>
        <a:xfrm>
          <a:off x="9293262" y="455294"/>
          <a:ext cx="1214718" cy="85534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72" name="正方形/長方形 171"/>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36</xdr:col>
      <xdr:colOff>329406</xdr:colOff>
      <xdr:row>0</xdr:row>
      <xdr:rowOff>0</xdr:rowOff>
    </xdr:from>
    <xdr:to>
      <xdr:col>47</xdr:col>
      <xdr:colOff>18780</xdr:colOff>
      <xdr:row>1</xdr:row>
      <xdr:rowOff>142875</xdr:rowOff>
    </xdr:to>
    <xdr:sp macro="" textlink="">
      <xdr:nvSpPr>
        <xdr:cNvPr id="174" name="正方形/長方形 173"/>
        <xdr:cNvSpPr/>
      </xdr:nvSpPr>
      <xdr:spPr>
        <a:xfrm>
          <a:off x="12584159" y="0"/>
          <a:ext cx="2773233"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3" name="フリーフォーム 2"/>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177" name="Text Box 50">
          <a:extLst>
            <a:ext uri="{FF2B5EF4-FFF2-40B4-BE49-F238E27FC236}">
              <a16:creationId xmlns:a16="http://schemas.microsoft.com/office/drawing/2014/main" id="{00000000-0008-0000-0100-000032680000}"/>
            </a:ext>
          </a:extLst>
        </xdr:cNvPr>
        <xdr:cNvSpPr txBox="1">
          <a:spLocks noChangeArrowheads="1"/>
        </xdr:cNvSpPr>
      </xdr:nvSpPr>
      <xdr:spPr bwMode="auto">
        <a:xfrm>
          <a:off x="3798570" y="163639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181" name="Text Box 51">
          <a:extLst>
            <a:ext uri="{FF2B5EF4-FFF2-40B4-BE49-F238E27FC236}">
              <a16:creationId xmlns:a16="http://schemas.microsoft.com/office/drawing/2014/main" id="{00000000-0008-0000-0100-000033680000}"/>
            </a:ext>
          </a:extLst>
        </xdr:cNvPr>
        <xdr:cNvSpPr txBox="1">
          <a:spLocks noChangeArrowheads="1"/>
        </xdr:cNvSpPr>
      </xdr:nvSpPr>
      <xdr:spPr bwMode="auto">
        <a:xfrm>
          <a:off x="3798570" y="181165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53340</xdr:colOff>
      <xdr:row>17</xdr:row>
      <xdr:rowOff>236220</xdr:rowOff>
    </xdr:from>
    <xdr:ext cx="2194560" cy="861060"/>
    <xdr:sp macro="" textlink="">
      <xdr:nvSpPr>
        <xdr:cNvPr id="182" name="正方形/長方形 181"/>
        <xdr:cNvSpPr/>
      </xdr:nvSpPr>
      <xdr:spPr>
        <a:xfrm>
          <a:off x="6918960" y="3832860"/>
          <a:ext cx="2194560" cy="8610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27</xdr:col>
      <xdr:colOff>89535</xdr:colOff>
      <xdr:row>13</xdr:row>
      <xdr:rowOff>148590</xdr:rowOff>
    </xdr:from>
    <xdr:to>
      <xdr:col>29</xdr:col>
      <xdr:colOff>331470</xdr:colOff>
      <xdr:row>13</xdr:row>
      <xdr:rowOff>163830</xdr:rowOff>
    </xdr:to>
    <xdr:cxnSp macro="">
      <xdr:nvCxnSpPr>
        <xdr:cNvPr id="5" name="直線コネクタ 4"/>
        <xdr:cNvCxnSpPr>
          <a:endCxn id="178" idx="1"/>
        </xdr:cNvCxnSpPr>
      </xdr:nvCxnSpPr>
      <xdr:spPr>
        <a:xfrm>
          <a:off x="9820275" y="2762250"/>
          <a:ext cx="744855" cy="152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365760</xdr:colOff>
      <xdr:row>14</xdr:row>
      <xdr:rowOff>236220</xdr:rowOff>
    </xdr:from>
    <xdr:ext cx="1889760" cy="521154"/>
    <xdr:sp macro="" textlink="">
      <xdr:nvSpPr>
        <xdr:cNvPr id="176" name="正方形/長方形 175"/>
        <xdr:cNvSpPr/>
      </xdr:nvSpPr>
      <xdr:spPr>
        <a:xfrm>
          <a:off x="7444740" y="31775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22860</xdr:colOff>
      <xdr:row>15</xdr:row>
      <xdr:rowOff>7620</xdr:rowOff>
    </xdr:from>
    <xdr:to>
      <xdr:col>22</xdr:col>
      <xdr:colOff>350520</xdr:colOff>
      <xdr:row>17</xdr:row>
      <xdr:rowOff>38100</xdr:rowOff>
    </xdr:to>
    <xdr:sp macro="" textlink="">
      <xdr:nvSpPr>
        <xdr:cNvPr id="2" name="左矢印 1"/>
        <xdr:cNvSpPr/>
      </xdr:nvSpPr>
      <xdr:spPr>
        <a:xfrm>
          <a:off x="7101840" y="32537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41910</xdr:colOff>
      <xdr:row>2</xdr:row>
      <xdr:rowOff>23137</xdr:rowOff>
    </xdr:from>
    <xdr:to>
      <xdr:col>25</xdr:col>
      <xdr:colOff>418249</xdr:colOff>
      <xdr:row>29</xdr:row>
      <xdr:rowOff>272534</xdr:rowOff>
    </xdr:to>
    <xdr:sp macro="" textlink="">
      <xdr:nvSpPr>
        <xdr:cNvPr id="3" name="左右矢印 3"/>
        <xdr:cNvSpPr/>
      </xdr:nvSpPr>
      <xdr:spPr>
        <a:xfrm rot="5400000">
          <a:off x="2796194" y="4965053"/>
          <a:ext cx="9593422" cy="37633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19050</xdr:colOff>
      <xdr:row>0</xdr:row>
      <xdr:rowOff>0</xdr:rowOff>
    </xdr:from>
    <xdr:ext cx="3199279" cy="259976"/>
    <xdr:sp macro="" textlink="">
      <xdr:nvSpPr>
        <xdr:cNvPr id="5" name="正方形/長方形 4"/>
        <xdr:cNvSpPr/>
      </xdr:nvSpPr>
      <xdr:spPr>
        <a:xfrm>
          <a:off x="9405097" y="0"/>
          <a:ext cx="3199279"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32</xdr:col>
      <xdr:colOff>0</xdr:colOff>
      <xdr:row>4</xdr:row>
      <xdr:rowOff>9525</xdr:rowOff>
    </xdr:from>
    <xdr:to>
      <xdr:col>35</xdr:col>
      <xdr:colOff>400050</xdr:colOff>
      <xdr:row>5</xdr:row>
      <xdr:rowOff>257175</xdr:rowOff>
    </xdr:to>
    <xdr:sp macro="" textlink="">
      <xdr:nvSpPr>
        <xdr:cNvPr id="8" name="角丸四角形 7"/>
        <xdr:cNvSpPr/>
      </xdr:nvSpPr>
      <xdr:spPr>
        <a:xfrm>
          <a:off x="8905875" y="866775"/>
          <a:ext cx="1257300" cy="53340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8</xdr:row>
      <xdr:rowOff>28574</xdr:rowOff>
    </xdr:from>
    <xdr:to>
      <xdr:col>43</xdr:col>
      <xdr:colOff>57150</xdr:colOff>
      <xdr:row>8</xdr:row>
      <xdr:rowOff>295275</xdr:rowOff>
    </xdr:to>
    <xdr:sp macro="" textlink="">
      <xdr:nvSpPr>
        <xdr:cNvPr id="9" name="角丸四角形 8"/>
        <xdr:cNvSpPr/>
      </xdr:nvSpPr>
      <xdr:spPr>
        <a:xfrm>
          <a:off x="10896600" y="1990724"/>
          <a:ext cx="4229100" cy="26670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9</xdr:row>
      <xdr:rowOff>9524</xdr:rowOff>
    </xdr:from>
    <xdr:to>
      <xdr:col>35</xdr:col>
      <xdr:colOff>428624</xdr:colOff>
      <xdr:row>11</xdr:row>
      <xdr:rowOff>9525</xdr:rowOff>
    </xdr:to>
    <xdr:sp macro="" textlink="">
      <xdr:nvSpPr>
        <xdr:cNvPr id="11" name="角丸四角形 10"/>
        <xdr:cNvSpPr/>
      </xdr:nvSpPr>
      <xdr:spPr>
        <a:xfrm>
          <a:off x="11639550" y="2295524"/>
          <a:ext cx="1285874" cy="5810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400049</xdr:colOff>
      <xdr:row>11</xdr:row>
      <xdr:rowOff>19049</xdr:rowOff>
    </xdr:from>
    <xdr:to>
      <xdr:col>44</xdr:col>
      <xdr:colOff>9524</xdr:colOff>
      <xdr:row>12</xdr:row>
      <xdr:rowOff>276224</xdr:rowOff>
    </xdr:to>
    <xdr:sp macro="" textlink="">
      <xdr:nvSpPr>
        <xdr:cNvPr id="12" name="角丸四角形 11"/>
        <xdr:cNvSpPr/>
      </xdr:nvSpPr>
      <xdr:spPr>
        <a:xfrm>
          <a:off x="11449049" y="2933699"/>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390524</xdr:colOff>
      <xdr:row>6</xdr:row>
      <xdr:rowOff>19049</xdr:rowOff>
    </xdr:from>
    <xdr:to>
      <xdr:col>43</xdr:col>
      <xdr:colOff>428624</xdr:colOff>
      <xdr:row>7</xdr:row>
      <xdr:rowOff>276224</xdr:rowOff>
    </xdr:to>
    <xdr:sp macro="" textlink="">
      <xdr:nvSpPr>
        <xdr:cNvPr id="13" name="角丸四角形 12"/>
        <xdr:cNvSpPr/>
      </xdr:nvSpPr>
      <xdr:spPr>
        <a:xfrm>
          <a:off x="14173199" y="1400174"/>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9526</xdr:rowOff>
    </xdr:from>
    <xdr:to>
      <xdr:col>44</xdr:col>
      <xdr:colOff>9526</xdr:colOff>
      <xdr:row>10</xdr:row>
      <xdr:rowOff>257176</xdr:rowOff>
    </xdr:to>
    <xdr:sp macro="" textlink="">
      <xdr:nvSpPr>
        <xdr:cNvPr id="34" name="角丸四角形 33"/>
        <xdr:cNvSpPr/>
      </xdr:nvSpPr>
      <xdr:spPr>
        <a:xfrm>
          <a:off x="10210800" y="2343151"/>
          <a:ext cx="2562226" cy="533400"/>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4</xdr:row>
      <xdr:rowOff>9526</xdr:rowOff>
    </xdr:from>
    <xdr:to>
      <xdr:col>44</xdr:col>
      <xdr:colOff>9526</xdr:colOff>
      <xdr:row>5</xdr:row>
      <xdr:rowOff>257176</xdr:rowOff>
    </xdr:to>
    <xdr:sp macro="" textlink="">
      <xdr:nvSpPr>
        <xdr:cNvPr id="35" name="角丸四角形 34"/>
        <xdr:cNvSpPr/>
      </xdr:nvSpPr>
      <xdr:spPr>
        <a:xfrm>
          <a:off x="10210800" y="866776"/>
          <a:ext cx="2562226" cy="533400"/>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8</xdr:row>
      <xdr:rowOff>314325</xdr:rowOff>
    </xdr:from>
    <xdr:to>
      <xdr:col>47</xdr:col>
      <xdr:colOff>361949</xdr:colOff>
      <xdr:row>10</xdr:row>
      <xdr:rowOff>276225</xdr:rowOff>
    </xdr:to>
    <xdr:sp macro="" textlink="">
      <xdr:nvSpPr>
        <xdr:cNvPr id="50" name="角丸四角形 49"/>
        <xdr:cNvSpPr/>
      </xdr:nvSpPr>
      <xdr:spPr>
        <a:xfrm>
          <a:off x="15535275" y="2276475"/>
          <a:ext cx="1181099" cy="5715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3</xdr:row>
      <xdr:rowOff>228600</xdr:rowOff>
    </xdr:from>
    <xdr:to>
      <xdr:col>47</xdr:col>
      <xdr:colOff>380999</xdr:colOff>
      <xdr:row>5</xdr:row>
      <xdr:rowOff>266700</xdr:rowOff>
    </xdr:to>
    <xdr:sp macro="" textlink="">
      <xdr:nvSpPr>
        <xdr:cNvPr id="51" name="角丸四角形 50"/>
        <xdr:cNvSpPr/>
      </xdr:nvSpPr>
      <xdr:spPr>
        <a:xfrm>
          <a:off x="15535275" y="800100"/>
          <a:ext cx="1200149" cy="561975"/>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38886</xdr:colOff>
      <xdr:row>13</xdr:row>
      <xdr:rowOff>1039793</xdr:rowOff>
    </xdr:from>
    <xdr:ext cx="2219100" cy="1793054"/>
    <xdr:sp macro="" textlink="">
      <xdr:nvSpPr>
        <xdr:cNvPr id="48" name="四角形吹き出し 47"/>
        <xdr:cNvSpPr/>
      </xdr:nvSpPr>
      <xdr:spPr>
        <a:xfrm>
          <a:off x="6932745" y="4589817"/>
          <a:ext cx="2219100" cy="1793054"/>
        </a:xfrm>
        <a:prstGeom prst="wedgeRectCallout">
          <a:avLst>
            <a:gd name="adj1" fmla="val -64744"/>
            <a:gd name="adj2" fmla="val -35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j-ea"/>
              <a:ea typeface="+mj-ea"/>
              <a:cs typeface="+mn-cs"/>
            </a:rPr>
            <a:t>※</a:t>
          </a:r>
          <a:r>
            <a:rPr lang="ja-JP" altLang="ja-JP" sz="900">
              <a:solidFill>
                <a:schemeClr val="tx1"/>
              </a:solidFill>
              <a:effectLst/>
              <a:latin typeface="+mj-ea"/>
              <a:ea typeface="+mj-ea"/>
              <a:cs typeface="+mn-cs"/>
            </a:rPr>
            <a:t>あらかじめ記載されている</a:t>
          </a:r>
          <a:r>
            <a:rPr lang="ja-JP" altLang="en-US" sz="900">
              <a:solidFill>
                <a:schemeClr val="tx1"/>
              </a:solidFill>
              <a:effectLst/>
              <a:latin typeface="+mj-ea"/>
              <a:ea typeface="+mj-ea"/>
              <a:cs typeface="+mn-cs"/>
            </a:rPr>
            <a:t>内容を、</a:t>
          </a:r>
          <a:r>
            <a:rPr lang="ja-JP" altLang="ja-JP" sz="900">
              <a:solidFill>
                <a:schemeClr val="tx1"/>
              </a:solidFill>
              <a:effectLst/>
              <a:latin typeface="+mj-ea"/>
              <a:ea typeface="+mj-ea"/>
              <a:cs typeface="+mn-cs"/>
            </a:rPr>
            <a:t>適宜修正して</a:t>
          </a:r>
          <a:r>
            <a:rPr lang="ja-JP" altLang="en-US" sz="900">
              <a:solidFill>
                <a:schemeClr val="tx1"/>
              </a:solidFill>
              <a:effectLst/>
              <a:latin typeface="+mj-ea"/>
              <a:ea typeface="+mj-ea"/>
              <a:cs typeface="+mn-cs"/>
            </a:rPr>
            <a:t>ください</a:t>
          </a:r>
          <a:r>
            <a:rPr lang="ja-JP" altLang="ja-JP" sz="900">
              <a:solidFill>
                <a:schemeClr val="tx1"/>
              </a:solidFill>
              <a:effectLst/>
              <a:latin typeface="+mj-ea"/>
              <a:ea typeface="+mj-ea"/>
              <a:cs typeface="+mn-cs"/>
            </a:rPr>
            <a:t>。</a:t>
          </a:r>
          <a:endParaRPr lang="ja-JP" altLang="ja-JP" sz="600">
            <a:solidFill>
              <a:schemeClr val="tx1"/>
            </a:solidFill>
            <a:effectLst/>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975360</xdr:rowOff>
        </xdr:from>
        <xdr:to>
          <xdr:col>22</xdr:col>
          <xdr:colOff>495300</xdr:colOff>
          <xdr:row>13</xdr:row>
          <xdr:rowOff>1318260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33617</xdr:colOff>
      <xdr:row>1</xdr:row>
      <xdr:rowOff>189193</xdr:rowOff>
    </xdr:from>
    <xdr:ext cx="2225489" cy="1558924"/>
    <xdr:sp macro="" textlink="">
      <xdr:nvSpPr>
        <xdr:cNvPr id="49" name="正方形/長方形 48"/>
        <xdr:cNvSpPr/>
      </xdr:nvSpPr>
      <xdr:spPr>
        <a:xfrm>
          <a:off x="7003676" y="338605"/>
          <a:ext cx="2225489" cy="15589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83820</xdr:colOff>
          <xdr:row>1</xdr:row>
          <xdr:rowOff>160020</xdr:rowOff>
        </xdr:from>
        <xdr:to>
          <xdr:col>22</xdr:col>
          <xdr:colOff>411480</xdr:colOff>
          <xdr:row>2</xdr:row>
          <xdr:rowOff>106680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45944</xdr:colOff>
      <xdr:row>13</xdr:row>
      <xdr:rowOff>41460</xdr:rowOff>
    </xdr:from>
    <xdr:to>
      <xdr:col>21</xdr:col>
      <xdr:colOff>224117</xdr:colOff>
      <xdr:row>13</xdr:row>
      <xdr:rowOff>2812675</xdr:rowOff>
    </xdr:to>
    <xdr:sp macro="" textlink="">
      <xdr:nvSpPr>
        <xdr:cNvPr id="55" name="右中かっこ 54"/>
        <xdr:cNvSpPr/>
      </xdr:nvSpPr>
      <xdr:spPr>
        <a:xfrm>
          <a:off x="6735856" y="3492872"/>
          <a:ext cx="178173" cy="2771215"/>
        </a:xfrm>
        <a:prstGeom prst="rightBrace">
          <a:avLst>
            <a:gd name="adj1" fmla="val 33333"/>
            <a:gd name="adj2" fmla="val 4571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457200</xdr:colOff>
      <xdr:row>14</xdr:row>
      <xdr:rowOff>38100</xdr:rowOff>
    </xdr:from>
    <xdr:ext cx="2447365" cy="1104901"/>
    <xdr:sp macro="" textlink="">
      <xdr:nvSpPr>
        <xdr:cNvPr id="57" name="四角形吹き出し 56"/>
        <xdr:cNvSpPr/>
      </xdr:nvSpPr>
      <xdr:spPr>
        <a:xfrm>
          <a:off x="6705600" y="6447865"/>
          <a:ext cx="2447365" cy="1104901"/>
        </a:xfrm>
        <a:prstGeom prst="wedgeRectCallout">
          <a:avLst>
            <a:gd name="adj1" fmla="val -57090"/>
            <a:gd name="adj2" fmla="val -22261"/>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u="none" strike="noStrike" baseline="0">
              <a:solidFill>
                <a:sysClr val="windowText" lastClr="000000"/>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総数は第１面の数値と同じになります。</a:t>
          </a:r>
          <a:endParaRPr kumimoji="0" lang="en-US" altLang="ja-JP" sz="9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9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21</xdr:col>
          <xdr:colOff>495300</xdr:colOff>
          <xdr:row>13</xdr:row>
          <xdr:rowOff>2849880</xdr:rowOff>
        </xdr:from>
        <xdr:to>
          <xdr:col>21</xdr:col>
          <xdr:colOff>746760</xdr:colOff>
          <xdr:row>15</xdr:row>
          <xdr:rowOff>114300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38100</xdr:colOff>
      <xdr:row>15</xdr:row>
      <xdr:rowOff>38100</xdr:rowOff>
    </xdr:from>
    <xdr:to>
      <xdr:col>21</xdr:col>
      <xdr:colOff>238125</xdr:colOff>
      <xdr:row>19</xdr:row>
      <xdr:rowOff>123825</xdr:rowOff>
    </xdr:to>
    <xdr:sp macro="" textlink="">
      <xdr:nvSpPr>
        <xdr:cNvPr id="58" name="右中かっこ 57"/>
        <xdr:cNvSpPr/>
      </xdr:nvSpPr>
      <xdr:spPr>
        <a:xfrm>
          <a:off x="6715125" y="6496050"/>
          <a:ext cx="200025" cy="771525"/>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22411</xdr:colOff>
      <xdr:row>21</xdr:row>
      <xdr:rowOff>78441</xdr:rowOff>
    </xdr:from>
    <xdr:to>
      <xdr:col>22</xdr:col>
      <xdr:colOff>224116</xdr:colOff>
      <xdr:row>30</xdr:row>
      <xdr:rowOff>15689</xdr:rowOff>
    </xdr:to>
    <xdr:sp macro="" textlink="">
      <xdr:nvSpPr>
        <xdr:cNvPr id="64" name="右中かっこ 63"/>
        <xdr:cNvSpPr/>
      </xdr:nvSpPr>
      <xdr:spPr>
        <a:xfrm>
          <a:off x="7283823" y="7519147"/>
          <a:ext cx="201705" cy="2503395"/>
        </a:xfrm>
        <a:prstGeom prst="rightBrace">
          <a:avLst>
            <a:gd name="adj1" fmla="val 33333"/>
            <a:gd name="adj2" fmla="val 19071"/>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400049</xdr:colOff>
      <xdr:row>21</xdr:row>
      <xdr:rowOff>149038</xdr:rowOff>
    </xdr:from>
    <xdr:ext cx="1859057" cy="1599080"/>
    <xdr:sp macro="" textlink="">
      <xdr:nvSpPr>
        <xdr:cNvPr id="66" name="四角形吹き出し 65"/>
        <xdr:cNvSpPr/>
      </xdr:nvSpPr>
      <xdr:spPr>
        <a:xfrm>
          <a:off x="7293908" y="7760073"/>
          <a:ext cx="1859057" cy="1599080"/>
        </a:xfrm>
        <a:prstGeom prst="wedgeRectCallout">
          <a:avLst>
            <a:gd name="adj1" fmla="val -59117"/>
            <a:gd name="adj2" fmla="val -24437"/>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457200</xdr:colOff>
          <xdr:row>21</xdr:row>
          <xdr:rowOff>121920</xdr:rowOff>
        </xdr:from>
        <xdr:to>
          <xdr:col>22</xdr:col>
          <xdr:colOff>769620</xdr:colOff>
          <xdr:row>22</xdr:row>
          <xdr:rowOff>137160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268941</xdr:colOff>
      <xdr:row>0</xdr:row>
      <xdr:rowOff>0</xdr:rowOff>
    </xdr:from>
    <xdr:to>
      <xdr:col>46</xdr:col>
      <xdr:colOff>44824</xdr:colOff>
      <xdr:row>1</xdr:row>
      <xdr:rowOff>142875</xdr:rowOff>
    </xdr:to>
    <xdr:sp macro="" textlink="">
      <xdr:nvSpPr>
        <xdr:cNvPr id="67" name="正方形/長方形 66"/>
        <xdr:cNvSpPr/>
      </xdr:nvSpPr>
      <xdr:spPr>
        <a:xfrm>
          <a:off x="12640235" y="0"/>
          <a:ext cx="2725271"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28575</xdr:rowOff>
    </xdr:from>
    <xdr:to>
      <xdr:col>48</xdr:col>
      <xdr:colOff>257175</xdr:colOff>
      <xdr:row>13</xdr:row>
      <xdr:rowOff>95250</xdr:rowOff>
    </xdr:to>
    <xdr:sp macro="" textlink="">
      <xdr:nvSpPr>
        <xdr:cNvPr id="10" name="フリーフォーム 9"/>
        <xdr:cNvSpPr/>
      </xdr:nvSpPr>
      <xdr:spPr>
        <a:xfrm>
          <a:off x="9525000" y="1123950"/>
          <a:ext cx="7467600" cy="2400300"/>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14" name="フリーフォーム 13"/>
        <xdr:cNvSpPr/>
      </xdr:nvSpPr>
      <xdr:spPr>
        <a:xfrm>
          <a:off x="167068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314325</xdr:rowOff>
    </xdr:from>
    <xdr:to>
      <xdr:col>37</xdr:col>
      <xdr:colOff>85725</xdr:colOff>
      <xdr:row>12</xdr:row>
      <xdr:rowOff>19050</xdr:rowOff>
    </xdr:to>
    <xdr:sp macro="" textlink="">
      <xdr:nvSpPr>
        <xdr:cNvPr id="15" name="フリーフォーム 14"/>
        <xdr:cNvSpPr/>
      </xdr:nvSpPr>
      <xdr:spPr>
        <a:xfrm>
          <a:off x="9515475" y="2276475"/>
          <a:ext cx="3924300" cy="895350"/>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116540</xdr:colOff>
      <xdr:row>5</xdr:row>
      <xdr:rowOff>247650</xdr:rowOff>
    </xdr:from>
    <xdr:to>
      <xdr:col>37</xdr:col>
      <xdr:colOff>85724</xdr:colOff>
      <xdr:row>9</xdr:row>
      <xdr:rowOff>0</xdr:rowOff>
    </xdr:to>
    <xdr:sp macro="" textlink="">
      <xdr:nvSpPr>
        <xdr:cNvPr id="16" name="フリーフォーム 15"/>
        <xdr:cNvSpPr/>
      </xdr:nvSpPr>
      <xdr:spPr>
        <a:xfrm>
          <a:off x="9502587" y="1475815"/>
          <a:ext cx="3339913" cy="935691"/>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17" name="フリーフォーム 16"/>
        <xdr:cNvSpPr/>
      </xdr:nvSpPr>
      <xdr:spPr>
        <a:xfrm>
          <a:off x="9525000" y="1095375"/>
          <a:ext cx="21145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66675</xdr:rowOff>
    </xdr:from>
    <xdr:to>
      <xdr:col>39</xdr:col>
      <xdr:colOff>390525</xdr:colOff>
      <xdr:row>7</xdr:row>
      <xdr:rowOff>209550</xdr:rowOff>
    </xdr:to>
    <xdr:sp macro="" textlink="">
      <xdr:nvSpPr>
        <xdr:cNvPr id="18" name="フリーフォーム 17"/>
        <xdr:cNvSpPr/>
      </xdr:nvSpPr>
      <xdr:spPr>
        <a:xfrm>
          <a:off x="10029825" y="1733550"/>
          <a:ext cx="4143375" cy="142875"/>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209550</xdr:rowOff>
    </xdr:from>
    <xdr:to>
      <xdr:col>32</xdr:col>
      <xdr:colOff>0</xdr:colOff>
      <xdr:row>10</xdr:row>
      <xdr:rowOff>0</xdr:rowOff>
    </xdr:to>
    <xdr:sp macro="" textlink="">
      <xdr:nvSpPr>
        <xdr:cNvPr id="19" name="フリーフォーム 18"/>
        <xdr:cNvSpPr/>
      </xdr:nvSpPr>
      <xdr:spPr>
        <a:xfrm>
          <a:off x="10029825" y="1876425"/>
          <a:ext cx="1609725" cy="695325"/>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123825</xdr:rowOff>
    </xdr:from>
    <xdr:to>
      <xdr:col>39</xdr:col>
      <xdr:colOff>400050</xdr:colOff>
      <xdr:row>12</xdr:row>
      <xdr:rowOff>238125</xdr:rowOff>
    </xdr:to>
    <xdr:sp macro="" textlink="">
      <xdr:nvSpPr>
        <xdr:cNvPr id="21" name="フリーフォーム 20"/>
        <xdr:cNvSpPr/>
      </xdr:nvSpPr>
      <xdr:spPr>
        <a:xfrm>
          <a:off x="10029825" y="3276600"/>
          <a:ext cx="4152900"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200025</xdr:colOff>
      <xdr:row>11</xdr:row>
      <xdr:rowOff>209550</xdr:rowOff>
    </xdr:from>
    <xdr:to>
      <xdr:col>27</xdr:col>
      <xdr:colOff>28575</xdr:colOff>
      <xdr:row>12</xdr:row>
      <xdr:rowOff>123825</xdr:rowOff>
    </xdr:to>
    <xdr:sp macro="" textlink="">
      <xdr:nvSpPr>
        <xdr:cNvPr id="22" name="フリーフォーム 21"/>
        <xdr:cNvSpPr/>
      </xdr:nvSpPr>
      <xdr:spPr>
        <a:xfrm>
          <a:off x="10020300" y="3076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6" name="フリーフォーム 45"/>
        <xdr:cNvSpPr/>
      </xdr:nvSpPr>
      <xdr:spPr>
        <a:xfrm>
          <a:off x="100298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23" name="フリーフォーム 22"/>
        <xdr:cNvSpPr/>
      </xdr:nvSpPr>
      <xdr:spPr>
        <a:xfrm>
          <a:off x="100298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52" name="フリーフォーム 51"/>
        <xdr:cNvSpPr/>
      </xdr:nvSpPr>
      <xdr:spPr>
        <a:xfrm>
          <a:off x="100298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0</xdr:row>
      <xdr:rowOff>28575</xdr:rowOff>
    </xdr:from>
    <xdr:ext cx="2305051" cy="276225"/>
    <xdr:sp macro="" textlink="">
      <xdr:nvSpPr>
        <xdr:cNvPr id="53" name="正方形/長方形 52"/>
        <xdr:cNvSpPr/>
      </xdr:nvSpPr>
      <xdr:spPr>
        <a:xfrm>
          <a:off x="6743700" y="2857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190503</xdr:colOff>
      <xdr:row>1</xdr:row>
      <xdr:rowOff>142875</xdr:rowOff>
    </xdr:from>
    <xdr:to>
      <xdr:col>41</xdr:col>
      <xdr:colOff>26895</xdr:colOff>
      <xdr:row>3</xdr:row>
      <xdr:rowOff>212912</xdr:rowOff>
    </xdr:to>
    <xdr:cxnSp macro="">
      <xdr:nvCxnSpPr>
        <xdr:cNvPr id="44" name="直線コネクタ 43"/>
        <xdr:cNvCxnSpPr>
          <a:stCxn id="67" idx="2"/>
        </xdr:cNvCxnSpPr>
      </xdr:nvCxnSpPr>
      <xdr:spPr>
        <a:xfrm flipH="1">
          <a:off x="9361397" y="295275"/>
          <a:ext cx="4641474" cy="62584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201706</xdr:colOff>
      <xdr:row>8</xdr:row>
      <xdr:rowOff>161925</xdr:rowOff>
    </xdr:from>
    <xdr:to>
      <xdr:col>30</xdr:col>
      <xdr:colOff>0</xdr:colOff>
      <xdr:row>8</xdr:row>
      <xdr:rowOff>164353</xdr:rowOff>
    </xdr:to>
    <xdr:cxnSp macro="">
      <xdr:nvCxnSpPr>
        <xdr:cNvPr id="56" name="直線コネクタ 55"/>
        <xdr:cNvCxnSpPr>
          <a:endCxn id="9" idx="1"/>
        </xdr:cNvCxnSpPr>
      </xdr:nvCxnSpPr>
      <xdr:spPr>
        <a:xfrm flipV="1">
          <a:off x="9666941" y="2268631"/>
          <a:ext cx="859118" cy="242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44823</xdr:colOff>
      <xdr:row>7</xdr:row>
      <xdr:rowOff>134469</xdr:rowOff>
    </xdr:from>
    <xdr:ext cx="2218765" cy="951543"/>
    <xdr:sp macro="" textlink="">
      <xdr:nvSpPr>
        <xdr:cNvPr id="43" name="正方形/長方形 42"/>
        <xdr:cNvSpPr/>
      </xdr:nvSpPr>
      <xdr:spPr>
        <a:xfrm>
          <a:off x="7141882" y="1949822"/>
          <a:ext cx="221876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106680</xdr:colOff>
          <xdr:row>7</xdr:row>
          <xdr:rowOff>83820</xdr:rowOff>
        </xdr:from>
        <xdr:to>
          <xdr:col>22</xdr:col>
          <xdr:colOff>487680</xdr:colOff>
          <xdr:row>8</xdr:row>
          <xdr:rowOff>129540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82177</xdr:colOff>
      <xdr:row>12</xdr:row>
      <xdr:rowOff>209177</xdr:rowOff>
    </xdr:from>
    <xdr:ext cx="2203823" cy="844176"/>
    <xdr:sp macro="" textlink="">
      <xdr:nvSpPr>
        <xdr:cNvPr id="45" name="正方形/長方形 44"/>
        <xdr:cNvSpPr/>
      </xdr:nvSpPr>
      <xdr:spPr>
        <a:xfrm>
          <a:off x="7179236" y="3518648"/>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373529</xdr:colOff>
      <xdr:row>10</xdr:row>
      <xdr:rowOff>209177</xdr:rowOff>
    </xdr:from>
    <xdr:ext cx="1889760" cy="521154"/>
    <xdr:sp macro="" textlink="">
      <xdr:nvSpPr>
        <xdr:cNvPr id="47" name="正方形/長方形 46"/>
        <xdr:cNvSpPr/>
      </xdr:nvSpPr>
      <xdr:spPr>
        <a:xfrm>
          <a:off x="7470588" y="2935942"/>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44823</xdr:colOff>
      <xdr:row>10</xdr:row>
      <xdr:rowOff>216646</xdr:rowOff>
    </xdr:from>
    <xdr:to>
      <xdr:col>22</xdr:col>
      <xdr:colOff>372483</xdr:colOff>
      <xdr:row>12</xdr:row>
      <xdr:rowOff>14940</xdr:rowOff>
    </xdr:to>
    <xdr:sp macro="" textlink="">
      <xdr:nvSpPr>
        <xdr:cNvPr id="54" name="左矢印 53"/>
        <xdr:cNvSpPr/>
      </xdr:nvSpPr>
      <xdr:spPr>
        <a:xfrm rot="1891651">
          <a:off x="7141882" y="2943411"/>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2804" name="Line 1"/>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5" name="Line 2"/>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6" name="Line 3"/>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7" name="Line 4"/>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51434</xdr:colOff>
      <xdr:row>2</xdr:row>
      <xdr:rowOff>23139</xdr:rowOff>
    </xdr:from>
    <xdr:to>
      <xdr:col>20</xdr:col>
      <xdr:colOff>179295</xdr:colOff>
      <xdr:row>7</xdr:row>
      <xdr:rowOff>1102659</xdr:rowOff>
    </xdr:to>
    <xdr:sp macro="" textlink="">
      <xdr:nvSpPr>
        <xdr:cNvPr id="6" name="左右矢印 3"/>
        <xdr:cNvSpPr/>
      </xdr:nvSpPr>
      <xdr:spPr>
        <a:xfrm rot="5400000">
          <a:off x="3439393" y="5124756"/>
          <a:ext cx="9542202" cy="12786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1</xdr:rowOff>
    </xdr:from>
    <xdr:ext cx="3439085" cy="259976"/>
    <xdr:sp macro="" textlink="">
      <xdr:nvSpPr>
        <xdr:cNvPr id="14" name="正方形/長方形 13"/>
        <xdr:cNvSpPr/>
      </xdr:nvSpPr>
      <xdr:spPr>
        <a:xfrm>
          <a:off x="8376397" y="1"/>
          <a:ext cx="3439085"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68580</xdr:colOff>
      <xdr:row>3</xdr:row>
      <xdr:rowOff>3248024</xdr:rowOff>
    </xdr:from>
    <xdr:ext cx="2038126" cy="1537335"/>
    <xdr:sp macro="" textlink="">
      <xdr:nvSpPr>
        <xdr:cNvPr id="15" name="正方形/長方形 14"/>
        <xdr:cNvSpPr/>
      </xdr:nvSpPr>
      <xdr:spPr>
        <a:xfrm>
          <a:off x="5981700" y="3857624"/>
          <a:ext cx="2038126" cy="1537335"/>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twoCellAnchor>
    <xdr:from>
      <xdr:col>24</xdr:col>
      <xdr:colOff>254933</xdr:colOff>
      <xdr:row>2</xdr:row>
      <xdr:rowOff>7620</xdr:rowOff>
    </xdr:from>
    <xdr:to>
      <xdr:col>31</xdr:col>
      <xdr:colOff>371475</xdr:colOff>
      <xdr:row>3</xdr:row>
      <xdr:rowOff>2567940</xdr:rowOff>
    </xdr:to>
    <xdr:sp macro="" textlink="">
      <xdr:nvSpPr>
        <xdr:cNvPr id="17" name="角丸四角形 16"/>
        <xdr:cNvSpPr/>
      </xdr:nvSpPr>
      <xdr:spPr>
        <a:xfrm>
          <a:off x="9177953" y="403860"/>
          <a:ext cx="2707342" cy="277368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61520</xdr:colOff>
      <xdr:row>3</xdr:row>
      <xdr:rowOff>319256</xdr:rowOff>
    </xdr:from>
    <xdr:ext cx="2025015" cy="528350"/>
    <xdr:sp macro="" textlink="">
      <xdr:nvSpPr>
        <xdr:cNvPr id="16" name="正方形/長方形 15"/>
        <xdr:cNvSpPr/>
      </xdr:nvSpPr>
      <xdr:spPr>
        <a:xfrm>
          <a:off x="6014085" y="928856"/>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32</xdr:col>
      <xdr:colOff>3360</xdr:colOff>
      <xdr:row>2</xdr:row>
      <xdr:rowOff>15241</xdr:rowOff>
    </xdr:from>
    <xdr:to>
      <xdr:col>39</xdr:col>
      <xdr:colOff>0</xdr:colOff>
      <xdr:row>3</xdr:row>
      <xdr:rowOff>2545081</xdr:rowOff>
    </xdr:to>
    <xdr:sp macro="" textlink="">
      <xdr:nvSpPr>
        <xdr:cNvPr id="18" name="角丸四角形 17"/>
        <xdr:cNvSpPr/>
      </xdr:nvSpPr>
      <xdr:spPr>
        <a:xfrm>
          <a:off x="11905800" y="411481"/>
          <a:ext cx="2716980" cy="2743200"/>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53788</xdr:colOff>
      <xdr:row>5</xdr:row>
      <xdr:rowOff>155201</xdr:rowOff>
    </xdr:from>
    <xdr:ext cx="2052918" cy="669414"/>
    <xdr:sp macro="" textlink="">
      <xdr:nvSpPr>
        <xdr:cNvPr id="34" name="正方形/長方形 33"/>
        <xdr:cNvSpPr/>
      </xdr:nvSpPr>
      <xdr:spPr>
        <a:xfrm>
          <a:off x="6006353" y="5560919"/>
          <a:ext cx="20529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74294</xdr:colOff>
      <xdr:row>3</xdr:row>
      <xdr:rowOff>2454871</xdr:rowOff>
    </xdr:from>
    <xdr:ext cx="2032411" cy="528350"/>
    <xdr:sp macro="" textlink="">
      <xdr:nvSpPr>
        <xdr:cNvPr id="40" name="正方形/長方形 39"/>
        <xdr:cNvSpPr/>
      </xdr:nvSpPr>
      <xdr:spPr>
        <a:xfrm>
          <a:off x="6026859" y="3064471"/>
          <a:ext cx="2032411"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xdr:twoCellAnchor>
    <xdr:from>
      <xdr:col>31</xdr:col>
      <xdr:colOff>390526</xdr:colOff>
      <xdr:row>2</xdr:row>
      <xdr:rowOff>201930</xdr:rowOff>
    </xdr:from>
    <xdr:to>
      <xdr:col>35</xdr:col>
      <xdr:colOff>76200</xdr:colOff>
      <xdr:row>3</xdr:row>
      <xdr:rowOff>142875</xdr:rowOff>
    </xdr:to>
    <xdr:sp macro="" textlink="">
      <xdr:nvSpPr>
        <xdr:cNvPr id="41" name="角丸四角形 40"/>
        <xdr:cNvSpPr/>
      </xdr:nvSpPr>
      <xdr:spPr>
        <a:xfrm>
          <a:off x="13706476" y="516255"/>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167640</xdr:colOff>
          <xdr:row>3</xdr:row>
          <xdr:rowOff>266700</xdr:rowOff>
        </xdr:from>
        <xdr:to>
          <xdr:col>17</xdr:col>
          <xdr:colOff>548640</xdr:colOff>
          <xdr:row>3</xdr:row>
          <xdr:rowOff>609600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99060</xdr:colOff>
          <xdr:row>3</xdr:row>
          <xdr:rowOff>3185160</xdr:rowOff>
        </xdr:from>
        <xdr:to>
          <xdr:col>17</xdr:col>
          <xdr:colOff>480060</xdr:colOff>
          <xdr:row>3</xdr:row>
          <xdr:rowOff>3528060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2385060</xdr:rowOff>
        </xdr:from>
        <xdr:to>
          <xdr:col>17</xdr:col>
          <xdr:colOff>525780</xdr:colOff>
          <xdr:row>3</xdr:row>
          <xdr:rowOff>2727960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xdr:row>
          <xdr:rowOff>83820</xdr:rowOff>
        </xdr:from>
        <xdr:to>
          <xdr:col>17</xdr:col>
          <xdr:colOff>495300</xdr:colOff>
          <xdr:row>5</xdr:row>
          <xdr:rowOff>426720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34738</xdr:colOff>
      <xdr:row>14</xdr:row>
      <xdr:rowOff>11206</xdr:rowOff>
    </xdr:from>
    <xdr:to>
      <xdr:col>20</xdr:col>
      <xdr:colOff>190500</xdr:colOff>
      <xdr:row>15</xdr:row>
      <xdr:rowOff>3753973</xdr:rowOff>
    </xdr:to>
    <xdr:sp macro="" textlink="">
      <xdr:nvSpPr>
        <xdr:cNvPr id="30" name="左右矢印 3"/>
        <xdr:cNvSpPr/>
      </xdr:nvSpPr>
      <xdr:spPr>
        <a:xfrm rot="5400000">
          <a:off x="5777191" y="2227225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31" name="左右矢印 3"/>
        <xdr:cNvSpPr/>
      </xdr:nvSpPr>
      <xdr:spPr>
        <a:xfrm rot="5400000">
          <a:off x="5787277" y="14293666"/>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32" name="左右矢印 3"/>
        <xdr:cNvSpPr/>
      </xdr:nvSpPr>
      <xdr:spPr>
        <a:xfrm rot="5400000">
          <a:off x="5787276" y="3025084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2086535</xdr:colOff>
      <xdr:row>3</xdr:row>
      <xdr:rowOff>583431</xdr:rowOff>
    </xdr:from>
    <xdr:to>
      <xdr:col>24</xdr:col>
      <xdr:colOff>251460</xdr:colOff>
      <xdr:row>3</xdr:row>
      <xdr:rowOff>586740</xdr:rowOff>
    </xdr:to>
    <xdr:cxnSp macro="">
      <xdr:nvCxnSpPr>
        <xdr:cNvPr id="20" name="カギ線コネクタ 19"/>
        <xdr:cNvCxnSpPr>
          <a:stCxn id="16" idx="3"/>
        </xdr:cNvCxnSpPr>
      </xdr:nvCxnSpPr>
      <xdr:spPr>
        <a:xfrm>
          <a:off x="7999655" y="1193031"/>
          <a:ext cx="1174825" cy="3309"/>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185</xdr:colOff>
      <xdr:row>3</xdr:row>
      <xdr:rowOff>2585721</xdr:rowOff>
    </xdr:from>
    <xdr:to>
      <xdr:col>39</xdr:col>
      <xdr:colOff>0</xdr:colOff>
      <xdr:row>3</xdr:row>
      <xdr:rowOff>3665221</xdr:rowOff>
    </xdr:to>
    <xdr:sp macro="" textlink="">
      <xdr:nvSpPr>
        <xdr:cNvPr id="46" name="角丸四角形 45"/>
        <xdr:cNvSpPr/>
      </xdr:nvSpPr>
      <xdr:spPr>
        <a:xfrm>
          <a:off x="11902625" y="3195321"/>
          <a:ext cx="2720155" cy="107950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28575</xdr:colOff>
      <xdr:row>0</xdr:row>
      <xdr:rowOff>9525</xdr:rowOff>
    </xdr:from>
    <xdr:ext cx="2305051" cy="276225"/>
    <xdr:sp macro="" textlink="">
      <xdr:nvSpPr>
        <xdr:cNvPr id="33" name="正方形/長方形 32"/>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31</xdr:col>
      <xdr:colOff>342900</xdr:colOff>
      <xdr:row>0</xdr:row>
      <xdr:rowOff>19050</xdr:rowOff>
    </xdr:from>
    <xdr:to>
      <xdr:col>38</xdr:col>
      <xdr:colOff>380999</xdr:colOff>
      <xdr:row>1</xdr:row>
      <xdr:rowOff>38100</xdr:rowOff>
    </xdr:to>
    <xdr:sp macro="" textlink="">
      <xdr:nvSpPr>
        <xdr:cNvPr id="38" name="正方形/長方形 37"/>
        <xdr:cNvSpPr/>
      </xdr:nvSpPr>
      <xdr:spPr>
        <a:xfrm>
          <a:off x="11880476" y="19050"/>
          <a:ext cx="2736476" cy="25213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98611</xdr:colOff>
      <xdr:row>1</xdr:row>
      <xdr:rowOff>38100</xdr:rowOff>
    </xdr:from>
    <xdr:to>
      <xdr:col>35</xdr:col>
      <xdr:colOff>189379</xdr:colOff>
      <xdr:row>3</xdr:row>
      <xdr:rowOff>235323</xdr:rowOff>
    </xdr:to>
    <xdr:cxnSp macro="">
      <xdr:nvCxnSpPr>
        <xdr:cNvPr id="39" name="直線コネクタ 38"/>
        <xdr:cNvCxnSpPr>
          <a:stCxn id="38" idx="2"/>
        </xdr:cNvCxnSpPr>
      </xdr:nvCxnSpPr>
      <xdr:spPr>
        <a:xfrm flipH="1">
          <a:off x="8193740" y="271182"/>
          <a:ext cx="5075145" cy="5737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2106707</xdr:colOff>
      <xdr:row>3</xdr:row>
      <xdr:rowOff>3665221</xdr:rowOff>
    </xdr:from>
    <xdr:to>
      <xdr:col>35</xdr:col>
      <xdr:colOff>194404</xdr:colOff>
      <xdr:row>5</xdr:row>
      <xdr:rowOff>489908</xdr:rowOff>
    </xdr:to>
    <xdr:cxnSp macro="">
      <xdr:nvCxnSpPr>
        <xdr:cNvPr id="7" name="カギ線コネクタ 6"/>
        <xdr:cNvCxnSpPr>
          <a:stCxn id="46" idx="2"/>
          <a:endCxn id="34" idx="3"/>
        </xdr:cNvCxnSpPr>
      </xdr:nvCxnSpPr>
      <xdr:spPr>
        <a:xfrm rot="5400000">
          <a:off x="9832432" y="2462216"/>
          <a:ext cx="1617667" cy="5242877"/>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2087880</xdr:colOff>
      <xdr:row>3</xdr:row>
      <xdr:rowOff>1630680</xdr:rowOff>
    </xdr:from>
    <xdr:to>
      <xdr:col>39</xdr:col>
      <xdr:colOff>220980</xdr:colOff>
      <xdr:row>3</xdr:row>
      <xdr:rowOff>4053840</xdr:rowOff>
    </xdr:to>
    <xdr:sp macro="" textlink="">
      <xdr:nvSpPr>
        <xdr:cNvPr id="9" name="フリーフォーム 8"/>
        <xdr:cNvSpPr/>
      </xdr:nvSpPr>
      <xdr:spPr>
        <a:xfrm>
          <a:off x="8001000" y="2240280"/>
          <a:ext cx="6842760" cy="2423160"/>
        </a:xfrm>
        <a:custGeom>
          <a:avLst/>
          <a:gdLst>
            <a:gd name="connsiteX0" fmla="*/ 0 w 6842760"/>
            <a:gd name="connsiteY0" fmla="*/ 2423160 h 2423160"/>
            <a:gd name="connsiteX1" fmla="*/ 6842760 w 6842760"/>
            <a:gd name="connsiteY1" fmla="*/ 2415540 h 2423160"/>
            <a:gd name="connsiteX2" fmla="*/ 6804660 w 6842760"/>
            <a:gd name="connsiteY2" fmla="*/ 0 h 2423160"/>
            <a:gd name="connsiteX3" fmla="*/ 6606540 w 6842760"/>
            <a:gd name="connsiteY3" fmla="*/ 0 h 2423160"/>
          </a:gdLst>
          <a:ahLst/>
          <a:cxnLst>
            <a:cxn ang="0">
              <a:pos x="connsiteX0" y="connsiteY0"/>
            </a:cxn>
            <a:cxn ang="0">
              <a:pos x="connsiteX1" y="connsiteY1"/>
            </a:cxn>
            <a:cxn ang="0">
              <a:pos x="connsiteX2" y="connsiteY2"/>
            </a:cxn>
            <a:cxn ang="0">
              <a:pos x="connsiteX3" y="connsiteY3"/>
            </a:cxn>
          </a:cxnLst>
          <a:rect l="l" t="t" r="r" b="b"/>
          <a:pathLst>
            <a:path w="6842760" h="2423160">
              <a:moveTo>
                <a:pt x="0" y="2423160"/>
              </a:moveTo>
              <a:lnTo>
                <a:pt x="6842760" y="2415540"/>
              </a:lnTo>
              <a:lnTo>
                <a:pt x="6804660" y="0"/>
              </a:lnTo>
              <a:lnTo>
                <a:pt x="660654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2095500</xdr:colOff>
      <xdr:row>3</xdr:row>
      <xdr:rowOff>53340</xdr:rowOff>
    </xdr:from>
    <xdr:to>
      <xdr:col>32</xdr:col>
      <xdr:colOff>0</xdr:colOff>
      <xdr:row>3</xdr:row>
      <xdr:rowOff>2750820</xdr:rowOff>
    </xdr:to>
    <xdr:sp macro="" textlink="">
      <xdr:nvSpPr>
        <xdr:cNvPr id="11" name="フリーフォーム 10"/>
        <xdr:cNvSpPr/>
      </xdr:nvSpPr>
      <xdr:spPr>
        <a:xfrm>
          <a:off x="8008620" y="662940"/>
          <a:ext cx="3893820" cy="2697480"/>
        </a:xfrm>
        <a:custGeom>
          <a:avLst/>
          <a:gdLst>
            <a:gd name="connsiteX0" fmla="*/ 0 w 3893820"/>
            <a:gd name="connsiteY0" fmla="*/ 2788920 h 2811780"/>
            <a:gd name="connsiteX1" fmla="*/ 3726180 w 3893820"/>
            <a:gd name="connsiteY1" fmla="*/ 2811780 h 2811780"/>
            <a:gd name="connsiteX2" fmla="*/ 3710940 w 3893820"/>
            <a:gd name="connsiteY2" fmla="*/ 7620 h 2811780"/>
            <a:gd name="connsiteX3" fmla="*/ 3893820 w 3893820"/>
            <a:gd name="connsiteY3" fmla="*/ 0 h 2811780"/>
          </a:gdLst>
          <a:ahLst/>
          <a:cxnLst>
            <a:cxn ang="0">
              <a:pos x="connsiteX0" y="connsiteY0"/>
            </a:cxn>
            <a:cxn ang="0">
              <a:pos x="connsiteX1" y="connsiteY1"/>
            </a:cxn>
            <a:cxn ang="0">
              <a:pos x="connsiteX2" y="connsiteY2"/>
            </a:cxn>
            <a:cxn ang="0">
              <a:pos x="connsiteX3" y="connsiteY3"/>
            </a:cxn>
          </a:cxnLst>
          <a:rect l="l" t="t" r="r" b="b"/>
          <a:pathLst>
            <a:path w="3893820" h="2811780">
              <a:moveTo>
                <a:pt x="0" y="2788920"/>
              </a:moveTo>
              <a:lnTo>
                <a:pt x="3726180" y="2811780"/>
              </a:lnTo>
              <a:lnTo>
                <a:pt x="3710940" y="7620"/>
              </a:lnTo>
              <a:lnTo>
                <a:pt x="389382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033" name="Line 1"/>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4" name="Line 2"/>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5" name="Line 3"/>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6" name="Line 4"/>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60959</xdr:colOff>
      <xdr:row>2</xdr:row>
      <xdr:rowOff>13613</xdr:rowOff>
    </xdr:from>
    <xdr:to>
      <xdr:col>20</xdr:col>
      <xdr:colOff>238124</xdr:colOff>
      <xdr:row>8</xdr:row>
      <xdr:rowOff>3</xdr:rowOff>
    </xdr:to>
    <xdr:sp macro="" textlink="">
      <xdr:nvSpPr>
        <xdr:cNvPr id="6" name="左右矢印 3"/>
        <xdr:cNvSpPr/>
      </xdr:nvSpPr>
      <xdr:spPr>
        <a:xfrm rot="5400000">
          <a:off x="6361884" y="4314013"/>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17928</xdr:colOff>
      <xdr:row>2</xdr:row>
      <xdr:rowOff>0</xdr:rowOff>
    </xdr:from>
    <xdr:to>
      <xdr:col>30</xdr:col>
      <xdr:colOff>233081</xdr:colOff>
      <xdr:row>3</xdr:row>
      <xdr:rowOff>1543050</xdr:rowOff>
    </xdr:to>
    <xdr:sp macro="" textlink="">
      <xdr:nvSpPr>
        <xdr:cNvPr id="11" name="角丸四角形 10"/>
        <xdr:cNvSpPr/>
      </xdr:nvSpPr>
      <xdr:spPr>
        <a:xfrm>
          <a:off x="8749552" y="484094"/>
          <a:ext cx="2788023" cy="167752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78107</xdr:colOff>
      <xdr:row>5</xdr:row>
      <xdr:rowOff>133351</xdr:rowOff>
    </xdr:from>
    <xdr:to>
      <xdr:col>30</xdr:col>
      <xdr:colOff>51436</xdr:colOff>
      <xdr:row>7</xdr:row>
      <xdr:rowOff>1183341</xdr:rowOff>
    </xdr:to>
    <xdr:sp macro="" textlink="">
      <xdr:nvSpPr>
        <xdr:cNvPr id="17" name="角丸四角形 16"/>
        <xdr:cNvSpPr/>
      </xdr:nvSpPr>
      <xdr:spPr>
        <a:xfrm>
          <a:off x="8703947" y="4720591"/>
          <a:ext cx="2617469" cy="1324310"/>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356235</xdr:colOff>
      <xdr:row>1</xdr:row>
      <xdr:rowOff>240031</xdr:rowOff>
    </xdr:from>
    <xdr:to>
      <xdr:col>38</xdr:col>
      <xdr:colOff>350520</xdr:colOff>
      <xdr:row>3</xdr:row>
      <xdr:rowOff>1447352</xdr:rowOff>
    </xdr:to>
    <xdr:sp macro="" textlink="">
      <xdr:nvSpPr>
        <xdr:cNvPr id="26" name="角丸四角形 25"/>
        <xdr:cNvSpPr/>
      </xdr:nvSpPr>
      <xdr:spPr>
        <a:xfrm>
          <a:off x="11626215" y="483871"/>
          <a:ext cx="2920365" cy="1588321"/>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9526</xdr:rowOff>
    </xdr:from>
    <xdr:ext cx="3501837" cy="250450"/>
    <xdr:sp macro="" textlink="">
      <xdr:nvSpPr>
        <xdr:cNvPr id="28" name="正方形/長方形 27"/>
        <xdr:cNvSpPr/>
      </xdr:nvSpPr>
      <xdr:spPr>
        <a:xfrm>
          <a:off x="8492938" y="9526"/>
          <a:ext cx="3501837" cy="2504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90992</xdr:colOff>
      <xdr:row>3</xdr:row>
      <xdr:rowOff>2167774</xdr:rowOff>
    </xdr:from>
    <xdr:ext cx="2160270" cy="992281"/>
    <xdr:sp macro="" textlink="">
      <xdr:nvSpPr>
        <xdr:cNvPr id="33" name="正方形/長方形 32"/>
        <xdr:cNvSpPr/>
      </xdr:nvSpPr>
      <xdr:spPr>
        <a:xfrm>
          <a:off x="6052521" y="2786339"/>
          <a:ext cx="2160270" cy="992281"/>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しえください。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90992</xdr:colOff>
      <xdr:row>3</xdr:row>
      <xdr:rowOff>443865</xdr:rowOff>
    </xdr:from>
    <xdr:ext cx="2157805" cy="528350"/>
    <xdr:sp macro="" textlink="">
      <xdr:nvSpPr>
        <xdr:cNvPr id="34" name="正方形/長方形 33"/>
        <xdr:cNvSpPr/>
      </xdr:nvSpPr>
      <xdr:spPr>
        <a:xfrm>
          <a:off x="6026972" y="1068705"/>
          <a:ext cx="215780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85165</xdr:colOff>
      <xdr:row>3</xdr:row>
      <xdr:rowOff>3302374</xdr:rowOff>
    </xdr:from>
    <xdr:ext cx="2164977" cy="669414"/>
    <xdr:sp macro="" textlink="">
      <xdr:nvSpPr>
        <xdr:cNvPr id="35" name="正方形/長方形 34"/>
        <xdr:cNvSpPr/>
      </xdr:nvSpPr>
      <xdr:spPr>
        <a:xfrm>
          <a:off x="6046694" y="3920939"/>
          <a:ext cx="216497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87742</xdr:colOff>
      <xdr:row>3</xdr:row>
      <xdr:rowOff>1488924</xdr:rowOff>
    </xdr:from>
    <xdr:ext cx="2144470" cy="528350"/>
    <xdr:sp macro="" textlink="">
      <xdr:nvSpPr>
        <xdr:cNvPr id="37" name="正方形/長方形 36"/>
        <xdr:cNvSpPr/>
      </xdr:nvSpPr>
      <xdr:spPr>
        <a:xfrm>
          <a:off x="6049271" y="2107489"/>
          <a:ext cx="214447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152400</xdr:colOff>
          <xdr:row>3</xdr:row>
          <xdr:rowOff>381000</xdr:rowOff>
        </xdr:from>
        <xdr:to>
          <xdr:col>17</xdr:col>
          <xdr:colOff>533400</xdr:colOff>
          <xdr:row>3</xdr:row>
          <xdr:rowOff>723900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2118360</xdr:rowOff>
        </xdr:from>
        <xdr:to>
          <xdr:col>17</xdr:col>
          <xdr:colOff>525780</xdr:colOff>
          <xdr:row>3</xdr:row>
          <xdr:rowOff>2461260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1432560</xdr:rowOff>
        </xdr:from>
        <xdr:to>
          <xdr:col>17</xdr:col>
          <xdr:colOff>525780</xdr:colOff>
          <xdr:row>3</xdr:row>
          <xdr:rowOff>1775460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3246120</xdr:rowOff>
        </xdr:from>
        <xdr:to>
          <xdr:col>17</xdr:col>
          <xdr:colOff>525780</xdr:colOff>
          <xdr:row>3</xdr:row>
          <xdr:rowOff>3589020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13334</xdr:colOff>
      <xdr:row>3</xdr:row>
      <xdr:rowOff>1905000</xdr:rowOff>
    </xdr:from>
    <xdr:to>
      <xdr:col>38</xdr:col>
      <xdr:colOff>350520</xdr:colOff>
      <xdr:row>3</xdr:row>
      <xdr:rowOff>2583180</xdr:rowOff>
    </xdr:to>
    <xdr:sp macro="" textlink="">
      <xdr:nvSpPr>
        <xdr:cNvPr id="38" name="角丸四角形 37"/>
        <xdr:cNvSpPr/>
      </xdr:nvSpPr>
      <xdr:spPr>
        <a:xfrm>
          <a:off x="11649074" y="2529840"/>
          <a:ext cx="2897506" cy="67818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354554</xdr:colOff>
      <xdr:row>2</xdr:row>
      <xdr:rowOff>121920</xdr:rowOff>
    </xdr:from>
    <xdr:to>
      <xdr:col>34</xdr:col>
      <xdr:colOff>9525</xdr:colOff>
      <xdr:row>3</xdr:row>
      <xdr:rowOff>133350</xdr:rowOff>
    </xdr:to>
    <xdr:sp macro="" textlink="">
      <xdr:nvSpPr>
        <xdr:cNvPr id="40" name="角丸四角形 39"/>
        <xdr:cNvSpPr/>
      </xdr:nvSpPr>
      <xdr:spPr>
        <a:xfrm>
          <a:off x="11624534" y="609600"/>
          <a:ext cx="1118011" cy="14859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2257425</xdr:colOff>
      <xdr:row>3</xdr:row>
      <xdr:rowOff>1461248</xdr:rowOff>
    </xdr:from>
    <xdr:to>
      <xdr:col>31</xdr:col>
      <xdr:colOff>190500</xdr:colOff>
      <xdr:row>3</xdr:row>
      <xdr:rowOff>2357718</xdr:rowOff>
    </xdr:to>
    <xdr:sp macro="" textlink="">
      <xdr:nvSpPr>
        <xdr:cNvPr id="8" name="フリーフォーム 7"/>
        <xdr:cNvSpPr/>
      </xdr:nvSpPr>
      <xdr:spPr>
        <a:xfrm>
          <a:off x="8218954" y="2079813"/>
          <a:ext cx="3643593" cy="896470"/>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71382</xdr:colOff>
      <xdr:row>7</xdr:row>
      <xdr:rowOff>1514473</xdr:rowOff>
    </xdr:from>
    <xdr:ext cx="2205654" cy="1040467"/>
    <xdr:sp macro="" textlink="">
      <xdr:nvSpPr>
        <xdr:cNvPr id="44" name="正方形/長方形 43"/>
        <xdr:cNvSpPr/>
      </xdr:nvSpPr>
      <xdr:spPr>
        <a:xfrm>
          <a:off x="6032911" y="6364379"/>
          <a:ext cx="2205654" cy="1040467"/>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74967</xdr:colOff>
      <xdr:row>7</xdr:row>
      <xdr:rowOff>257175</xdr:rowOff>
    </xdr:from>
    <xdr:ext cx="2175174" cy="528350"/>
    <xdr:sp macro="" textlink="">
      <xdr:nvSpPr>
        <xdr:cNvPr id="45" name="正方形/長方形 44"/>
        <xdr:cNvSpPr/>
      </xdr:nvSpPr>
      <xdr:spPr>
        <a:xfrm>
          <a:off x="6010947" y="5118735"/>
          <a:ext cx="2175174"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75078</xdr:colOff>
      <xdr:row>7</xdr:row>
      <xdr:rowOff>2610410</xdr:rowOff>
    </xdr:from>
    <xdr:ext cx="2184587" cy="669414"/>
    <xdr:sp macro="" textlink="">
      <xdr:nvSpPr>
        <xdr:cNvPr id="46" name="正方形/長方形 45"/>
        <xdr:cNvSpPr/>
      </xdr:nvSpPr>
      <xdr:spPr>
        <a:xfrm>
          <a:off x="6036607" y="7460316"/>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68131</xdr:colOff>
      <xdr:row>7</xdr:row>
      <xdr:rowOff>925830</xdr:rowOff>
    </xdr:from>
    <xdr:ext cx="2199939" cy="528350"/>
    <xdr:sp macro="" textlink="">
      <xdr:nvSpPr>
        <xdr:cNvPr id="47" name="正方形/長方形 46"/>
        <xdr:cNvSpPr/>
      </xdr:nvSpPr>
      <xdr:spPr>
        <a:xfrm>
          <a:off x="6029660" y="5775736"/>
          <a:ext cx="2199939"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129540</xdr:colOff>
          <xdr:row>7</xdr:row>
          <xdr:rowOff>205740</xdr:rowOff>
        </xdr:from>
        <xdr:to>
          <xdr:col>17</xdr:col>
          <xdr:colOff>510540</xdr:colOff>
          <xdr:row>7</xdr:row>
          <xdr:rowOff>548640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1463040</xdr:rowOff>
        </xdr:from>
        <xdr:to>
          <xdr:col>17</xdr:col>
          <xdr:colOff>518160</xdr:colOff>
          <xdr:row>7</xdr:row>
          <xdr:rowOff>1805940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868680</xdr:rowOff>
        </xdr:from>
        <xdr:to>
          <xdr:col>17</xdr:col>
          <xdr:colOff>518160</xdr:colOff>
          <xdr:row>7</xdr:row>
          <xdr:rowOff>1211580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2567940</xdr:rowOff>
        </xdr:from>
        <xdr:to>
          <xdr:col>17</xdr:col>
          <xdr:colOff>518160</xdr:colOff>
          <xdr:row>7</xdr:row>
          <xdr:rowOff>2910840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361950</xdr:colOff>
      <xdr:row>5</xdr:row>
      <xdr:rowOff>133351</xdr:rowOff>
    </xdr:from>
    <xdr:to>
      <xdr:col>38</xdr:col>
      <xdr:colOff>350520</xdr:colOff>
      <xdr:row>7</xdr:row>
      <xdr:rowOff>1211581</xdr:rowOff>
    </xdr:to>
    <xdr:sp macro="" textlink="">
      <xdr:nvSpPr>
        <xdr:cNvPr id="54" name="角丸四角形 53"/>
        <xdr:cNvSpPr/>
      </xdr:nvSpPr>
      <xdr:spPr>
        <a:xfrm>
          <a:off x="11631930" y="4720591"/>
          <a:ext cx="2914650" cy="1352550"/>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7731</xdr:colOff>
      <xdr:row>7</xdr:row>
      <xdr:rowOff>1318259</xdr:rowOff>
    </xdr:from>
    <xdr:to>
      <xdr:col>38</xdr:col>
      <xdr:colOff>358140</xdr:colOff>
      <xdr:row>7</xdr:row>
      <xdr:rowOff>1912620</xdr:rowOff>
    </xdr:to>
    <xdr:sp macro="" textlink="">
      <xdr:nvSpPr>
        <xdr:cNvPr id="55" name="角丸四角形 54"/>
        <xdr:cNvSpPr/>
      </xdr:nvSpPr>
      <xdr:spPr>
        <a:xfrm>
          <a:off x="11643471" y="6179819"/>
          <a:ext cx="2910729" cy="594361"/>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358588</xdr:colOff>
      <xdr:row>7</xdr:row>
      <xdr:rowOff>0</xdr:rowOff>
    </xdr:from>
    <xdr:to>
      <xdr:col>35</xdr:col>
      <xdr:colOff>116541</xdr:colOff>
      <xdr:row>7</xdr:row>
      <xdr:rowOff>134470</xdr:rowOff>
    </xdr:to>
    <xdr:sp macro="" textlink="">
      <xdr:nvSpPr>
        <xdr:cNvPr id="56" name="角丸四角形 55"/>
        <xdr:cNvSpPr/>
      </xdr:nvSpPr>
      <xdr:spPr>
        <a:xfrm>
          <a:off x="11628568" y="4861560"/>
          <a:ext cx="1586753" cy="13447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2250142</xdr:colOff>
      <xdr:row>3</xdr:row>
      <xdr:rowOff>133350</xdr:rowOff>
    </xdr:from>
    <xdr:to>
      <xdr:col>31</xdr:col>
      <xdr:colOff>76200</xdr:colOff>
      <xdr:row>3</xdr:row>
      <xdr:rowOff>1730188</xdr:rowOff>
    </xdr:to>
    <xdr:sp macro="" textlink="">
      <xdr:nvSpPr>
        <xdr:cNvPr id="21" name="フリーフォーム 20"/>
        <xdr:cNvSpPr/>
      </xdr:nvSpPr>
      <xdr:spPr>
        <a:xfrm>
          <a:off x="8211671" y="751915"/>
          <a:ext cx="3536576" cy="1596838"/>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2250142</xdr:colOff>
      <xdr:row>3</xdr:row>
      <xdr:rowOff>2583180</xdr:rowOff>
    </xdr:from>
    <xdr:to>
      <xdr:col>34</xdr:col>
      <xdr:colOff>364807</xdr:colOff>
      <xdr:row>3</xdr:row>
      <xdr:rowOff>3637081</xdr:rowOff>
    </xdr:to>
    <xdr:cxnSp macro="">
      <xdr:nvCxnSpPr>
        <xdr:cNvPr id="23" name="カギ線コネクタ 22"/>
        <xdr:cNvCxnSpPr>
          <a:stCxn id="35" idx="3"/>
          <a:endCxn id="38" idx="2"/>
        </xdr:cNvCxnSpPr>
      </xdr:nvCxnSpPr>
      <xdr:spPr>
        <a:xfrm flipV="1">
          <a:off x="8186122" y="3208020"/>
          <a:ext cx="4911705" cy="1053901"/>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142876</xdr:rowOff>
    </xdr:from>
    <xdr:to>
      <xdr:col>31</xdr:col>
      <xdr:colOff>76200</xdr:colOff>
      <xdr:row>7</xdr:row>
      <xdr:rowOff>1281953</xdr:rowOff>
    </xdr:to>
    <xdr:sp macro="" textlink="">
      <xdr:nvSpPr>
        <xdr:cNvPr id="42" name="フリーフォーム 41"/>
        <xdr:cNvSpPr/>
      </xdr:nvSpPr>
      <xdr:spPr>
        <a:xfrm>
          <a:off x="8220635" y="4992782"/>
          <a:ext cx="3527612" cy="1139077"/>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8965</xdr:colOff>
      <xdr:row>7</xdr:row>
      <xdr:rowOff>1095375</xdr:rowOff>
    </xdr:from>
    <xdr:to>
      <xdr:col>30</xdr:col>
      <xdr:colOff>361950</xdr:colOff>
      <xdr:row>7</xdr:row>
      <xdr:rowOff>2087880</xdr:rowOff>
    </xdr:to>
    <xdr:sp macro="" textlink="">
      <xdr:nvSpPr>
        <xdr:cNvPr id="50" name="フリーフォーム 49"/>
        <xdr:cNvSpPr/>
      </xdr:nvSpPr>
      <xdr:spPr>
        <a:xfrm>
          <a:off x="8208085" y="5956935"/>
          <a:ext cx="3423845" cy="992505"/>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28574</xdr:colOff>
      <xdr:row>0</xdr:row>
      <xdr:rowOff>0</xdr:rowOff>
    </xdr:from>
    <xdr:to>
      <xdr:col>39</xdr:col>
      <xdr:colOff>200024</xdr:colOff>
      <xdr:row>1</xdr:row>
      <xdr:rowOff>9525</xdr:rowOff>
    </xdr:to>
    <xdr:sp macro="" textlink="">
      <xdr:nvSpPr>
        <xdr:cNvPr id="71" name="正方形/長方形 70"/>
        <xdr:cNvSpPr/>
      </xdr:nvSpPr>
      <xdr:spPr>
        <a:xfrm>
          <a:off x="12068174" y="0"/>
          <a:ext cx="2744321" cy="25157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19050</xdr:colOff>
      <xdr:row>0</xdr:row>
      <xdr:rowOff>9525</xdr:rowOff>
    </xdr:from>
    <xdr:ext cx="2305051" cy="276225"/>
    <xdr:sp macro="" textlink="">
      <xdr:nvSpPr>
        <xdr:cNvPr id="48" name="正方形/長方形 47"/>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22</xdr:col>
      <xdr:colOff>0</xdr:colOff>
      <xdr:row>1</xdr:row>
      <xdr:rowOff>9525</xdr:rowOff>
    </xdr:from>
    <xdr:to>
      <xdr:col>35</xdr:col>
      <xdr:colOff>274543</xdr:colOff>
      <xdr:row>3</xdr:row>
      <xdr:rowOff>302559</xdr:rowOff>
    </xdr:to>
    <xdr:cxnSp macro="">
      <xdr:nvCxnSpPr>
        <xdr:cNvPr id="49" name="直線コネクタ 48"/>
        <xdr:cNvCxnSpPr>
          <a:stCxn id="71" idx="2"/>
        </xdr:cNvCxnSpPr>
      </xdr:nvCxnSpPr>
      <xdr:spPr>
        <a:xfrm flipH="1">
          <a:off x="8650941" y="251572"/>
          <a:ext cx="4765861" cy="66955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2248797</xdr:colOff>
      <xdr:row>3</xdr:row>
      <xdr:rowOff>702945</xdr:rowOff>
    </xdr:from>
    <xdr:to>
      <xdr:col>23</xdr:col>
      <xdr:colOff>17928</xdr:colOff>
      <xdr:row>3</xdr:row>
      <xdr:rowOff>708040</xdr:rowOff>
    </xdr:to>
    <xdr:cxnSp macro="">
      <xdr:nvCxnSpPr>
        <xdr:cNvPr id="5" name="直線コネクタ 4"/>
        <xdr:cNvCxnSpPr>
          <a:stCxn id="34" idx="3"/>
          <a:endCxn id="11" idx="1"/>
        </xdr:cNvCxnSpPr>
      </xdr:nvCxnSpPr>
      <xdr:spPr>
        <a:xfrm flipV="1">
          <a:off x="8184777" y="1327785"/>
          <a:ext cx="542811" cy="509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1927860</xdr:rowOff>
    </xdr:from>
    <xdr:to>
      <xdr:col>35</xdr:col>
      <xdr:colOff>68580</xdr:colOff>
      <xdr:row>7</xdr:row>
      <xdr:rowOff>2941320</xdr:rowOff>
    </xdr:to>
    <xdr:sp macro="" textlink="">
      <xdr:nvSpPr>
        <xdr:cNvPr id="12" name="フリーフォーム 11"/>
        <xdr:cNvSpPr/>
      </xdr:nvSpPr>
      <xdr:spPr>
        <a:xfrm>
          <a:off x="8199120" y="6789420"/>
          <a:ext cx="4968240" cy="1013460"/>
        </a:xfrm>
        <a:custGeom>
          <a:avLst/>
          <a:gdLst>
            <a:gd name="connsiteX0" fmla="*/ 0 w 4968240"/>
            <a:gd name="connsiteY0" fmla="*/ 533400 h 533400"/>
            <a:gd name="connsiteX1" fmla="*/ 4960620 w 4968240"/>
            <a:gd name="connsiteY1" fmla="*/ 525780 h 533400"/>
            <a:gd name="connsiteX2" fmla="*/ 4968240 w 4968240"/>
            <a:gd name="connsiteY2" fmla="*/ 0 h 533400"/>
          </a:gdLst>
          <a:ahLst/>
          <a:cxnLst>
            <a:cxn ang="0">
              <a:pos x="connsiteX0" y="connsiteY0"/>
            </a:cxn>
            <a:cxn ang="0">
              <a:pos x="connsiteX1" y="connsiteY1"/>
            </a:cxn>
            <a:cxn ang="0">
              <a:pos x="connsiteX2" y="connsiteY2"/>
            </a:cxn>
          </a:cxnLst>
          <a:rect l="l" t="t" r="r" b="b"/>
          <a:pathLst>
            <a:path w="4968240" h="533400">
              <a:moveTo>
                <a:pt x="0" y="533400"/>
              </a:moveTo>
              <a:lnTo>
                <a:pt x="4960620" y="525780"/>
              </a:lnTo>
              <a:lnTo>
                <a:pt x="4968240" y="0"/>
              </a:lnTo>
            </a:path>
          </a:pathLst>
        </a:cu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2250141</xdr:colOff>
      <xdr:row>7</xdr:row>
      <xdr:rowOff>521186</xdr:rowOff>
    </xdr:from>
    <xdr:to>
      <xdr:col>22</xdr:col>
      <xdr:colOff>78107</xdr:colOff>
      <xdr:row>7</xdr:row>
      <xdr:rowOff>521350</xdr:rowOff>
    </xdr:to>
    <xdr:cxnSp macro="">
      <xdr:nvCxnSpPr>
        <xdr:cNvPr id="14" name="直線コネクタ 13"/>
        <xdr:cNvCxnSpPr>
          <a:stCxn id="45" idx="3"/>
          <a:endCxn id="17" idx="1"/>
        </xdr:cNvCxnSpPr>
      </xdr:nvCxnSpPr>
      <xdr:spPr>
        <a:xfrm flipV="1">
          <a:off x="8186121" y="5382746"/>
          <a:ext cx="517826" cy="1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59048</xdr:colOff>
      <xdr:row>2</xdr:row>
      <xdr:rowOff>59501</xdr:rowOff>
    </xdr:from>
    <xdr:to>
      <xdr:col>17</xdr:col>
      <xdr:colOff>209549</xdr:colOff>
      <xdr:row>12</xdr:row>
      <xdr:rowOff>342900</xdr:rowOff>
    </xdr:to>
    <xdr:sp macro="" textlink="">
      <xdr:nvSpPr>
        <xdr:cNvPr id="5" name="左右矢印 29"/>
        <xdr:cNvSpPr/>
      </xdr:nvSpPr>
      <xdr:spPr>
        <a:xfrm rot="5400000">
          <a:off x="7098249" y="2783425"/>
          <a:ext cx="4341049" cy="15050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60961</xdr:colOff>
      <xdr:row>15</xdr:row>
      <xdr:rowOff>617220</xdr:rowOff>
    </xdr:from>
    <xdr:to>
      <xdr:col>21</xdr:col>
      <xdr:colOff>266700</xdr:colOff>
      <xdr:row>16</xdr:row>
      <xdr:rowOff>359486</xdr:rowOff>
    </xdr:to>
    <xdr:sp macro="" textlink="">
      <xdr:nvSpPr>
        <xdr:cNvPr id="14" name="角丸四角形 74"/>
        <xdr:cNvSpPr/>
      </xdr:nvSpPr>
      <xdr:spPr>
        <a:xfrm>
          <a:off x="10805161" y="6160770"/>
          <a:ext cx="10725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84045</xdr:colOff>
      <xdr:row>15</xdr:row>
      <xdr:rowOff>467283</xdr:rowOff>
    </xdr:from>
    <xdr:ext cx="2184026" cy="1656864"/>
    <xdr:sp macro="" textlink="">
      <xdr:nvSpPr>
        <xdr:cNvPr id="31" name="正方形/長方形 30"/>
        <xdr:cNvSpPr/>
      </xdr:nvSpPr>
      <xdr:spPr>
        <a:xfrm>
          <a:off x="6162116" y="6070224"/>
          <a:ext cx="2184026" cy="165686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b="1">
              <a:solidFill>
                <a:sysClr val="windowText" lastClr="000000"/>
              </a:solidFill>
              <a:effectLst/>
              <a:latin typeface="+mn-ea"/>
              <a:ea typeface="+mn-ea"/>
              <a:cs typeface="+mn-cs"/>
            </a:rPr>
            <a:t>最終年度における</a:t>
          </a:r>
          <a:r>
            <a:rPr lang="ja-JP" altLang="ja-JP" sz="1050" b="1" u="sng">
              <a:solidFill>
                <a:sysClr val="windowText" lastClr="000000"/>
              </a:solidFill>
              <a:effectLst/>
              <a:latin typeface="+mn-ea"/>
              <a:ea typeface="+mn-ea"/>
              <a:cs typeface="+mn-cs"/>
            </a:rPr>
            <a:t>原油換算エネルギー使用量が</a:t>
          </a:r>
          <a:r>
            <a:rPr lang="en-US" altLang="ja-JP" sz="1050" b="1" u="sng">
              <a:solidFill>
                <a:sysClr val="windowText" lastClr="000000"/>
              </a:solidFill>
              <a:effectLst/>
              <a:latin typeface="+mn-ea"/>
              <a:ea typeface="+mn-ea"/>
              <a:cs typeface="+mn-cs"/>
            </a:rPr>
            <a:t>1,000kL</a:t>
          </a:r>
          <a:r>
            <a:rPr lang="ja-JP" altLang="ja-JP" sz="1050" b="1" u="sng">
              <a:solidFill>
                <a:sysClr val="windowText" lastClr="000000"/>
              </a:solidFill>
              <a:effectLst/>
              <a:latin typeface="+mn-ea"/>
              <a:ea typeface="+mn-ea"/>
              <a:cs typeface="+mn-cs"/>
            </a:rPr>
            <a:t>以上の工場等</a:t>
          </a:r>
          <a:r>
            <a:rPr lang="ja-JP" altLang="ja-JP" sz="1050" b="1">
              <a:solidFill>
                <a:sysClr val="windowText" lastClr="000000"/>
              </a:solidFill>
              <a:effectLst/>
              <a:latin typeface="+mn-ea"/>
              <a:ea typeface="+mn-ea"/>
              <a:cs typeface="+mn-cs"/>
            </a:rPr>
            <a:t>を有している場合</a:t>
          </a:r>
          <a:r>
            <a:rPr lang="ja-JP" altLang="en-US" sz="1050" b="1">
              <a:solidFill>
                <a:sysClr val="windowText" lastClr="000000"/>
              </a:solidFill>
              <a:effectLst/>
              <a:latin typeface="+mn-ea"/>
              <a:ea typeface="+mn-ea"/>
              <a:cs typeface="+mn-cs"/>
            </a:rPr>
            <a:t>に記載</a:t>
          </a:r>
          <a:r>
            <a:rPr lang="ja-JP" altLang="en-US" sz="1050" b="0">
              <a:solidFill>
                <a:sysClr val="windowText" lastClr="000000"/>
              </a:solidFill>
              <a:effectLst/>
              <a:latin typeface="+mn-ea"/>
              <a:ea typeface="+mn-ea"/>
              <a:cs typeface="+mn-cs"/>
            </a:rPr>
            <a:t>してください。</a:t>
          </a:r>
          <a:endParaRPr lang="en-US" altLang="ja-JP" sz="1050" b="0">
            <a:solidFill>
              <a:sysClr val="windowText" lastClr="000000"/>
            </a:solidFill>
            <a:effectLst/>
            <a:latin typeface="+mn-ea"/>
            <a:ea typeface="+mn-ea"/>
            <a:cs typeface="+mn-cs"/>
          </a:endParaRPr>
        </a:p>
        <a:p>
          <a:pPr algn="l">
            <a:lnSpc>
              <a:spcPts val="1100"/>
            </a:lnSpc>
          </a:pPr>
          <a:endParaRPr kumimoji="0" lang="en-US" altLang="ja-JP" sz="1000">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1000" b="0" u="none">
              <a:solidFill>
                <a:schemeClr val="tx1"/>
              </a:solidFill>
              <a:effectLst/>
              <a:latin typeface="+mn-ea"/>
              <a:ea typeface="+mn-ea"/>
              <a:cs typeface="+mn-cs"/>
            </a:rPr>
            <a:t>※</a:t>
          </a:r>
          <a:r>
            <a:rPr lang="ja-JP" altLang="ja-JP" sz="1000" b="0" u="none">
              <a:solidFill>
                <a:sysClr val="windowText" lastClr="000000"/>
              </a:solidFill>
              <a:effectLst/>
              <a:latin typeface="+mn-ea"/>
              <a:ea typeface="+mn-ea"/>
              <a:cs typeface="+mn-cs"/>
            </a:rPr>
            <a:t>計画提出時に</a:t>
          </a:r>
          <a:r>
            <a:rPr lang="ja-JP" altLang="en-US" sz="1000" b="0" u="none">
              <a:solidFill>
                <a:sysClr val="windowText" lastClr="000000"/>
              </a:solidFill>
              <a:effectLst/>
              <a:latin typeface="+mn-ea"/>
              <a:ea typeface="+mn-ea"/>
              <a:cs typeface="+mn-cs"/>
            </a:rPr>
            <a:t>エネルギー</a:t>
          </a:r>
          <a:r>
            <a:rPr lang="ja-JP" altLang="ja-JP" sz="1000" b="0" u="none">
              <a:solidFill>
                <a:sysClr val="windowText" lastClr="000000"/>
              </a:solidFill>
              <a:effectLst/>
              <a:latin typeface="+mn-ea"/>
              <a:ea typeface="+mn-ea"/>
              <a:cs typeface="+mn-cs"/>
            </a:rPr>
            <a:t>管理指定工場等に</a:t>
          </a:r>
          <a:r>
            <a:rPr lang="ja-JP" altLang="en-US" sz="1000" b="0" u="none">
              <a:solidFill>
                <a:sysClr val="windowText" lastClr="000000"/>
              </a:solidFill>
              <a:effectLst/>
              <a:latin typeface="+mn-ea"/>
              <a:ea typeface="+mn-ea"/>
              <a:cs typeface="+mn-cs"/>
            </a:rPr>
            <a:t>未指定だったが、計画期間中にエネルギー管理指定工場等に指定された工場等</a:t>
          </a:r>
          <a:r>
            <a:rPr lang="ja-JP" altLang="ja-JP" sz="1000" b="0" u="none">
              <a:solidFill>
                <a:sysClr val="windowText" lastClr="000000"/>
              </a:solidFill>
              <a:effectLst/>
              <a:latin typeface="+mn-ea"/>
              <a:ea typeface="+mn-ea"/>
              <a:cs typeface="+mn-cs"/>
            </a:rPr>
            <a:t>について</a:t>
          </a:r>
          <a:r>
            <a:rPr lang="ja-JP" altLang="en-US" sz="1000" b="0" u="none">
              <a:solidFill>
                <a:sysClr val="windowText" lastClr="000000"/>
              </a:solidFill>
              <a:effectLst/>
              <a:latin typeface="+mn-ea"/>
              <a:ea typeface="+mn-ea"/>
              <a:cs typeface="+mn-cs"/>
            </a:rPr>
            <a:t>も</a:t>
          </a:r>
          <a:r>
            <a:rPr lang="ja-JP" altLang="ja-JP" sz="1000" b="0" u="none">
              <a:solidFill>
                <a:sysClr val="windowText" lastClr="000000"/>
              </a:solidFill>
              <a:effectLst/>
              <a:latin typeface="+mn-ea"/>
              <a:ea typeface="+mn-ea"/>
              <a:cs typeface="+mn-cs"/>
            </a:rPr>
            <a:t>、この欄に記載</a:t>
          </a:r>
          <a:r>
            <a:rPr lang="ja-JP" altLang="en-US" sz="1000" b="0" u="none">
              <a:solidFill>
                <a:sysClr val="windowText" lastClr="000000"/>
              </a:solidFill>
              <a:effectLst/>
              <a:latin typeface="+mn-ea"/>
              <a:ea typeface="+mn-ea"/>
              <a:cs typeface="+mn-cs"/>
            </a:rPr>
            <a:t>してください。</a:t>
          </a:r>
          <a:endParaRPr lang="ja-JP" altLang="ja-JP" sz="1000" b="0" u="none">
            <a:solidFill>
              <a:sysClr val="windowText" lastClr="000000"/>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15</xdr:row>
          <xdr:rowOff>403860</xdr:rowOff>
        </xdr:from>
        <xdr:to>
          <xdr:col>14</xdr:col>
          <xdr:colOff>525780</xdr:colOff>
          <xdr:row>16</xdr:row>
          <xdr:rowOff>114300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xdr:row>
      <xdr:rowOff>228600</xdr:rowOff>
    </xdr:from>
    <xdr:ext cx="2200275" cy="1066800"/>
    <xdr:sp macro="" textlink="">
      <xdr:nvSpPr>
        <xdr:cNvPr id="19" name="四角形吹き出し 26"/>
        <xdr:cNvSpPr/>
      </xdr:nvSpPr>
      <xdr:spPr>
        <a:xfrm>
          <a:off x="6112933" y="1498600"/>
          <a:ext cx="2200275" cy="106680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「指定の区分」「工場等の名称」</a:t>
          </a:r>
          <a:r>
            <a:rPr lang="ja-JP" altLang="en-US" sz="1000" b="0" i="0" u="none" strike="noStrike" baseline="0">
              <a:solidFill>
                <a:schemeClr val="tx1"/>
              </a:solidFill>
              <a:latin typeface="+mn-ea"/>
              <a:ea typeface="+mn-ea"/>
              <a:cs typeface="+mn-cs"/>
            </a:rPr>
            <a:t>はプルダウンボタンから選択してください。</a:t>
          </a:r>
          <a:endParaRPr lang="en-US" altLang="ja-JP" sz="1000" b="1"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（工場等の名称変更がある場合はエネルギー使用量等入力ファイルのシート「</a:t>
          </a:r>
          <a:r>
            <a:rPr lang="en-US" altLang="ja-JP" sz="1000" b="0" i="0" u="none" strike="noStrike" baseline="0">
              <a:solidFill>
                <a:schemeClr val="tx1"/>
              </a:solidFill>
              <a:latin typeface="+mn-ea"/>
              <a:ea typeface="+mn-ea"/>
              <a:cs typeface="+mn-cs"/>
            </a:rPr>
            <a:t>2,</a:t>
          </a:r>
          <a:r>
            <a:rPr lang="ja-JP" altLang="en-US" sz="1000" b="0" i="0" u="none" strike="noStrike" baseline="0">
              <a:solidFill>
                <a:schemeClr val="tx1"/>
              </a:solidFill>
              <a:latin typeface="+mn-ea"/>
              <a:ea typeface="+mn-ea"/>
              <a:cs typeface="+mn-cs"/>
            </a:rPr>
            <a:t>入力</a:t>
          </a:r>
          <a:r>
            <a:rPr lang="en-US" altLang="ja-JP" sz="1000" b="0" i="0" u="none" strike="noStrike" baseline="0">
              <a:solidFill>
                <a:schemeClr val="tx1"/>
              </a:solidFill>
              <a:latin typeface="+mn-ea"/>
              <a:ea typeface="+mn-ea"/>
              <a:cs typeface="+mn-cs"/>
            </a:rPr>
            <a:t>_</a:t>
          </a:r>
          <a:r>
            <a:rPr lang="ja-JP" altLang="en-US" sz="1000" b="0" i="0" u="none" strike="noStrike" baseline="0">
              <a:solidFill>
                <a:schemeClr val="tx1"/>
              </a:solidFill>
              <a:latin typeface="+mn-ea"/>
              <a:ea typeface="+mn-ea"/>
              <a:cs typeface="+mn-cs"/>
            </a:rPr>
            <a:t>使用量</a:t>
          </a:r>
          <a:r>
            <a:rPr lang="en-US" altLang="ja-JP" sz="1000" b="0" i="0" u="none" strike="noStrike" baseline="0">
              <a:solidFill>
                <a:schemeClr val="tx1"/>
              </a:solidFill>
              <a:latin typeface="+mn-ea"/>
              <a:ea typeface="+mn-ea"/>
              <a:cs typeface="+mn-cs"/>
            </a:rPr>
            <a:t>(1,2</a:t>
          </a:r>
          <a:r>
            <a:rPr lang="ja-JP" altLang="en-US" sz="1000" b="0" i="0" u="none" strike="noStrike" baseline="0">
              <a:solidFill>
                <a:schemeClr val="tx1"/>
              </a:solidFill>
              <a:latin typeface="+mn-ea"/>
              <a:ea typeface="+mn-ea"/>
              <a:cs typeface="+mn-cs"/>
            </a:rPr>
            <a:t>号</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」を参照）</a:t>
          </a:r>
          <a:endParaRPr lang="en-US" altLang="ja-JP" sz="1000" b="0" i="0" u="none" strike="noStrike" baseline="0">
            <a:solidFill>
              <a:schemeClr val="tx1"/>
            </a:solidFill>
            <a:latin typeface="+mn-ea"/>
            <a:ea typeface="+mn-ea"/>
            <a:cs typeface="+mn-cs"/>
          </a:endParaRPr>
        </a:p>
      </xdr:txBody>
    </xdr:sp>
    <xdr:clientData/>
  </xdr:oneCellAnchor>
  <xdr:twoCellAnchor>
    <xdr:from>
      <xdr:col>18</xdr:col>
      <xdr:colOff>76200</xdr:colOff>
      <xdr:row>2</xdr:row>
      <xdr:rowOff>625288</xdr:rowOff>
    </xdr:from>
    <xdr:to>
      <xdr:col>22</xdr:col>
      <xdr:colOff>330199</xdr:colOff>
      <xdr:row>3</xdr:row>
      <xdr:rowOff>367554</xdr:rowOff>
    </xdr:to>
    <xdr:sp macro="" textlink="">
      <xdr:nvSpPr>
        <xdr:cNvPr id="20" name="角丸四角形 74"/>
        <xdr:cNvSpPr/>
      </xdr:nvSpPr>
      <xdr:spPr>
        <a:xfrm>
          <a:off x="8737600" y="1260288"/>
          <a:ext cx="1396999" cy="3772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380442</xdr:colOff>
      <xdr:row>2</xdr:row>
      <xdr:rowOff>609600</xdr:rowOff>
    </xdr:from>
    <xdr:to>
      <xdr:col>29</xdr:col>
      <xdr:colOff>403302</xdr:colOff>
      <xdr:row>4</xdr:row>
      <xdr:rowOff>35860</xdr:rowOff>
    </xdr:to>
    <xdr:sp macro="" textlink="">
      <xdr:nvSpPr>
        <xdr:cNvPr id="22" name="角丸四角形 74"/>
        <xdr:cNvSpPr/>
      </xdr:nvSpPr>
      <xdr:spPr>
        <a:xfrm>
          <a:off x="13372542" y="1009650"/>
          <a:ext cx="842010" cy="43591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77320</xdr:colOff>
      <xdr:row>6</xdr:row>
      <xdr:rowOff>205660</xdr:rowOff>
    </xdr:from>
    <xdr:ext cx="2199715" cy="1011555"/>
    <xdr:sp macro="" textlink="">
      <xdr:nvSpPr>
        <xdr:cNvPr id="24" name="四角形吹き出し 26"/>
        <xdr:cNvSpPr/>
      </xdr:nvSpPr>
      <xdr:spPr>
        <a:xfrm>
          <a:off x="6114053" y="2618660"/>
          <a:ext cx="2199715"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xdr:twoCellAnchor>
    <xdr:from>
      <xdr:col>23</xdr:col>
      <xdr:colOff>8465</xdr:colOff>
      <xdr:row>2</xdr:row>
      <xdr:rowOff>629944</xdr:rowOff>
    </xdr:from>
    <xdr:to>
      <xdr:col>26</xdr:col>
      <xdr:colOff>144220</xdr:colOff>
      <xdr:row>3</xdr:row>
      <xdr:rowOff>365860</xdr:rowOff>
    </xdr:to>
    <xdr:sp macro="" textlink="">
      <xdr:nvSpPr>
        <xdr:cNvPr id="25" name="角丸四角形 74"/>
        <xdr:cNvSpPr/>
      </xdr:nvSpPr>
      <xdr:spPr>
        <a:xfrm>
          <a:off x="10176932" y="1264944"/>
          <a:ext cx="1541221"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82363</xdr:colOff>
      <xdr:row>9</xdr:row>
      <xdr:rowOff>120047</xdr:rowOff>
    </xdr:from>
    <xdr:ext cx="2194671" cy="1844222"/>
    <xdr:sp macro="" textlink="">
      <xdr:nvSpPr>
        <xdr:cNvPr id="27" name="四角形吹き出し 26"/>
        <xdr:cNvSpPr/>
      </xdr:nvSpPr>
      <xdr:spPr>
        <a:xfrm>
          <a:off x="6119096" y="3676047"/>
          <a:ext cx="2194671" cy="1844222"/>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9</xdr:row>
          <xdr:rowOff>53340</xdr:rowOff>
        </xdr:from>
        <xdr:to>
          <xdr:col>14</xdr:col>
          <xdr:colOff>525780</xdr:colOff>
          <xdr:row>10</xdr:row>
          <xdr:rowOff>15240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6</xdr:row>
          <xdr:rowOff>152400</xdr:rowOff>
        </xdr:from>
        <xdr:to>
          <xdr:col>14</xdr:col>
          <xdr:colOff>518160</xdr:colOff>
          <xdr:row>7</xdr:row>
          <xdr:rowOff>114300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167640</xdr:rowOff>
        </xdr:from>
        <xdr:to>
          <xdr:col>14</xdr:col>
          <xdr:colOff>525780</xdr:colOff>
          <xdr:row>4</xdr:row>
          <xdr:rowOff>129540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89647</xdr:colOff>
      <xdr:row>1</xdr:row>
      <xdr:rowOff>211680</xdr:rowOff>
    </xdr:from>
    <xdr:ext cx="2187388" cy="854658"/>
    <xdr:sp macro="" textlink="">
      <xdr:nvSpPr>
        <xdr:cNvPr id="30" name="正方形/長方形 29"/>
        <xdr:cNvSpPr/>
      </xdr:nvSpPr>
      <xdr:spPr>
        <a:xfrm>
          <a:off x="6126380" y="592680"/>
          <a:ext cx="2187388" cy="854658"/>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a:solidFill>
                <a:schemeClr val="tx1"/>
              </a:solidFill>
            </a:rPr>
            <a:t>この第６面は、今期の計画書提出時</a:t>
          </a:r>
          <a:r>
            <a:rPr kumimoji="1" lang="ja-JP" altLang="en-US" sz="1100" b="1" u="none">
              <a:solidFill>
                <a:schemeClr val="tx1"/>
              </a:solidFill>
            </a:rPr>
            <a:t>にエネルギー管理指定工場等に指定された工場がある場合のみ記載して</a:t>
          </a:r>
          <a:r>
            <a:rPr kumimoji="1" lang="ja-JP" altLang="en-US" sz="1100" b="1">
              <a:solidFill>
                <a:schemeClr val="tx1"/>
              </a:solidFill>
            </a:rPr>
            <a:t>ください。</a:t>
          </a:r>
          <a:endParaRPr kumimoji="1" lang="en-US" altLang="ja-JP" sz="1100" b="1">
            <a:solidFill>
              <a:schemeClr val="tx1"/>
            </a:solidFill>
          </a:endParaRPr>
        </a:p>
      </xdr:txBody>
    </xdr:sp>
    <xdr:clientData/>
  </xdr:oneCellAnchor>
  <xdr:oneCellAnchor>
    <xdr:from>
      <xdr:col>17</xdr:col>
      <xdr:colOff>9525</xdr:colOff>
      <xdr:row>0</xdr:row>
      <xdr:rowOff>9526</xdr:rowOff>
    </xdr:from>
    <xdr:ext cx="3414993" cy="259416"/>
    <xdr:sp macro="" textlink="">
      <xdr:nvSpPr>
        <xdr:cNvPr id="39" name="正方形/長方形 38"/>
        <xdr:cNvSpPr/>
      </xdr:nvSpPr>
      <xdr:spPr>
        <a:xfrm>
          <a:off x="8499101" y="9526"/>
          <a:ext cx="3414993" cy="25941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2276475</xdr:colOff>
      <xdr:row>3</xdr:row>
      <xdr:rowOff>367554</xdr:rowOff>
    </xdr:from>
    <xdr:to>
      <xdr:col>20</xdr:col>
      <xdr:colOff>359833</xdr:colOff>
      <xdr:row>5</xdr:row>
      <xdr:rowOff>0</xdr:rowOff>
    </xdr:to>
    <xdr:cxnSp macro="">
      <xdr:nvCxnSpPr>
        <xdr:cNvPr id="35" name="カギ線コネクタ 34"/>
        <xdr:cNvCxnSpPr>
          <a:stCxn id="20" idx="2"/>
          <a:endCxn id="19" idx="3"/>
        </xdr:cNvCxnSpPr>
      </xdr:nvCxnSpPr>
      <xdr:spPr>
        <a:xfrm rot="5400000">
          <a:off x="8677431" y="1273331"/>
          <a:ext cx="394446" cy="112289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2277035</xdr:colOff>
      <xdr:row>3</xdr:row>
      <xdr:rowOff>365861</xdr:rowOff>
    </xdr:from>
    <xdr:to>
      <xdr:col>25</xdr:col>
      <xdr:colOff>50943</xdr:colOff>
      <xdr:row>7</xdr:row>
      <xdr:rowOff>330439</xdr:rowOff>
    </xdr:to>
    <xdr:cxnSp macro="">
      <xdr:nvCxnSpPr>
        <xdr:cNvPr id="42" name="カギ線コネクタ 41"/>
        <xdr:cNvCxnSpPr>
          <a:stCxn id="25" idx="2"/>
          <a:endCxn id="24" idx="3"/>
        </xdr:cNvCxnSpPr>
      </xdr:nvCxnSpPr>
      <xdr:spPr>
        <a:xfrm rot="5400000">
          <a:off x="8886367" y="1063262"/>
          <a:ext cx="1488578" cy="2633775"/>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2277034</xdr:colOff>
      <xdr:row>4</xdr:row>
      <xdr:rowOff>35860</xdr:rowOff>
    </xdr:from>
    <xdr:to>
      <xdr:col>29</xdr:col>
      <xdr:colOff>1136</xdr:colOff>
      <xdr:row>11</xdr:row>
      <xdr:rowOff>280158</xdr:rowOff>
    </xdr:to>
    <xdr:cxnSp macro="">
      <xdr:nvCxnSpPr>
        <xdr:cNvPr id="45" name="カギ線コネクタ 44"/>
        <xdr:cNvCxnSpPr>
          <a:stCxn id="22" idx="2"/>
          <a:endCxn id="27" idx="3"/>
        </xdr:cNvCxnSpPr>
      </xdr:nvCxnSpPr>
      <xdr:spPr>
        <a:xfrm rot="5400000">
          <a:off x="9034869" y="965758"/>
          <a:ext cx="2911298" cy="435350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2268072</xdr:colOff>
      <xdr:row>16</xdr:row>
      <xdr:rowOff>359486</xdr:rowOff>
    </xdr:from>
    <xdr:to>
      <xdr:col>20</xdr:col>
      <xdr:colOff>141420</xdr:colOff>
      <xdr:row>17</xdr:row>
      <xdr:rowOff>273738</xdr:rowOff>
    </xdr:to>
    <xdr:cxnSp macro="">
      <xdr:nvCxnSpPr>
        <xdr:cNvPr id="48" name="カギ線コネクタ 47"/>
        <xdr:cNvCxnSpPr>
          <a:stCxn id="14" idx="2"/>
          <a:endCxn id="31" idx="3"/>
        </xdr:cNvCxnSpPr>
      </xdr:nvCxnSpPr>
      <xdr:spPr>
        <a:xfrm rot="5400000">
          <a:off x="8652467" y="6292597"/>
          <a:ext cx="299735" cy="912383"/>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53" name="正方形/長方形 52"/>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314326</xdr:colOff>
      <xdr:row>0</xdr:row>
      <xdr:rowOff>9525</xdr:rowOff>
    </xdr:from>
    <xdr:to>
      <xdr:col>30</xdr:col>
      <xdr:colOff>695326</xdr:colOff>
      <xdr:row>0</xdr:row>
      <xdr:rowOff>266700</xdr:rowOff>
    </xdr:to>
    <xdr:sp macro="" textlink="">
      <xdr:nvSpPr>
        <xdr:cNvPr id="26" name="正方形/長方形 25"/>
        <xdr:cNvSpPr/>
      </xdr:nvSpPr>
      <xdr:spPr>
        <a:xfrm>
          <a:off x="12944476" y="9525"/>
          <a:ext cx="2019300" cy="2571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県ホームページで公表します。</a:t>
          </a:r>
        </a:p>
      </xdr:txBody>
    </xdr:sp>
    <xdr:clientData/>
  </xdr:twoCellAnchor>
  <xdr:twoCellAnchor>
    <xdr:from>
      <xdr:col>17</xdr:col>
      <xdr:colOff>201705</xdr:colOff>
      <xdr:row>0</xdr:row>
      <xdr:rowOff>266700</xdr:rowOff>
    </xdr:from>
    <xdr:to>
      <xdr:col>29</xdr:col>
      <xdr:colOff>90208</xdr:colOff>
      <xdr:row>2</xdr:row>
      <xdr:rowOff>403412</xdr:rowOff>
    </xdr:to>
    <xdr:cxnSp macro="">
      <xdr:nvCxnSpPr>
        <xdr:cNvPr id="28" name="直線コネクタ 27"/>
        <xdr:cNvCxnSpPr>
          <a:stCxn id="26" idx="2"/>
        </xdr:cNvCxnSpPr>
      </xdr:nvCxnSpPr>
      <xdr:spPr>
        <a:xfrm flipH="1">
          <a:off x="9390529" y="266700"/>
          <a:ext cx="4651003" cy="7642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84605</xdr:colOff>
      <xdr:row>20</xdr:row>
      <xdr:rowOff>100963</xdr:rowOff>
    </xdr:from>
    <xdr:ext cx="2192430" cy="1011555"/>
    <xdr:sp macro="" textlink="">
      <xdr:nvSpPr>
        <xdr:cNvPr id="29" name="四角形吹き出し 26"/>
        <xdr:cNvSpPr/>
      </xdr:nvSpPr>
      <xdr:spPr>
        <a:xfrm>
          <a:off x="6162676" y="7882328"/>
          <a:ext cx="2192430"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106680</xdr:colOff>
          <xdr:row>20</xdr:row>
          <xdr:rowOff>30480</xdr:rowOff>
        </xdr:from>
        <xdr:to>
          <xdr:col>14</xdr:col>
          <xdr:colOff>487680</xdr:colOff>
          <xdr:row>20</xdr:row>
          <xdr:rowOff>373380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365761</xdr:colOff>
      <xdr:row>15</xdr:row>
      <xdr:rowOff>617220</xdr:rowOff>
    </xdr:from>
    <xdr:to>
      <xdr:col>25</xdr:col>
      <xdr:colOff>371475</xdr:colOff>
      <xdr:row>16</xdr:row>
      <xdr:rowOff>359486</xdr:rowOff>
    </xdr:to>
    <xdr:sp macro="" textlink="">
      <xdr:nvSpPr>
        <xdr:cNvPr id="33" name="角丸四角形 74"/>
        <xdr:cNvSpPr/>
      </xdr:nvSpPr>
      <xdr:spPr>
        <a:xfrm>
          <a:off x="11976736" y="6160770"/>
          <a:ext cx="16440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2277036</xdr:colOff>
      <xdr:row>16</xdr:row>
      <xdr:rowOff>359486</xdr:rowOff>
    </xdr:from>
    <xdr:to>
      <xdr:col>24</xdr:col>
      <xdr:colOff>1066</xdr:colOff>
      <xdr:row>21</xdr:row>
      <xdr:rowOff>221259</xdr:rowOff>
    </xdr:to>
    <xdr:cxnSp macro="">
      <xdr:nvCxnSpPr>
        <xdr:cNvPr id="34" name="カギ線コネクタ 33"/>
        <xdr:cNvCxnSpPr>
          <a:stCxn id="33" idx="2"/>
          <a:endCxn id="29" idx="3"/>
        </xdr:cNvCxnSpPr>
      </xdr:nvCxnSpPr>
      <xdr:spPr>
        <a:xfrm rot="5400000">
          <a:off x="8577153" y="6376875"/>
          <a:ext cx="1789185" cy="2233277"/>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33618</xdr:colOff>
      <xdr:row>15</xdr:row>
      <xdr:rowOff>6</xdr:rowOff>
    </xdr:from>
    <xdr:to>
      <xdr:col>18</xdr:col>
      <xdr:colOff>1682</xdr:colOff>
      <xdr:row>26</xdr:row>
      <xdr:rowOff>5</xdr:rowOff>
    </xdr:to>
    <xdr:sp macro="" textlink="">
      <xdr:nvSpPr>
        <xdr:cNvPr id="32" name="左右矢印 31"/>
        <xdr:cNvSpPr/>
      </xdr:nvSpPr>
      <xdr:spPr>
        <a:xfrm rot="5400000">
          <a:off x="7105372" y="7652782"/>
          <a:ext cx="4437528" cy="203387"/>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150860</xdr:colOff>
      <xdr:row>17</xdr:row>
      <xdr:rowOff>374264</xdr:rowOff>
    </xdr:from>
    <xdr:to>
      <xdr:col>31</xdr:col>
      <xdr:colOff>761999</xdr:colOff>
      <xdr:row>18</xdr:row>
      <xdr:rowOff>296158</xdr:rowOff>
    </xdr:to>
    <xdr:sp macro="" textlink="">
      <xdr:nvSpPr>
        <xdr:cNvPr id="36" name="正方形/長方形 35"/>
        <xdr:cNvSpPr/>
      </xdr:nvSpPr>
      <xdr:spPr>
        <a:xfrm>
          <a:off x="11724793" y="6944397"/>
          <a:ext cx="2753206"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188258</xdr:colOff>
      <xdr:row>18</xdr:row>
      <xdr:rowOff>144711</xdr:rowOff>
    </xdr:from>
    <xdr:to>
      <xdr:col>26</xdr:col>
      <xdr:colOff>150860</xdr:colOff>
      <xdr:row>20</xdr:row>
      <xdr:rowOff>75702</xdr:rowOff>
    </xdr:to>
    <xdr:cxnSp macro="">
      <xdr:nvCxnSpPr>
        <xdr:cNvPr id="37" name="直線コネクタ 36"/>
        <xdr:cNvCxnSpPr>
          <a:stCxn id="36" idx="1"/>
        </xdr:cNvCxnSpPr>
      </xdr:nvCxnSpPr>
      <xdr:spPr>
        <a:xfrm flipH="1">
          <a:off x="8637991" y="7095844"/>
          <a:ext cx="3086802" cy="69299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15</xdr:row>
      <xdr:rowOff>114301</xdr:rowOff>
    </xdr:from>
    <xdr:to>
      <xdr:col>6</xdr:col>
      <xdr:colOff>247018</xdr:colOff>
      <xdr:row>15</xdr:row>
      <xdr:rowOff>240367</xdr:rowOff>
    </xdr:to>
    <xdr:sp macro="" textlink="">
      <xdr:nvSpPr>
        <xdr:cNvPr id="35892" name="Text Box 52"/>
        <xdr:cNvSpPr txBox="1">
          <a:spLocks noChangeArrowheads="1"/>
        </xdr:cNvSpPr>
      </xdr:nvSpPr>
      <xdr:spPr bwMode="auto">
        <a:xfrm>
          <a:off x="1773555" y="3901441"/>
          <a:ext cx="192405"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32385</xdr:colOff>
      <xdr:row>15</xdr:row>
      <xdr:rowOff>123826</xdr:rowOff>
    </xdr:from>
    <xdr:to>
      <xdr:col>11</xdr:col>
      <xdr:colOff>342519</xdr:colOff>
      <xdr:row>15</xdr:row>
      <xdr:rowOff>240324</xdr:rowOff>
    </xdr:to>
    <xdr:sp macro="" textlink="">
      <xdr:nvSpPr>
        <xdr:cNvPr id="35893" name="Text Box 53"/>
        <xdr:cNvSpPr txBox="1">
          <a:spLocks noChangeArrowheads="1"/>
        </xdr:cNvSpPr>
      </xdr:nvSpPr>
      <xdr:spPr bwMode="auto">
        <a:xfrm>
          <a:off x="2801229" y="4033472"/>
          <a:ext cx="281940"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15</xdr:row>
      <xdr:rowOff>144780</xdr:rowOff>
    </xdr:from>
    <xdr:to>
      <xdr:col>16</xdr:col>
      <xdr:colOff>249765</xdr:colOff>
      <xdr:row>15</xdr:row>
      <xdr:rowOff>274320</xdr:rowOff>
    </xdr:to>
    <xdr:sp macro="" textlink="">
      <xdr:nvSpPr>
        <xdr:cNvPr id="35894" name="Text Box 54"/>
        <xdr:cNvSpPr txBox="1">
          <a:spLocks noChangeArrowheads="1"/>
        </xdr:cNvSpPr>
      </xdr:nvSpPr>
      <xdr:spPr bwMode="auto">
        <a:xfrm>
          <a:off x="4116705" y="3932873"/>
          <a:ext cx="193358"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15</xdr:row>
      <xdr:rowOff>144780</xdr:rowOff>
    </xdr:from>
    <xdr:to>
      <xdr:col>20</xdr:col>
      <xdr:colOff>285542</xdr:colOff>
      <xdr:row>15</xdr:row>
      <xdr:rowOff>270129</xdr:rowOff>
    </xdr:to>
    <xdr:sp macro="" textlink="">
      <xdr:nvSpPr>
        <xdr:cNvPr id="35895" name="Text Box 55"/>
        <xdr:cNvSpPr txBox="1">
          <a:spLocks noChangeArrowheads="1"/>
        </xdr:cNvSpPr>
      </xdr:nvSpPr>
      <xdr:spPr bwMode="auto">
        <a:xfrm>
          <a:off x="5254943" y="3932873"/>
          <a:ext cx="22669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17</xdr:row>
      <xdr:rowOff>137161</xdr:rowOff>
    </xdr:from>
    <xdr:to>
      <xdr:col>6</xdr:col>
      <xdr:colOff>269442</xdr:colOff>
      <xdr:row>17</xdr:row>
      <xdr:rowOff>286087</xdr:rowOff>
    </xdr:to>
    <xdr:sp macro="" textlink="">
      <xdr:nvSpPr>
        <xdr:cNvPr id="35896" name="Text Box 56"/>
        <xdr:cNvSpPr txBox="1">
          <a:spLocks noChangeArrowheads="1"/>
        </xdr:cNvSpPr>
      </xdr:nvSpPr>
      <xdr:spPr bwMode="auto">
        <a:xfrm>
          <a:off x="1773555" y="4617721"/>
          <a:ext cx="222885"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17</xdr:row>
      <xdr:rowOff>116205</xdr:rowOff>
    </xdr:from>
    <xdr:to>
      <xdr:col>11</xdr:col>
      <xdr:colOff>291824</xdr:colOff>
      <xdr:row>17</xdr:row>
      <xdr:rowOff>234461</xdr:rowOff>
    </xdr:to>
    <xdr:sp macro="" textlink="">
      <xdr:nvSpPr>
        <xdr:cNvPr id="35897" name="Text Box 57"/>
        <xdr:cNvSpPr txBox="1">
          <a:spLocks noChangeArrowheads="1"/>
        </xdr:cNvSpPr>
      </xdr:nvSpPr>
      <xdr:spPr bwMode="auto">
        <a:xfrm>
          <a:off x="2801228" y="4729236"/>
          <a:ext cx="240909" cy="11825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17</xdr:row>
      <xdr:rowOff>137160</xdr:rowOff>
    </xdr:from>
    <xdr:to>
      <xdr:col>16</xdr:col>
      <xdr:colOff>262409</xdr:colOff>
      <xdr:row>17</xdr:row>
      <xdr:rowOff>269882</xdr:rowOff>
    </xdr:to>
    <xdr:sp macro="" textlink="">
      <xdr:nvSpPr>
        <xdr:cNvPr id="35898" name="Text Box 58"/>
        <xdr:cNvSpPr txBox="1">
          <a:spLocks noChangeArrowheads="1"/>
        </xdr:cNvSpPr>
      </xdr:nvSpPr>
      <xdr:spPr bwMode="auto">
        <a:xfrm>
          <a:off x="4116705" y="4628198"/>
          <a:ext cx="20764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20</xdr:row>
      <xdr:rowOff>121921</xdr:rowOff>
    </xdr:from>
    <xdr:to>
      <xdr:col>6</xdr:col>
      <xdr:colOff>254789</xdr:colOff>
      <xdr:row>20</xdr:row>
      <xdr:rowOff>240367</xdr:rowOff>
    </xdr:to>
    <xdr:sp macro="" textlink="">
      <xdr:nvSpPr>
        <xdr:cNvPr id="35899" name="Text Box 59"/>
        <xdr:cNvSpPr txBox="1">
          <a:spLocks noChangeArrowheads="1"/>
        </xdr:cNvSpPr>
      </xdr:nvSpPr>
      <xdr:spPr bwMode="auto">
        <a:xfrm>
          <a:off x="1773555" y="567690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20</xdr:row>
      <xdr:rowOff>123826</xdr:rowOff>
    </xdr:from>
    <xdr:to>
      <xdr:col>11</xdr:col>
      <xdr:colOff>274319</xdr:colOff>
      <xdr:row>20</xdr:row>
      <xdr:rowOff>240324</xdr:rowOff>
    </xdr:to>
    <xdr:sp macro="" textlink="">
      <xdr:nvSpPr>
        <xdr:cNvPr id="35900" name="Text Box 60"/>
        <xdr:cNvSpPr txBox="1">
          <a:spLocks noChangeArrowheads="1"/>
        </xdr:cNvSpPr>
      </xdr:nvSpPr>
      <xdr:spPr bwMode="auto">
        <a:xfrm>
          <a:off x="2801228" y="5780211"/>
          <a:ext cx="223325"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endParaRPr lang="en-US" altLang="ja-JP" sz="800" b="0" i="0" u="none" strike="noStrike" baseline="0">
            <a:solidFill>
              <a:srgbClr val="000000"/>
            </a:solidFill>
            <a:latin typeface="ＭＳ Ｐ明朝"/>
            <a:ea typeface="ＭＳ Ｐ明朝"/>
          </a:endParaRPr>
        </a:p>
      </xdr:txBody>
    </xdr:sp>
    <xdr:clientData/>
  </xdr:twoCellAnchor>
  <xdr:twoCellAnchor>
    <xdr:from>
      <xdr:col>16</xdr:col>
      <xdr:colOff>40005</xdr:colOff>
      <xdr:row>20</xdr:row>
      <xdr:rowOff>137161</xdr:rowOff>
    </xdr:from>
    <xdr:to>
      <xdr:col>16</xdr:col>
      <xdr:colOff>263353</xdr:colOff>
      <xdr:row>20</xdr:row>
      <xdr:rowOff>269635</xdr:rowOff>
    </xdr:to>
    <xdr:sp macro="" textlink="">
      <xdr:nvSpPr>
        <xdr:cNvPr id="35901" name="Text Box 61"/>
        <xdr:cNvSpPr txBox="1">
          <a:spLocks noChangeArrowheads="1"/>
        </xdr:cNvSpPr>
      </xdr:nvSpPr>
      <xdr:spPr bwMode="auto">
        <a:xfrm>
          <a:off x="4105275" y="5684521"/>
          <a:ext cx="21526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20</xdr:row>
      <xdr:rowOff>144780</xdr:rowOff>
    </xdr:from>
    <xdr:to>
      <xdr:col>20</xdr:col>
      <xdr:colOff>245455</xdr:colOff>
      <xdr:row>20</xdr:row>
      <xdr:rowOff>257736</xdr:rowOff>
    </xdr:to>
    <xdr:sp macro="" textlink="">
      <xdr:nvSpPr>
        <xdr:cNvPr id="35902" name="Text Box 62"/>
        <xdr:cNvSpPr txBox="1">
          <a:spLocks noChangeArrowheads="1"/>
        </xdr:cNvSpPr>
      </xdr:nvSpPr>
      <xdr:spPr bwMode="auto">
        <a:xfrm>
          <a:off x="5254943" y="5704523"/>
          <a:ext cx="198120"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22</xdr:row>
      <xdr:rowOff>137161</xdr:rowOff>
    </xdr:from>
    <xdr:to>
      <xdr:col>6</xdr:col>
      <xdr:colOff>254789</xdr:colOff>
      <xdr:row>22</xdr:row>
      <xdr:rowOff>261935</xdr:rowOff>
    </xdr:to>
    <xdr:sp macro="" textlink="">
      <xdr:nvSpPr>
        <xdr:cNvPr id="35903" name="Text Box 63"/>
        <xdr:cNvSpPr txBox="1">
          <a:spLocks noChangeArrowheads="1"/>
        </xdr:cNvSpPr>
      </xdr:nvSpPr>
      <xdr:spPr bwMode="auto">
        <a:xfrm>
          <a:off x="1773555" y="6377941"/>
          <a:ext cx="207645"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22</xdr:row>
      <xdr:rowOff>146685</xdr:rowOff>
    </xdr:from>
    <xdr:to>
      <xdr:col>11</xdr:col>
      <xdr:colOff>331553</xdr:colOff>
      <xdr:row>22</xdr:row>
      <xdr:rowOff>257908</xdr:rowOff>
    </xdr:to>
    <xdr:sp macro="" textlink="">
      <xdr:nvSpPr>
        <xdr:cNvPr id="35904" name="Text Box 64"/>
        <xdr:cNvSpPr txBox="1">
          <a:spLocks noChangeArrowheads="1"/>
        </xdr:cNvSpPr>
      </xdr:nvSpPr>
      <xdr:spPr bwMode="auto">
        <a:xfrm>
          <a:off x="2801228" y="6494731"/>
          <a:ext cx="270217" cy="1112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22</xdr:row>
      <xdr:rowOff>121921</xdr:rowOff>
    </xdr:from>
    <xdr:to>
      <xdr:col>16</xdr:col>
      <xdr:colOff>262409</xdr:colOff>
      <xdr:row>22</xdr:row>
      <xdr:rowOff>240367</xdr:rowOff>
    </xdr:to>
    <xdr:sp macro="" textlink="">
      <xdr:nvSpPr>
        <xdr:cNvPr id="35905" name="Text Box 65"/>
        <xdr:cNvSpPr txBox="1">
          <a:spLocks noChangeArrowheads="1"/>
        </xdr:cNvSpPr>
      </xdr:nvSpPr>
      <xdr:spPr bwMode="auto">
        <a:xfrm>
          <a:off x="4105275" y="637032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22</xdr:row>
      <xdr:rowOff>152401</xdr:rowOff>
    </xdr:from>
    <xdr:to>
      <xdr:col>20</xdr:col>
      <xdr:colOff>254789</xdr:colOff>
      <xdr:row>22</xdr:row>
      <xdr:rowOff>293707</xdr:rowOff>
    </xdr:to>
    <xdr:sp macro="" textlink="">
      <xdr:nvSpPr>
        <xdr:cNvPr id="35906" name="Text Box 66"/>
        <xdr:cNvSpPr txBox="1">
          <a:spLocks noChangeArrowheads="1"/>
        </xdr:cNvSpPr>
      </xdr:nvSpPr>
      <xdr:spPr bwMode="auto">
        <a:xfrm>
          <a:off x="5240655" y="6393181"/>
          <a:ext cx="20764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17</xdr:row>
      <xdr:rowOff>144780</xdr:rowOff>
    </xdr:from>
    <xdr:to>
      <xdr:col>20</xdr:col>
      <xdr:colOff>247018</xdr:colOff>
      <xdr:row>17</xdr:row>
      <xdr:rowOff>289560</xdr:rowOff>
    </xdr:to>
    <xdr:sp macro="" textlink="">
      <xdr:nvSpPr>
        <xdr:cNvPr id="35907" name="Text Box 67"/>
        <xdr:cNvSpPr txBox="1">
          <a:spLocks noChangeArrowheads="1"/>
        </xdr:cNvSpPr>
      </xdr:nvSpPr>
      <xdr:spPr bwMode="auto">
        <a:xfrm>
          <a:off x="5240655" y="4625340"/>
          <a:ext cx="192405"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15</xdr:row>
      <xdr:rowOff>114301</xdr:rowOff>
    </xdr:from>
    <xdr:to>
      <xdr:col>36</xdr:col>
      <xdr:colOff>247018</xdr:colOff>
      <xdr:row>15</xdr:row>
      <xdr:rowOff>240367</xdr:rowOff>
    </xdr:to>
    <xdr:sp macro="" textlink="">
      <xdr:nvSpPr>
        <xdr:cNvPr id="22" name="Text Box 52"/>
        <xdr:cNvSpPr txBox="1">
          <a:spLocks noChangeArrowheads="1"/>
        </xdr:cNvSpPr>
      </xdr:nvSpPr>
      <xdr:spPr bwMode="auto">
        <a:xfrm>
          <a:off x="1890656" y="3890683"/>
          <a:ext cx="211646"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15</xdr:row>
      <xdr:rowOff>123826</xdr:rowOff>
    </xdr:from>
    <xdr:to>
      <xdr:col>41</xdr:col>
      <xdr:colOff>268094</xdr:colOff>
      <xdr:row>15</xdr:row>
      <xdr:rowOff>240324</xdr:rowOff>
    </xdr:to>
    <xdr:sp macro="" textlink="">
      <xdr:nvSpPr>
        <xdr:cNvPr id="23" name="Text Box 53"/>
        <xdr:cNvSpPr txBox="1">
          <a:spLocks noChangeArrowheads="1"/>
        </xdr:cNvSpPr>
      </xdr:nvSpPr>
      <xdr:spPr bwMode="auto">
        <a:xfrm>
          <a:off x="9438248" y="4033472"/>
          <a:ext cx="209843"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15</xdr:row>
      <xdr:rowOff>144780</xdr:rowOff>
    </xdr:from>
    <xdr:to>
      <xdr:col>46</xdr:col>
      <xdr:colOff>242145</xdr:colOff>
      <xdr:row>15</xdr:row>
      <xdr:rowOff>274320</xdr:rowOff>
    </xdr:to>
    <xdr:sp macro="" textlink="">
      <xdr:nvSpPr>
        <xdr:cNvPr id="24" name="Text Box 54"/>
        <xdr:cNvSpPr txBox="1">
          <a:spLocks noChangeArrowheads="1"/>
        </xdr:cNvSpPr>
      </xdr:nvSpPr>
      <xdr:spPr bwMode="auto">
        <a:xfrm>
          <a:off x="4434392" y="3913542"/>
          <a:ext cx="212694"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15</xdr:row>
      <xdr:rowOff>144780</xdr:rowOff>
    </xdr:from>
    <xdr:to>
      <xdr:col>50</xdr:col>
      <xdr:colOff>293162</xdr:colOff>
      <xdr:row>15</xdr:row>
      <xdr:rowOff>270129</xdr:rowOff>
    </xdr:to>
    <xdr:sp macro="" textlink="">
      <xdr:nvSpPr>
        <xdr:cNvPr id="25" name="Text Box 55"/>
        <xdr:cNvSpPr txBox="1">
          <a:spLocks noChangeArrowheads="1"/>
        </xdr:cNvSpPr>
      </xdr:nvSpPr>
      <xdr:spPr bwMode="auto">
        <a:xfrm>
          <a:off x="5599804" y="3913542"/>
          <a:ext cx="25503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17</xdr:row>
      <xdr:rowOff>137161</xdr:rowOff>
    </xdr:from>
    <xdr:to>
      <xdr:col>36</xdr:col>
      <xdr:colOff>269442</xdr:colOff>
      <xdr:row>17</xdr:row>
      <xdr:rowOff>286087</xdr:rowOff>
    </xdr:to>
    <xdr:sp macro="" textlink="">
      <xdr:nvSpPr>
        <xdr:cNvPr id="26" name="Text Box 56"/>
        <xdr:cNvSpPr txBox="1">
          <a:spLocks noChangeArrowheads="1"/>
        </xdr:cNvSpPr>
      </xdr:nvSpPr>
      <xdr:spPr bwMode="auto">
        <a:xfrm>
          <a:off x="1890656" y="4608308"/>
          <a:ext cx="241459"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17</xdr:row>
      <xdr:rowOff>116205</xdr:rowOff>
    </xdr:from>
    <xdr:to>
      <xdr:col>41</xdr:col>
      <xdr:colOff>301288</xdr:colOff>
      <xdr:row>17</xdr:row>
      <xdr:rowOff>240323</xdr:rowOff>
    </xdr:to>
    <xdr:sp macro="" textlink="">
      <xdr:nvSpPr>
        <xdr:cNvPr id="27" name="Text Box 57"/>
        <xdr:cNvSpPr txBox="1">
          <a:spLocks noChangeArrowheads="1"/>
        </xdr:cNvSpPr>
      </xdr:nvSpPr>
      <xdr:spPr bwMode="auto">
        <a:xfrm>
          <a:off x="9438248" y="4729236"/>
          <a:ext cx="233289" cy="12411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17</xdr:row>
      <xdr:rowOff>137160</xdr:rowOff>
    </xdr:from>
    <xdr:to>
      <xdr:col>46</xdr:col>
      <xdr:colOff>254789</xdr:colOff>
      <xdr:row>17</xdr:row>
      <xdr:rowOff>269882</xdr:rowOff>
    </xdr:to>
    <xdr:sp macro="" textlink="">
      <xdr:nvSpPr>
        <xdr:cNvPr id="28" name="Text Box 58"/>
        <xdr:cNvSpPr txBox="1">
          <a:spLocks noChangeArrowheads="1"/>
        </xdr:cNvSpPr>
      </xdr:nvSpPr>
      <xdr:spPr bwMode="auto">
        <a:xfrm>
          <a:off x="4434392" y="4608307"/>
          <a:ext cx="22652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20</xdr:row>
      <xdr:rowOff>121921</xdr:rowOff>
    </xdr:from>
    <xdr:to>
      <xdr:col>36</xdr:col>
      <xdr:colOff>254789</xdr:colOff>
      <xdr:row>20</xdr:row>
      <xdr:rowOff>240367</xdr:rowOff>
    </xdr:to>
    <xdr:sp macro="" textlink="">
      <xdr:nvSpPr>
        <xdr:cNvPr id="29" name="Text Box 59"/>
        <xdr:cNvSpPr txBox="1">
          <a:spLocks noChangeArrowheads="1"/>
        </xdr:cNvSpPr>
      </xdr:nvSpPr>
      <xdr:spPr bwMode="auto">
        <a:xfrm>
          <a:off x="1890656" y="5668833"/>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20</xdr:row>
      <xdr:rowOff>123825</xdr:rowOff>
    </xdr:from>
    <xdr:to>
      <xdr:col>41</xdr:col>
      <xdr:colOff>306178</xdr:colOff>
      <xdr:row>20</xdr:row>
      <xdr:rowOff>261636</xdr:rowOff>
    </xdr:to>
    <xdr:sp macro="" textlink="">
      <xdr:nvSpPr>
        <xdr:cNvPr id="30" name="Text Box 60"/>
        <xdr:cNvSpPr txBox="1">
          <a:spLocks noChangeArrowheads="1"/>
        </xdr:cNvSpPr>
      </xdr:nvSpPr>
      <xdr:spPr bwMode="auto">
        <a:xfrm>
          <a:off x="9346758" y="5702990"/>
          <a:ext cx="247816" cy="127967"/>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20</xdr:row>
      <xdr:rowOff>137161</xdr:rowOff>
    </xdr:from>
    <xdr:to>
      <xdr:col>46</xdr:col>
      <xdr:colOff>262102</xdr:colOff>
      <xdr:row>20</xdr:row>
      <xdr:rowOff>269635</xdr:rowOff>
    </xdr:to>
    <xdr:sp macro="" textlink="">
      <xdr:nvSpPr>
        <xdr:cNvPr id="31" name="Text Box 61"/>
        <xdr:cNvSpPr txBox="1">
          <a:spLocks noChangeArrowheads="1"/>
        </xdr:cNvSpPr>
      </xdr:nvSpPr>
      <xdr:spPr bwMode="auto">
        <a:xfrm>
          <a:off x="4434392" y="5676453"/>
          <a:ext cx="233984"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20</xdr:row>
      <xdr:rowOff>144780</xdr:rowOff>
    </xdr:from>
    <xdr:to>
      <xdr:col>50</xdr:col>
      <xdr:colOff>253075</xdr:colOff>
      <xdr:row>20</xdr:row>
      <xdr:rowOff>257736</xdr:rowOff>
    </xdr:to>
    <xdr:sp macro="" textlink="">
      <xdr:nvSpPr>
        <xdr:cNvPr id="32" name="Text Box 62"/>
        <xdr:cNvSpPr txBox="1">
          <a:spLocks noChangeArrowheads="1"/>
        </xdr:cNvSpPr>
      </xdr:nvSpPr>
      <xdr:spPr bwMode="auto">
        <a:xfrm>
          <a:off x="5599804" y="5684072"/>
          <a:ext cx="216989"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22</xdr:row>
      <xdr:rowOff>137161</xdr:rowOff>
    </xdr:from>
    <xdr:to>
      <xdr:col>36</xdr:col>
      <xdr:colOff>254789</xdr:colOff>
      <xdr:row>22</xdr:row>
      <xdr:rowOff>261935</xdr:rowOff>
    </xdr:to>
    <xdr:sp macro="" textlink="">
      <xdr:nvSpPr>
        <xdr:cNvPr id="33" name="Text Box 63"/>
        <xdr:cNvSpPr txBox="1">
          <a:spLocks noChangeArrowheads="1"/>
        </xdr:cNvSpPr>
      </xdr:nvSpPr>
      <xdr:spPr bwMode="auto">
        <a:xfrm>
          <a:off x="1890656" y="6371217"/>
          <a:ext cx="226522"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22</xdr:row>
      <xdr:rowOff>146685</xdr:rowOff>
    </xdr:from>
    <xdr:to>
      <xdr:col>41</xdr:col>
      <xdr:colOff>219407</xdr:colOff>
      <xdr:row>22</xdr:row>
      <xdr:rowOff>263226</xdr:rowOff>
    </xdr:to>
    <xdr:sp macro="" textlink="">
      <xdr:nvSpPr>
        <xdr:cNvPr id="34" name="Text Box 64"/>
        <xdr:cNvSpPr txBox="1">
          <a:spLocks noChangeArrowheads="1"/>
        </xdr:cNvSpPr>
      </xdr:nvSpPr>
      <xdr:spPr bwMode="auto">
        <a:xfrm>
          <a:off x="3145715" y="6380741"/>
          <a:ext cx="175110"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22</xdr:row>
      <xdr:rowOff>121921</xdr:rowOff>
    </xdr:from>
    <xdr:to>
      <xdr:col>46</xdr:col>
      <xdr:colOff>254789</xdr:colOff>
      <xdr:row>22</xdr:row>
      <xdr:rowOff>240367</xdr:rowOff>
    </xdr:to>
    <xdr:sp macro="" textlink="">
      <xdr:nvSpPr>
        <xdr:cNvPr id="35" name="Text Box 65"/>
        <xdr:cNvSpPr txBox="1">
          <a:spLocks noChangeArrowheads="1"/>
        </xdr:cNvSpPr>
      </xdr:nvSpPr>
      <xdr:spPr bwMode="auto">
        <a:xfrm>
          <a:off x="4434392" y="6363597"/>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22</xdr:row>
      <xdr:rowOff>152401</xdr:rowOff>
    </xdr:from>
    <xdr:to>
      <xdr:col>50</xdr:col>
      <xdr:colOff>262409</xdr:colOff>
      <xdr:row>22</xdr:row>
      <xdr:rowOff>293707</xdr:rowOff>
    </xdr:to>
    <xdr:sp macro="" textlink="">
      <xdr:nvSpPr>
        <xdr:cNvPr id="36" name="Text Box 66"/>
        <xdr:cNvSpPr txBox="1">
          <a:spLocks noChangeArrowheads="1"/>
        </xdr:cNvSpPr>
      </xdr:nvSpPr>
      <xdr:spPr bwMode="auto">
        <a:xfrm>
          <a:off x="5599804" y="6386457"/>
          <a:ext cx="226522"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28575</xdr:colOff>
      <xdr:row>5</xdr:row>
      <xdr:rowOff>38100</xdr:rowOff>
    </xdr:from>
    <xdr:to>
      <xdr:col>53</xdr:col>
      <xdr:colOff>266700</xdr:colOff>
      <xdr:row>6</xdr:row>
      <xdr:rowOff>352425</xdr:rowOff>
    </xdr:to>
    <xdr:sp macro="" textlink="">
      <xdr:nvSpPr>
        <xdr:cNvPr id="40" name="角丸四角形 39"/>
        <xdr:cNvSpPr/>
      </xdr:nvSpPr>
      <xdr:spPr>
        <a:xfrm>
          <a:off x="9534525" y="895350"/>
          <a:ext cx="5800725" cy="6953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106680</xdr:colOff>
      <xdr:row>6</xdr:row>
      <xdr:rowOff>173354</xdr:rowOff>
    </xdr:from>
    <xdr:ext cx="3177540" cy="695326"/>
    <xdr:sp macro="" textlink="">
      <xdr:nvSpPr>
        <xdr:cNvPr id="41" name="正方形/長方形 40"/>
        <xdr:cNvSpPr/>
      </xdr:nvSpPr>
      <xdr:spPr>
        <a:xfrm>
          <a:off x="6225540" y="1407794"/>
          <a:ext cx="3177540" cy="69532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「工場等の名称・所在地」</a:t>
          </a:r>
          <a:r>
            <a:rPr kumimoji="0" lang="ja-JP" altLang="en-US" sz="1000">
              <a:solidFill>
                <a:schemeClr val="tx1"/>
              </a:solidFill>
              <a:effectLst/>
              <a:latin typeface="+mn-ea"/>
              <a:ea typeface="+mn-ea"/>
              <a:cs typeface="+mn-cs"/>
            </a:rPr>
            <a:t>は、今期の計画書（第８面）に記載した内容をそのまま転記してください。</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a:t>
          </a:r>
          <a:r>
            <a:rPr kumimoji="0" lang="ja-JP" altLang="en-US" sz="1000" b="1">
              <a:solidFill>
                <a:srgbClr val="FF0000"/>
              </a:solidFill>
              <a:effectLst/>
              <a:latin typeface="+mn-ea"/>
              <a:ea typeface="+mn-ea"/>
              <a:cs typeface="+mn-cs"/>
            </a:rPr>
            <a:t>工場等の名称はプルダウン選択</a:t>
          </a:r>
          <a:r>
            <a:rPr kumimoji="0" lang="ja-JP" altLang="en-US" sz="1000">
              <a:solidFill>
                <a:schemeClr val="tx1"/>
              </a:solidFill>
              <a:effectLst/>
              <a:latin typeface="+mn-ea"/>
              <a:ea typeface="+mn-ea"/>
              <a:cs typeface="+mn-cs"/>
            </a:rPr>
            <a:t>）</a:t>
          </a:r>
          <a:endParaRPr kumimoji="1" lang="ja-JP" altLang="en-US" sz="800">
            <a:solidFill>
              <a:schemeClr val="tx1"/>
            </a:solidFill>
            <a:latin typeface="+mn-ea"/>
            <a:ea typeface="+mn-ea"/>
          </a:endParaRPr>
        </a:p>
      </xdr:txBody>
    </xdr:sp>
    <xdr:clientData/>
  </xdr:oneCellAnchor>
  <xdr:oneCellAnchor>
    <xdr:from>
      <xdr:col>24</xdr:col>
      <xdr:colOff>106680</xdr:colOff>
      <xdr:row>8</xdr:row>
      <xdr:rowOff>152401</xdr:rowOff>
    </xdr:from>
    <xdr:ext cx="3177540" cy="739139"/>
    <xdr:sp macro="" textlink="">
      <xdr:nvSpPr>
        <xdr:cNvPr id="45" name="四角形吹き出し 26"/>
        <xdr:cNvSpPr/>
      </xdr:nvSpPr>
      <xdr:spPr>
        <a:xfrm>
          <a:off x="6225540" y="2148841"/>
          <a:ext cx="3177540" cy="73913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en-US" sz="1000" b="0" i="0" u="none" strike="noStrike" baseline="0">
              <a:solidFill>
                <a:schemeClr val="tx1"/>
              </a:solidFill>
              <a:latin typeface="+mn-lt"/>
              <a:ea typeface="+mn-ea"/>
              <a:cs typeface="+mn-cs"/>
            </a:rPr>
            <a:t>前年度と比較して「建築物の延べ面積」に変更があり、かつ「延べ面積」を指標とする場合は、その理由を「二酸化炭素排出の状況に関する説明」に記載してください。</a:t>
          </a:r>
        </a:p>
      </xdr:txBody>
    </xdr:sp>
    <xdr:clientData/>
  </xdr:oneCellAnchor>
  <xdr:oneCellAnchor>
    <xdr:from>
      <xdr:col>25</xdr:col>
      <xdr:colOff>47625</xdr:colOff>
      <xdr:row>23</xdr:row>
      <xdr:rowOff>1191097</xdr:rowOff>
    </xdr:from>
    <xdr:ext cx="2406015" cy="2471831"/>
    <xdr:sp macro="" textlink="">
      <xdr:nvSpPr>
        <xdr:cNvPr id="51" name="四角形吹き出し 26"/>
        <xdr:cNvSpPr/>
      </xdr:nvSpPr>
      <xdr:spPr>
        <a:xfrm>
          <a:off x="7004685" y="7698577"/>
          <a:ext cx="2406015" cy="2471831"/>
        </a:xfrm>
        <a:prstGeom prst="wedgeRectCallout">
          <a:avLst>
            <a:gd name="adj1" fmla="val -63478"/>
            <a:gd name="adj2" fmla="val -40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ja-JP" sz="1050">
              <a:solidFill>
                <a:schemeClr val="tx1"/>
              </a:solidFill>
              <a:effectLst/>
              <a:latin typeface="+mn-ea"/>
              <a:ea typeface="+mn-ea"/>
              <a:cs typeface="+mn-cs"/>
            </a:rPr>
            <a:t>計画期間を通じた</a:t>
          </a:r>
          <a:r>
            <a:rPr lang="en-US" altLang="ja-JP" sz="1050">
              <a:solidFill>
                <a:schemeClr val="tx1"/>
              </a:solidFill>
              <a:effectLst/>
              <a:latin typeface="+mn-ea"/>
              <a:ea typeface="+mn-ea"/>
              <a:cs typeface="+mn-cs"/>
            </a:rPr>
            <a:t>CO2</a:t>
          </a:r>
          <a:r>
            <a:rPr lang="ja-JP" altLang="ja-JP" sz="1050">
              <a:solidFill>
                <a:schemeClr val="tx1"/>
              </a:solidFill>
              <a:effectLst/>
              <a:latin typeface="+mn-ea"/>
              <a:ea typeface="+mn-ea"/>
              <a:cs typeface="+mn-cs"/>
            </a:rPr>
            <a:t>排出量及び</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原単位（基礎）について、</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削減目標の達成状況</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達成又は非達成の要因</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（計画期間中の事業活動の動向、</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各年度の削減対策の実施状況等から</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評価、分析のこと）</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を必ず記載</a:t>
          </a:r>
          <a:r>
            <a:rPr lang="ja-JP" altLang="en-US" sz="1050">
              <a:solidFill>
                <a:schemeClr val="tx1"/>
              </a:solidFill>
              <a:effectLst/>
              <a:latin typeface="+mn-ea"/>
              <a:ea typeface="+mn-ea"/>
              <a:cs typeface="+mn-cs"/>
            </a:rPr>
            <a:t>してください</a:t>
          </a:r>
          <a:r>
            <a:rPr lang="ja-JP" altLang="ja-JP" sz="1050">
              <a:solidFill>
                <a:schemeClr val="tx1"/>
              </a:solidFill>
              <a:effectLst/>
              <a:latin typeface="+mn-ea"/>
              <a:ea typeface="+mn-ea"/>
              <a:cs typeface="+mn-cs"/>
            </a:rPr>
            <a:t>。</a:t>
          </a:r>
          <a:endParaRPr lang="ja-JP" altLang="ja-JP" sz="900">
            <a:solidFill>
              <a:schemeClr val="tx1"/>
            </a:solidFill>
            <a:effectLst/>
            <a:latin typeface="+mn-ea"/>
            <a:ea typeface="+mn-ea"/>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ja-JP" altLang="en-US" sz="900" b="0" i="0" u="none" strike="noStrike" baseline="0">
              <a:solidFill>
                <a:schemeClr val="tx1"/>
              </a:solidFill>
              <a:latin typeface="+mn-ea"/>
              <a:ea typeface="+mn-ea"/>
              <a:cs typeface="+mn-cs"/>
            </a:rPr>
            <a:t>⇒計画対象区域内の事業所として、</a:t>
          </a:r>
          <a:endParaRPr lang="en-US" altLang="ja-JP" sz="900" b="0" i="0" u="none" strike="noStrike" baseline="0">
            <a:solidFill>
              <a:schemeClr val="tx1"/>
            </a:solidFill>
            <a:latin typeface="+mn-ea"/>
            <a:ea typeface="+mn-ea"/>
            <a:cs typeface="+mn-cs"/>
          </a:endParaRPr>
        </a:p>
        <a:p>
          <a:r>
            <a:rPr lang="ja-JP" altLang="en-US" sz="900" b="1" i="0" u="sng" strike="noStrike" baseline="0">
              <a:solidFill>
                <a:srgbClr val="FF0000"/>
              </a:solidFill>
              <a:latin typeface="+mn-ea"/>
              <a:ea typeface="+mn-ea"/>
              <a:cs typeface="+mn-cs"/>
            </a:rPr>
            <a:t>エネルギー管理指定工場１つしかない場合</a:t>
          </a:r>
          <a:r>
            <a:rPr lang="ja-JP" altLang="en-US" sz="900" b="0" i="0" u="none" strike="noStrike" baseline="0">
              <a:solidFill>
                <a:schemeClr val="tx1"/>
              </a:solidFill>
              <a:latin typeface="+mn-ea"/>
              <a:ea typeface="+mn-ea"/>
              <a:cs typeface="+mn-cs"/>
            </a:rPr>
            <a:t>などは、</a:t>
          </a:r>
          <a:r>
            <a:rPr lang="ja-JP" altLang="en-US" sz="900" b="1" i="0" u="sng" strike="noStrike" baseline="0">
              <a:solidFill>
                <a:srgbClr val="FF0000"/>
              </a:solidFill>
              <a:latin typeface="+mn-ea"/>
              <a:ea typeface="+mn-ea"/>
              <a:cs typeface="+mn-cs"/>
            </a:rPr>
            <a:t>第２面の記載をそのままコピーしていただいて構いません。</a:t>
          </a:r>
          <a:endParaRPr lang="en-US" altLang="ja-JP" sz="900" b="1" i="0" u="sng" strike="noStrike" baseline="0">
            <a:solidFill>
              <a:srgbClr val="FF0000"/>
            </a:solidFill>
            <a:latin typeface="+mn-ea"/>
            <a:ea typeface="+mn-ea"/>
            <a:cs typeface="+mn-cs"/>
          </a:endParaRPr>
        </a:p>
      </xdr:txBody>
    </xdr:sp>
    <xdr:clientData/>
  </xdr:oneCellAnchor>
  <xdr:twoCellAnchor>
    <xdr:from>
      <xdr:col>50</xdr:col>
      <xdr:colOff>28575</xdr:colOff>
      <xdr:row>19</xdr:row>
      <xdr:rowOff>19050</xdr:rowOff>
    </xdr:from>
    <xdr:to>
      <xdr:col>54</xdr:col>
      <xdr:colOff>0</xdr:colOff>
      <xdr:row>20</xdr:row>
      <xdr:rowOff>323850</xdr:rowOff>
    </xdr:to>
    <xdr:sp macro="" textlink="">
      <xdr:nvSpPr>
        <xdr:cNvPr id="49" name="角丸四角形 48"/>
        <xdr:cNvSpPr/>
      </xdr:nvSpPr>
      <xdr:spPr>
        <a:xfrm>
          <a:off x="14325600" y="5143500"/>
          <a:ext cx="1047750" cy="6477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50</xdr:col>
      <xdr:colOff>0</xdr:colOff>
      <xdr:row>14</xdr:row>
      <xdr:rowOff>38100</xdr:rowOff>
    </xdr:from>
    <xdr:to>
      <xdr:col>53</xdr:col>
      <xdr:colOff>266699</xdr:colOff>
      <xdr:row>16</xdr:row>
      <xdr:rowOff>0</xdr:rowOff>
    </xdr:to>
    <xdr:sp macro="" textlink="">
      <xdr:nvSpPr>
        <xdr:cNvPr id="50" name="角丸四角形 49"/>
        <xdr:cNvSpPr/>
      </xdr:nvSpPr>
      <xdr:spPr>
        <a:xfrm>
          <a:off x="14363700" y="3409950"/>
          <a:ext cx="1038224" cy="66675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24</xdr:col>
          <xdr:colOff>198120</xdr:colOff>
          <xdr:row>6</xdr:row>
          <xdr:rowOff>144780</xdr:rowOff>
        </xdr:from>
        <xdr:to>
          <xdr:col>24</xdr:col>
          <xdr:colOff>647700</xdr:colOff>
          <xdr:row>7</xdr:row>
          <xdr:rowOff>83820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220980</xdr:colOff>
          <xdr:row>8</xdr:row>
          <xdr:rowOff>114300</xdr:rowOff>
        </xdr:from>
        <xdr:to>
          <xdr:col>24</xdr:col>
          <xdr:colOff>541020</xdr:colOff>
          <xdr:row>9</xdr:row>
          <xdr:rowOff>190500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137160</xdr:colOff>
          <xdr:row>23</xdr:row>
          <xdr:rowOff>1127760</xdr:rowOff>
        </xdr:from>
        <xdr:to>
          <xdr:col>25</xdr:col>
          <xdr:colOff>510540</xdr:colOff>
          <xdr:row>23</xdr:row>
          <xdr:rowOff>1440180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29</xdr:col>
      <xdr:colOff>28576</xdr:colOff>
      <xdr:row>0</xdr:row>
      <xdr:rowOff>9526</xdr:rowOff>
    </xdr:from>
    <xdr:ext cx="3409950" cy="266700"/>
    <xdr:sp macro="" textlink="">
      <xdr:nvSpPr>
        <xdr:cNvPr id="57" name="正方形/長方形 56"/>
        <xdr:cNvSpPr/>
      </xdr:nvSpPr>
      <xdr:spPr>
        <a:xfrm>
          <a:off x="9153526" y="9526"/>
          <a:ext cx="3409950" cy="2667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24</xdr:col>
      <xdr:colOff>106680</xdr:colOff>
      <xdr:row>1</xdr:row>
      <xdr:rowOff>131109</xdr:rowOff>
    </xdr:from>
    <xdr:ext cx="3177540" cy="1042371"/>
    <xdr:sp macro="" textlink="">
      <xdr:nvSpPr>
        <xdr:cNvPr id="58" name="正方形/長方形 57"/>
        <xdr:cNvSpPr/>
      </xdr:nvSpPr>
      <xdr:spPr>
        <a:xfrm>
          <a:off x="6225540" y="321609"/>
          <a:ext cx="3177540" cy="1042371"/>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1500"/>
            </a:lnSpc>
          </a:pPr>
          <a:r>
            <a:rPr kumimoji="1" lang="ja-JP" altLang="en-US" sz="1100" b="1" u="none">
              <a:solidFill>
                <a:schemeClr val="tx1"/>
              </a:solidFill>
            </a:rPr>
            <a:t>この第７面は、今期の計画書提出時にエネルギー管理指定工場等に指定された工場がある場合のみ記載してください。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twoCellAnchor>
    <xdr:from>
      <xdr:col>28</xdr:col>
      <xdr:colOff>19051</xdr:colOff>
      <xdr:row>5</xdr:row>
      <xdr:rowOff>19050</xdr:rowOff>
    </xdr:from>
    <xdr:to>
      <xdr:col>28</xdr:col>
      <xdr:colOff>200025</xdr:colOff>
      <xdr:row>23</xdr:row>
      <xdr:rowOff>3600452</xdr:rowOff>
    </xdr:to>
    <xdr:sp macro="" textlink="">
      <xdr:nvSpPr>
        <xdr:cNvPr id="60" name="左右矢印 59"/>
        <xdr:cNvSpPr/>
      </xdr:nvSpPr>
      <xdr:spPr>
        <a:xfrm rot="5400000">
          <a:off x="5176837" y="5428411"/>
          <a:ext cx="9229166" cy="180974"/>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141605</xdr:colOff>
      <xdr:row>0</xdr:row>
      <xdr:rowOff>30481</xdr:rowOff>
    </xdr:from>
    <xdr:to>
      <xdr:col>53</xdr:col>
      <xdr:colOff>228599</xdr:colOff>
      <xdr:row>1</xdr:row>
      <xdr:rowOff>142875</xdr:rowOff>
    </xdr:to>
    <xdr:sp macro="" textlink="">
      <xdr:nvSpPr>
        <xdr:cNvPr id="61" name="正方形/長方形 60"/>
        <xdr:cNvSpPr/>
      </xdr:nvSpPr>
      <xdr:spPr>
        <a:xfrm>
          <a:off x="12600305" y="30481"/>
          <a:ext cx="269684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29</xdr:col>
      <xdr:colOff>67796</xdr:colOff>
      <xdr:row>1</xdr:row>
      <xdr:rowOff>142875</xdr:rowOff>
    </xdr:from>
    <xdr:to>
      <xdr:col>48</xdr:col>
      <xdr:colOff>155070</xdr:colOff>
      <xdr:row>7</xdr:row>
      <xdr:rowOff>356907</xdr:rowOff>
    </xdr:to>
    <xdr:cxnSp macro="">
      <xdr:nvCxnSpPr>
        <xdr:cNvPr id="62" name="直線コネクタ 61"/>
        <xdr:cNvCxnSpPr>
          <a:stCxn id="61" idx="2"/>
        </xdr:cNvCxnSpPr>
      </xdr:nvCxnSpPr>
      <xdr:spPr>
        <a:xfrm flipH="1">
          <a:off x="9192746" y="333375"/>
          <a:ext cx="4744999" cy="1642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2446021</xdr:colOff>
      <xdr:row>6</xdr:row>
      <xdr:rowOff>4763</xdr:rowOff>
    </xdr:from>
    <xdr:to>
      <xdr:col>32</xdr:col>
      <xdr:colOff>28576</xdr:colOff>
      <xdr:row>7</xdr:row>
      <xdr:rowOff>140017</xdr:rowOff>
    </xdr:to>
    <xdr:cxnSp macro="">
      <xdr:nvCxnSpPr>
        <xdr:cNvPr id="4" name="カギ線コネクタ 3"/>
        <xdr:cNvCxnSpPr>
          <a:stCxn id="40" idx="1"/>
          <a:endCxn id="41" idx="3"/>
        </xdr:cNvCxnSpPr>
      </xdr:nvCxnSpPr>
      <xdr:spPr>
        <a:xfrm rot="10800000" flipV="1">
          <a:off x="9403081" y="1239203"/>
          <a:ext cx="6086475" cy="516254"/>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2446020</xdr:colOff>
      <xdr:row>7</xdr:row>
      <xdr:rowOff>352425</xdr:rowOff>
    </xdr:from>
    <xdr:to>
      <xdr:col>39</xdr:col>
      <xdr:colOff>19050</xdr:colOff>
      <xdr:row>10</xdr:row>
      <xdr:rowOff>19051</xdr:rowOff>
    </xdr:to>
    <xdr:cxnSp macro="">
      <xdr:nvCxnSpPr>
        <xdr:cNvPr id="65" name="カギ線コネクタ 64"/>
        <xdr:cNvCxnSpPr>
          <a:stCxn id="66" idx="2"/>
          <a:endCxn id="45" idx="3"/>
        </xdr:cNvCxnSpPr>
      </xdr:nvCxnSpPr>
      <xdr:spPr>
        <a:xfrm rot="5400000">
          <a:off x="13286422" y="-1915477"/>
          <a:ext cx="550546" cy="8317230"/>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7</xdr:row>
      <xdr:rowOff>28575</xdr:rowOff>
    </xdr:from>
    <xdr:to>
      <xdr:col>44</xdr:col>
      <xdr:colOff>190500</xdr:colOff>
      <xdr:row>7</xdr:row>
      <xdr:rowOff>352425</xdr:rowOff>
    </xdr:to>
    <xdr:sp macro="" textlink="">
      <xdr:nvSpPr>
        <xdr:cNvPr id="66" name="角丸四角形 65"/>
        <xdr:cNvSpPr/>
      </xdr:nvSpPr>
      <xdr:spPr>
        <a:xfrm>
          <a:off x="10629900" y="1647825"/>
          <a:ext cx="2247900" cy="3238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25</xdr:col>
      <xdr:colOff>47624</xdr:colOff>
      <xdr:row>21</xdr:row>
      <xdr:rowOff>236220</xdr:rowOff>
    </xdr:from>
    <xdr:ext cx="2406016" cy="1615440"/>
    <xdr:sp macro="" textlink="">
      <xdr:nvSpPr>
        <xdr:cNvPr id="75" name="正方形/長方形 74"/>
        <xdr:cNvSpPr/>
      </xdr:nvSpPr>
      <xdr:spPr>
        <a:xfrm>
          <a:off x="7004684" y="6057900"/>
          <a:ext cx="2406016" cy="161544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報告対象年度の排出量</a:t>
          </a:r>
          <a:r>
            <a:rPr kumimoji="0" lang="en-US" altLang="ja-JP" sz="1100" b="1">
              <a:solidFill>
                <a:schemeClr val="tx1"/>
              </a:solidFill>
              <a:effectLst/>
              <a:latin typeface="+mn-ea"/>
              <a:ea typeface="+mn-ea"/>
              <a:cs typeface="+mn-cs"/>
            </a:rPr>
            <a:t>/</a:t>
          </a:r>
          <a:r>
            <a:rPr kumimoji="0" lang="ja-JP" altLang="en-US" sz="1100" b="1">
              <a:solidFill>
                <a:schemeClr val="tx1"/>
              </a:solidFill>
              <a:effectLst/>
              <a:latin typeface="+mn-ea"/>
              <a:ea typeface="+mn-ea"/>
              <a:cs typeface="+mn-cs"/>
            </a:rPr>
            <a:t>原単位は、エネルギー使用量等入力ファイルの値から計算された値が</a:t>
          </a:r>
          <a:r>
            <a:rPr kumimoji="0" lang="ja-JP" altLang="en-US" sz="1100" b="1">
              <a:solidFill>
                <a:srgbClr val="FF0000"/>
              </a:solidFill>
              <a:effectLst/>
              <a:latin typeface="+mn-ea"/>
              <a:ea typeface="+mn-ea"/>
              <a:cs typeface="+mn-cs"/>
            </a:rPr>
            <a:t>自動転記</a:t>
          </a:r>
          <a:r>
            <a:rPr kumimoji="0" lang="ja-JP" altLang="en-US" sz="1100" b="1">
              <a:solidFill>
                <a:schemeClr val="tx1"/>
              </a:solidFill>
              <a:effectLst/>
              <a:latin typeface="+mn-ea"/>
              <a:ea typeface="+mn-ea"/>
              <a:cs typeface="+mn-cs"/>
            </a:rPr>
            <a:t>されます。</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計算値は有効数字</a:t>
          </a:r>
          <a:r>
            <a:rPr kumimoji="0" lang="en-US" altLang="ja-JP" sz="900" b="0">
              <a:solidFill>
                <a:srgbClr val="FF0000"/>
              </a:solidFill>
              <a:effectLst/>
              <a:latin typeface="+mn-ea"/>
              <a:ea typeface="+mn-ea"/>
              <a:cs typeface="+mn-cs"/>
            </a:rPr>
            <a:t>3</a:t>
          </a:r>
          <a:r>
            <a:rPr kumimoji="0" lang="ja-JP" altLang="en-US" sz="900" b="0">
              <a:solidFill>
                <a:srgbClr val="FF0000"/>
              </a:solidFill>
              <a:effectLst/>
              <a:latin typeface="+mn-ea"/>
              <a:ea typeface="+mn-ea"/>
              <a:cs typeface="+mn-cs"/>
            </a:rPr>
            <a:t>桁処理をしていますが、</a:t>
          </a:r>
          <a:r>
            <a:rPr kumimoji="1" lang="ja-JP" altLang="en-US" sz="900" b="0">
              <a:solidFill>
                <a:srgbClr val="FF0000"/>
              </a:solidFill>
              <a:latin typeface="+mn-ea"/>
              <a:ea typeface="+mn-ea"/>
            </a:rPr>
            <a:t>有効数字</a:t>
          </a:r>
          <a:r>
            <a:rPr kumimoji="1" lang="en-US" altLang="ja-JP" sz="900" b="0">
              <a:solidFill>
                <a:srgbClr val="FF0000"/>
              </a:solidFill>
              <a:latin typeface="+mn-ea"/>
              <a:ea typeface="+mn-ea"/>
            </a:rPr>
            <a:t>3</a:t>
          </a:r>
          <a:r>
            <a:rPr kumimoji="1" lang="ja-JP" altLang="en-US" sz="900" b="0">
              <a:solidFill>
                <a:srgbClr val="FF0000"/>
              </a:solidFill>
              <a:latin typeface="+mn-ea"/>
              <a:ea typeface="+mn-ea"/>
            </a:rPr>
            <a:t>桁目が小数点以下でゼロとなり「</a:t>
          </a:r>
          <a:r>
            <a:rPr kumimoji="1" lang="en-US" altLang="ja-JP" sz="900" b="0">
              <a:solidFill>
                <a:srgbClr val="FF0000"/>
              </a:solidFill>
              <a:latin typeface="+mn-ea"/>
              <a:ea typeface="+mn-ea"/>
            </a:rPr>
            <a:t>0.63</a:t>
          </a:r>
          <a:r>
            <a:rPr kumimoji="1" lang="ja-JP" altLang="en-US" sz="900" b="0">
              <a:solidFill>
                <a:srgbClr val="FF0000"/>
              </a:solidFill>
              <a:latin typeface="+mn-ea"/>
              <a:ea typeface="+mn-ea"/>
            </a:rPr>
            <a:t>」と表示される場合は、メニューの「ホーム」</a:t>
          </a:r>
          <a:r>
            <a:rPr kumimoji="1" lang="en-US" altLang="ja-JP" sz="900" b="0">
              <a:solidFill>
                <a:srgbClr val="FF0000"/>
              </a:solidFill>
              <a:latin typeface="+mn-ea"/>
              <a:ea typeface="+mn-ea"/>
            </a:rPr>
            <a:t>-</a:t>
          </a:r>
          <a:r>
            <a:rPr kumimoji="1" lang="ja-JP" altLang="en-US" sz="900" b="0">
              <a:solidFill>
                <a:srgbClr val="FF0000"/>
              </a:solidFill>
              <a:latin typeface="+mn-ea"/>
              <a:ea typeface="+mn-ea"/>
            </a:rPr>
            <a:t>「数値」から「小数点以下の表示桁数を増やす」で「</a:t>
          </a:r>
          <a:r>
            <a:rPr kumimoji="1" lang="en-US" altLang="ja-JP" sz="900" b="0">
              <a:solidFill>
                <a:srgbClr val="FF0000"/>
              </a:solidFill>
              <a:latin typeface="+mn-ea"/>
              <a:ea typeface="+mn-ea"/>
            </a:rPr>
            <a:t>0.630</a:t>
          </a:r>
          <a:r>
            <a:rPr kumimoji="1" lang="ja-JP" altLang="en-US" sz="900" b="0">
              <a:solidFill>
                <a:srgbClr val="FF0000"/>
              </a:solidFill>
              <a:latin typeface="+mn-ea"/>
              <a:ea typeface="+mn-ea"/>
            </a:rPr>
            <a:t>」となるように調整してください。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121920</xdr:colOff>
          <xdr:row>21</xdr:row>
          <xdr:rowOff>228600</xdr:rowOff>
        </xdr:from>
        <xdr:to>
          <xdr:col>25</xdr:col>
          <xdr:colOff>441960</xdr:colOff>
          <xdr:row>22</xdr:row>
          <xdr:rowOff>182880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38099</xdr:colOff>
      <xdr:row>11</xdr:row>
      <xdr:rowOff>182880</xdr:rowOff>
    </xdr:from>
    <xdr:ext cx="2407921" cy="1699260"/>
    <xdr:sp macro="" textlink="">
      <xdr:nvSpPr>
        <xdr:cNvPr id="77" name="正方形/長方形 76"/>
        <xdr:cNvSpPr/>
      </xdr:nvSpPr>
      <xdr:spPr>
        <a:xfrm>
          <a:off x="6995159" y="2933700"/>
          <a:ext cx="2407921" cy="169926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計画期間、基準値・目標値、原単位の指標の種類・単位等は、今期の計画書に記載した値を転記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a:t>
          </a:r>
          <a:r>
            <a:rPr kumimoji="1" lang="ja-JP" altLang="ja-JP" sz="900" b="0">
              <a:solidFill>
                <a:srgbClr val="FF0000"/>
              </a:solidFill>
              <a:effectLst/>
              <a:latin typeface="+mn-lt"/>
              <a:ea typeface="+mn-ea"/>
              <a:cs typeface="+mn-cs"/>
            </a:rPr>
            <a:t>メニューの「ホーム」</a:t>
          </a:r>
          <a:r>
            <a:rPr kumimoji="1" lang="en-US" altLang="ja-JP" sz="900" b="0">
              <a:solidFill>
                <a:srgbClr val="FF0000"/>
              </a:solidFill>
              <a:effectLst/>
              <a:latin typeface="+mn-lt"/>
              <a:ea typeface="+mn-ea"/>
              <a:cs typeface="+mn-cs"/>
            </a:rPr>
            <a:t>-</a:t>
          </a:r>
          <a:r>
            <a:rPr kumimoji="1" lang="ja-JP" altLang="ja-JP" sz="900" b="0">
              <a:solidFill>
                <a:srgbClr val="FF0000"/>
              </a:solidFill>
              <a:effectLst/>
              <a:latin typeface="+mn-lt"/>
              <a:ea typeface="+mn-ea"/>
              <a:cs typeface="+mn-cs"/>
            </a:rPr>
            <a:t>「数値」から「小数点以下の表示桁数を増やす」で「</a:t>
          </a:r>
          <a:r>
            <a:rPr kumimoji="1" lang="en-US" altLang="ja-JP" sz="900" b="0">
              <a:solidFill>
                <a:srgbClr val="FF0000"/>
              </a:solidFill>
              <a:effectLst/>
              <a:latin typeface="+mn-lt"/>
              <a:ea typeface="+mn-ea"/>
              <a:cs typeface="+mn-cs"/>
            </a:rPr>
            <a:t>0.630</a:t>
          </a:r>
          <a:r>
            <a:rPr kumimoji="1" lang="ja-JP" altLang="ja-JP" sz="900" b="0">
              <a:solidFill>
                <a:srgbClr val="FF0000"/>
              </a:solidFill>
              <a:effectLst/>
              <a:latin typeface="+mn-lt"/>
              <a:ea typeface="+mn-ea"/>
              <a:cs typeface="+mn-cs"/>
            </a:rPr>
            <a:t>」となるように調整してください。</a:t>
          </a:r>
          <a:endParaRPr lang="ja-JP" altLang="ja-JP" sz="900">
            <a:solidFill>
              <a:srgbClr val="FF0000"/>
            </a:solidFill>
            <a:effectLst/>
          </a:endParaRPr>
        </a:p>
        <a:p>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129540</xdr:colOff>
          <xdr:row>11</xdr:row>
          <xdr:rowOff>167640</xdr:rowOff>
        </xdr:from>
        <xdr:to>
          <xdr:col>25</xdr:col>
          <xdr:colOff>449580</xdr:colOff>
          <xdr:row>13</xdr:row>
          <xdr:rowOff>60960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72390</xdr:colOff>
      <xdr:row>23</xdr:row>
      <xdr:rowOff>47625</xdr:rowOff>
    </xdr:from>
    <xdr:to>
      <xdr:col>24</xdr:col>
      <xdr:colOff>215265</xdr:colOff>
      <xdr:row>23</xdr:row>
      <xdr:rowOff>3629025</xdr:rowOff>
    </xdr:to>
    <xdr:sp macro="" textlink="">
      <xdr:nvSpPr>
        <xdr:cNvPr id="79" name="右中かっこ 78"/>
        <xdr:cNvSpPr/>
      </xdr:nvSpPr>
      <xdr:spPr>
        <a:xfrm>
          <a:off x="6191250" y="6555105"/>
          <a:ext cx="142875" cy="3581400"/>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xdr:row>
      <xdr:rowOff>38100</xdr:rowOff>
    </xdr:from>
    <xdr:to>
      <xdr:col>40</xdr:col>
      <xdr:colOff>114300</xdr:colOff>
      <xdr:row>15</xdr:row>
      <xdr:rowOff>304800</xdr:rowOff>
    </xdr:to>
    <xdr:sp macro="" textlink="">
      <xdr:nvSpPr>
        <xdr:cNvPr id="80" name="角丸四角形 79"/>
        <xdr:cNvSpPr/>
      </xdr:nvSpPr>
      <xdr:spPr>
        <a:xfrm>
          <a:off x="10953750" y="3409950"/>
          <a:ext cx="1123950"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9525</xdr:colOff>
      <xdr:row>19</xdr:row>
      <xdr:rowOff>19049</xdr:rowOff>
    </xdr:from>
    <xdr:to>
      <xdr:col>40</xdr:col>
      <xdr:colOff>114300</xdr:colOff>
      <xdr:row>20</xdr:row>
      <xdr:rowOff>295274</xdr:rowOff>
    </xdr:to>
    <xdr:sp macro="" textlink="">
      <xdr:nvSpPr>
        <xdr:cNvPr id="81" name="角丸四角形 80"/>
        <xdr:cNvSpPr/>
      </xdr:nvSpPr>
      <xdr:spPr>
        <a:xfrm>
          <a:off x="11029950" y="5143499"/>
          <a:ext cx="1114425"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302896</xdr:colOff>
      <xdr:row>21</xdr:row>
      <xdr:rowOff>38099</xdr:rowOff>
    </xdr:from>
    <xdr:to>
      <xdr:col>49</xdr:col>
      <xdr:colOff>285750</xdr:colOff>
      <xdr:row>22</xdr:row>
      <xdr:rowOff>333374</xdr:rowOff>
    </xdr:to>
    <xdr:sp macro="" textlink="">
      <xdr:nvSpPr>
        <xdr:cNvPr id="82" name="角丸四角形 81"/>
        <xdr:cNvSpPr/>
      </xdr:nvSpPr>
      <xdr:spPr>
        <a:xfrm>
          <a:off x="13209271" y="5848349"/>
          <a:ext cx="1068704" cy="6381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272416</xdr:colOff>
      <xdr:row>16</xdr:row>
      <xdr:rowOff>1</xdr:rowOff>
    </xdr:from>
    <xdr:to>
      <xdr:col>49</xdr:col>
      <xdr:colOff>272416</xdr:colOff>
      <xdr:row>17</xdr:row>
      <xdr:rowOff>314326</xdr:rowOff>
    </xdr:to>
    <xdr:sp macro="" textlink="">
      <xdr:nvSpPr>
        <xdr:cNvPr id="83" name="角丸四角形 82"/>
        <xdr:cNvSpPr/>
      </xdr:nvSpPr>
      <xdr:spPr>
        <a:xfrm>
          <a:off x="13178791" y="4076701"/>
          <a:ext cx="1085850" cy="6667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38100</xdr:colOff>
      <xdr:row>14</xdr:row>
      <xdr:rowOff>38100</xdr:rowOff>
    </xdr:from>
    <xdr:to>
      <xdr:col>49</xdr:col>
      <xdr:colOff>276225</xdr:colOff>
      <xdr:row>15</xdr:row>
      <xdr:rowOff>304800</xdr:rowOff>
    </xdr:to>
    <xdr:sp macro="" textlink="">
      <xdr:nvSpPr>
        <xdr:cNvPr id="84" name="角丸四角形 83"/>
        <xdr:cNvSpPr/>
      </xdr:nvSpPr>
      <xdr:spPr>
        <a:xfrm>
          <a:off x="12153900" y="3409950"/>
          <a:ext cx="2114550" cy="619125"/>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142874</xdr:colOff>
      <xdr:row>19</xdr:row>
      <xdr:rowOff>38100</xdr:rowOff>
    </xdr:from>
    <xdr:to>
      <xdr:col>49</xdr:col>
      <xdr:colOff>295274</xdr:colOff>
      <xdr:row>20</xdr:row>
      <xdr:rowOff>304800</xdr:rowOff>
    </xdr:to>
    <xdr:sp macro="" textlink="">
      <xdr:nvSpPr>
        <xdr:cNvPr id="85" name="角丸四角形 84"/>
        <xdr:cNvSpPr/>
      </xdr:nvSpPr>
      <xdr:spPr>
        <a:xfrm>
          <a:off x="12172949" y="5162550"/>
          <a:ext cx="2181225" cy="609600"/>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28575</xdr:colOff>
      <xdr:row>18</xdr:row>
      <xdr:rowOff>38100</xdr:rowOff>
    </xdr:from>
    <xdr:to>
      <xdr:col>49</xdr:col>
      <xdr:colOff>276225</xdr:colOff>
      <xdr:row>18</xdr:row>
      <xdr:rowOff>314325</xdr:rowOff>
    </xdr:to>
    <xdr:sp macro="" textlink="">
      <xdr:nvSpPr>
        <xdr:cNvPr id="86" name="角丸四角形 85"/>
        <xdr:cNvSpPr/>
      </xdr:nvSpPr>
      <xdr:spPr>
        <a:xfrm>
          <a:off x="10258425" y="4819650"/>
          <a:ext cx="4010025" cy="2762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xdr:colOff>
      <xdr:row>15</xdr:row>
      <xdr:rowOff>19051</xdr:rowOff>
    </xdr:from>
    <xdr:to>
      <xdr:col>54</xdr:col>
      <xdr:colOff>209550</xdr:colOff>
      <xdr:row>23</xdr:row>
      <xdr:rowOff>121921</xdr:rowOff>
    </xdr:to>
    <xdr:sp macro="" textlink="">
      <xdr:nvSpPr>
        <xdr:cNvPr id="7" name="フリーフォーム 6"/>
        <xdr:cNvSpPr/>
      </xdr:nvSpPr>
      <xdr:spPr>
        <a:xfrm>
          <a:off x="9334500" y="3760471"/>
          <a:ext cx="6671310" cy="2868930"/>
        </a:xfrm>
        <a:custGeom>
          <a:avLst/>
          <a:gdLst>
            <a:gd name="connsiteX0" fmla="*/ 7277100 w 7486650"/>
            <a:gd name="connsiteY0" fmla="*/ 0 h 2847975"/>
            <a:gd name="connsiteX1" fmla="*/ 7486650 w 7486650"/>
            <a:gd name="connsiteY1" fmla="*/ 0 h 2847975"/>
            <a:gd name="connsiteX2" fmla="*/ 7486650 w 7486650"/>
            <a:gd name="connsiteY2" fmla="*/ 2847975 h 2847975"/>
            <a:gd name="connsiteX3" fmla="*/ 0 w 7486650"/>
            <a:gd name="connsiteY3" fmla="*/ 2847975 h 2847975"/>
          </a:gdLst>
          <a:ahLst/>
          <a:cxnLst>
            <a:cxn ang="0">
              <a:pos x="connsiteX0" y="connsiteY0"/>
            </a:cxn>
            <a:cxn ang="0">
              <a:pos x="connsiteX1" y="connsiteY1"/>
            </a:cxn>
            <a:cxn ang="0">
              <a:pos x="connsiteX2" y="connsiteY2"/>
            </a:cxn>
            <a:cxn ang="0">
              <a:pos x="connsiteX3" y="connsiteY3"/>
            </a:cxn>
          </a:cxnLst>
          <a:rect l="l" t="t" r="r" b="b"/>
          <a:pathLst>
            <a:path w="7486650" h="2847975">
              <a:moveTo>
                <a:pt x="7277100" y="0"/>
              </a:moveTo>
              <a:lnTo>
                <a:pt x="7486650" y="0"/>
              </a:lnTo>
              <a:lnTo>
                <a:pt x="7486650" y="2847975"/>
              </a:lnTo>
              <a:lnTo>
                <a:pt x="0" y="28479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20</xdr:row>
      <xdr:rowOff>0</xdr:rowOff>
    </xdr:from>
    <xdr:to>
      <xdr:col>54</xdr:col>
      <xdr:colOff>209550</xdr:colOff>
      <xdr:row>20</xdr:row>
      <xdr:rowOff>0</xdr:rowOff>
    </xdr:to>
    <xdr:sp macro="" textlink="">
      <xdr:nvSpPr>
        <xdr:cNvPr id="8" name="フリーフォーム 7"/>
        <xdr:cNvSpPr/>
      </xdr:nvSpPr>
      <xdr:spPr>
        <a:xfrm>
          <a:off x="16878300" y="5448300"/>
          <a:ext cx="209550" cy="0"/>
        </a:xfrm>
        <a:custGeom>
          <a:avLst/>
          <a:gdLst>
            <a:gd name="connsiteX0" fmla="*/ 0 w 209550"/>
            <a:gd name="connsiteY0" fmla="*/ 0 h 0"/>
            <a:gd name="connsiteX1" fmla="*/ 209550 w 209550"/>
            <a:gd name="connsiteY1" fmla="*/ 0 h 0"/>
          </a:gdLst>
          <a:ahLst/>
          <a:cxnLst>
            <a:cxn ang="0">
              <a:pos x="connsiteX0" y="connsiteY0"/>
            </a:cxn>
            <a:cxn ang="0">
              <a:pos x="connsiteX1" y="connsiteY1"/>
            </a:cxn>
          </a:cxnLst>
          <a:rect l="l" t="t" r="r" b="b"/>
          <a:pathLst>
            <a:path w="209550">
              <a:moveTo>
                <a:pt x="0" y="0"/>
              </a:moveTo>
              <a:lnTo>
                <a:pt x="2095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2308860</xdr:colOff>
      <xdr:row>19</xdr:row>
      <xdr:rowOff>45719</xdr:rowOff>
    </xdr:from>
    <xdr:to>
      <xdr:col>42</xdr:col>
      <xdr:colOff>123824</xdr:colOff>
      <xdr:row>21</xdr:row>
      <xdr:rowOff>295274</xdr:rowOff>
    </xdr:to>
    <xdr:sp macro="" textlink="">
      <xdr:nvSpPr>
        <xdr:cNvPr id="9" name="フリーフォーム 8"/>
        <xdr:cNvSpPr/>
      </xdr:nvSpPr>
      <xdr:spPr>
        <a:xfrm>
          <a:off x="9265920" y="5181599"/>
          <a:ext cx="3735704" cy="935355"/>
        </a:xfrm>
        <a:custGeom>
          <a:avLst/>
          <a:gdLst>
            <a:gd name="connsiteX0" fmla="*/ 4171950 w 4171950"/>
            <a:gd name="connsiteY0" fmla="*/ 857250 h 1285875"/>
            <a:gd name="connsiteX1" fmla="*/ 4171950 w 4171950"/>
            <a:gd name="connsiteY1" fmla="*/ 1285875 h 1285875"/>
            <a:gd name="connsiteX2" fmla="*/ 361950 w 4171950"/>
            <a:gd name="connsiteY2" fmla="*/ 1285875 h 1285875"/>
            <a:gd name="connsiteX3" fmla="*/ 361950 w 4171950"/>
            <a:gd name="connsiteY3" fmla="*/ 0 h 1285875"/>
            <a:gd name="connsiteX4" fmla="*/ 0 w 4171950"/>
            <a:gd name="connsiteY4" fmla="*/ 0 h 12858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1950" h="1285875">
              <a:moveTo>
                <a:pt x="4171950" y="857250"/>
              </a:moveTo>
              <a:lnTo>
                <a:pt x="4171950" y="1285875"/>
              </a:lnTo>
              <a:lnTo>
                <a:pt x="361950" y="1285875"/>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2438400</xdr:colOff>
      <xdr:row>14</xdr:row>
      <xdr:rowOff>285750</xdr:rowOff>
    </xdr:from>
    <xdr:to>
      <xdr:col>36</xdr:col>
      <xdr:colOff>28574</xdr:colOff>
      <xdr:row>19</xdr:row>
      <xdr:rowOff>123825</xdr:rowOff>
    </xdr:to>
    <xdr:sp macro="" textlink="">
      <xdr:nvSpPr>
        <xdr:cNvPr id="10" name="フリーフォーム 9"/>
        <xdr:cNvSpPr/>
      </xdr:nvSpPr>
      <xdr:spPr>
        <a:xfrm>
          <a:off x="9395460" y="3676650"/>
          <a:ext cx="7557134" cy="1583055"/>
        </a:xfrm>
        <a:custGeom>
          <a:avLst/>
          <a:gdLst>
            <a:gd name="connsiteX0" fmla="*/ 2324100 w 2324100"/>
            <a:gd name="connsiteY0" fmla="*/ 1562100 h 1562100"/>
            <a:gd name="connsiteX1" fmla="*/ 485775 w 2324100"/>
            <a:gd name="connsiteY1" fmla="*/ 1562100 h 1562100"/>
            <a:gd name="connsiteX2" fmla="*/ 485775 w 2324100"/>
            <a:gd name="connsiteY2" fmla="*/ 0 h 1562100"/>
            <a:gd name="connsiteX3" fmla="*/ 0 w 2324100"/>
            <a:gd name="connsiteY3" fmla="*/ 0 h 1562100"/>
          </a:gdLst>
          <a:ahLst/>
          <a:cxnLst>
            <a:cxn ang="0">
              <a:pos x="connsiteX0" y="connsiteY0"/>
            </a:cxn>
            <a:cxn ang="0">
              <a:pos x="connsiteX1" y="connsiteY1"/>
            </a:cxn>
            <a:cxn ang="0">
              <a:pos x="connsiteX2" y="connsiteY2"/>
            </a:cxn>
            <a:cxn ang="0">
              <a:pos x="connsiteX3" y="connsiteY3"/>
            </a:cxn>
          </a:cxnLst>
          <a:rect l="l" t="t" r="r" b="b"/>
          <a:pathLst>
            <a:path w="2324100" h="1562100">
              <a:moveTo>
                <a:pt x="2324100" y="1562100"/>
              </a:moveTo>
              <a:lnTo>
                <a:pt x="485775" y="1562100"/>
              </a:lnTo>
              <a:lnTo>
                <a:pt x="485775" y="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14</xdr:row>
      <xdr:rowOff>238124</xdr:rowOff>
    </xdr:from>
    <xdr:to>
      <xdr:col>36</xdr:col>
      <xdr:colOff>0</xdr:colOff>
      <xdr:row>14</xdr:row>
      <xdr:rowOff>285749</xdr:rowOff>
    </xdr:to>
    <xdr:sp macro="" textlink="">
      <xdr:nvSpPr>
        <xdr:cNvPr id="11" name="フリーフォーム 10"/>
        <xdr:cNvSpPr/>
      </xdr:nvSpPr>
      <xdr:spPr>
        <a:xfrm flipV="1">
          <a:off x="9372600" y="3609974"/>
          <a:ext cx="1647825" cy="47625"/>
        </a:xfrm>
        <a:custGeom>
          <a:avLst/>
          <a:gdLst>
            <a:gd name="connsiteX0" fmla="*/ 2333625 w 2333625"/>
            <a:gd name="connsiteY0" fmla="*/ 0 h 0"/>
            <a:gd name="connsiteX1" fmla="*/ 0 w 2333625"/>
            <a:gd name="connsiteY1" fmla="*/ 0 h 0"/>
          </a:gdLst>
          <a:ahLst/>
          <a:cxnLst>
            <a:cxn ang="0">
              <a:pos x="connsiteX0" y="connsiteY0"/>
            </a:cxn>
            <a:cxn ang="0">
              <a:pos x="connsiteX1" y="connsiteY1"/>
            </a:cxn>
          </a:cxnLst>
          <a:rect l="l" t="t" r="r" b="b"/>
          <a:pathLst>
            <a:path w="2333625">
              <a:moveTo>
                <a:pt x="233362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17</xdr:row>
      <xdr:rowOff>85723</xdr:rowOff>
    </xdr:from>
    <xdr:to>
      <xdr:col>45</xdr:col>
      <xdr:colOff>300990</xdr:colOff>
      <xdr:row>17</xdr:row>
      <xdr:rowOff>131442</xdr:rowOff>
    </xdr:to>
    <xdr:sp macro="" textlink="">
      <xdr:nvSpPr>
        <xdr:cNvPr id="12" name="フリーフォーム 11"/>
        <xdr:cNvSpPr/>
      </xdr:nvSpPr>
      <xdr:spPr>
        <a:xfrm flipV="1">
          <a:off x="9745980" y="4528183"/>
          <a:ext cx="3882390" cy="45719"/>
        </a:xfrm>
        <a:custGeom>
          <a:avLst/>
          <a:gdLst>
            <a:gd name="connsiteX0" fmla="*/ 4343400 w 4343400"/>
            <a:gd name="connsiteY0" fmla="*/ 0 h 0"/>
            <a:gd name="connsiteX1" fmla="*/ 0 w 4343400"/>
            <a:gd name="connsiteY1" fmla="*/ 0 h 0"/>
          </a:gdLst>
          <a:ahLst/>
          <a:cxnLst>
            <a:cxn ang="0">
              <a:pos x="connsiteX0" y="connsiteY0"/>
            </a:cxn>
            <a:cxn ang="0">
              <a:pos x="connsiteX1" y="connsiteY1"/>
            </a:cxn>
          </a:cxnLst>
          <a:rect l="l" t="t" r="r" b="b"/>
          <a:pathLst>
            <a:path w="4343400">
              <a:moveTo>
                <a:pt x="434340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22</xdr:row>
      <xdr:rowOff>68580</xdr:rowOff>
    </xdr:from>
    <xdr:to>
      <xdr:col>46</xdr:col>
      <xdr:colOff>0</xdr:colOff>
      <xdr:row>22</xdr:row>
      <xdr:rowOff>259080</xdr:rowOff>
    </xdr:to>
    <xdr:sp macro="" textlink="">
      <xdr:nvSpPr>
        <xdr:cNvPr id="13" name="フリーフォーム 12"/>
        <xdr:cNvSpPr/>
      </xdr:nvSpPr>
      <xdr:spPr>
        <a:xfrm>
          <a:off x="9845040" y="6233160"/>
          <a:ext cx="3886200" cy="190500"/>
        </a:xfrm>
        <a:custGeom>
          <a:avLst/>
          <a:gdLst>
            <a:gd name="connsiteX0" fmla="*/ 4343400 w 4343400"/>
            <a:gd name="connsiteY0" fmla="*/ 76200 h 76200"/>
            <a:gd name="connsiteX1" fmla="*/ 0 w 4343400"/>
            <a:gd name="connsiteY1" fmla="*/ 76200 h 76200"/>
            <a:gd name="connsiteX2" fmla="*/ 0 w 4343400"/>
            <a:gd name="connsiteY2" fmla="*/ 0 h 76200"/>
          </a:gdLst>
          <a:ahLst/>
          <a:cxnLst>
            <a:cxn ang="0">
              <a:pos x="connsiteX0" y="connsiteY0"/>
            </a:cxn>
            <a:cxn ang="0">
              <a:pos x="connsiteX1" y="connsiteY1"/>
            </a:cxn>
            <a:cxn ang="0">
              <a:pos x="connsiteX2" y="connsiteY2"/>
            </a:cxn>
          </a:cxnLst>
          <a:rect l="l" t="t" r="r" b="b"/>
          <a:pathLst>
            <a:path w="4343400" h="76200">
              <a:moveTo>
                <a:pt x="4343400" y="76200"/>
              </a:moveTo>
              <a:lnTo>
                <a:pt x="0" y="762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127631</xdr:colOff>
      <xdr:row>19</xdr:row>
      <xdr:rowOff>114301</xdr:rowOff>
    </xdr:from>
    <xdr:to>
      <xdr:col>29</xdr:col>
      <xdr:colOff>213359</xdr:colOff>
      <xdr:row>21</xdr:row>
      <xdr:rowOff>251460</xdr:rowOff>
    </xdr:to>
    <xdr:sp macro="" textlink="">
      <xdr:nvSpPr>
        <xdr:cNvPr id="14" name="フリーフォーム 13"/>
        <xdr:cNvSpPr/>
      </xdr:nvSpPr>
      <xdr:spPr>
        <a:xfrm flipH="1">
          <a:off x="9759311" y="5250181"/>
          <a:ext cx="85728" cy="822959"/>
        </a:xfrm>
        <a:custGeom>
          <a:avLst/>
          <a:gdLst>
            <a:gd name="connsiteX0" fmla="*/ 0 w 0"/>
            <a:gd name="connsiteY0" fmla="*/ 0 h 828675"/>
            <a:gd name="connsiteX1" fmla="*/ 0 w 0"/>
            <a:gd name="connsiteY1" fmla="*/ 828675 h 828675"/>
          </a:gdLst>
          <a:ahLst/>
          <a:cxnLst>
            <a:cxn ang="0">
              <a:pos x="connsiteX0" y="connsiteY0"/>
            </a:cxn>
            <a:cxn ang="0">
              <a:pos x="connsiteX1" y="connsiteY1"/>
            </a:cxn>
          </a:cxnLst>
          <a:rect l="l" t="t" r="r" b="b"/>
          <a:pathLst>
            <a:path h="828675">
              <a:moveTo>
                <a:pt x="0" y="0"/>
              </a:moveTo>
              <a:lnTo>
                <a:pt x="0" y="82867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201930</xdr:colOff>
      <xdr:row>21</xdr:row>
      <xdr:rowOff>224790</xdr:rowOff>
    </xdr:from>
    <xdr:to>
      <xdr:col>31</xdr:col>
      <xdr:colOff>3847</xdr:colOff>
      <xdr:row>22</xdr:row>
      <xdr:rowOff>62865</xdr:rowOff>
    </xdr:to>
    <xdr:sp macro="" textlink="">
      <xdr:nvSpPr>
        <xdr:cNvPr id="15" name="フリーフォーム 14"/>
        <xdr:cNvSpPr/>
      </xdr:nvSpPr>
      <xdr:spPr>
        <a:xfrm>
          <a:off x="9833610" y="6046470"/>
          <a:ext cx="99097" cy="180975"/>
        </a:xfrm>
        <a:custGeom>
          <a:avLst/>
          <a:gdLst>
            <a:gd name="connsiteX0" fmla="*/ 0 w 104812"/>
            <a:gd name="connsiteY0" fmla="*/ 0 h 180975"/>
            <a:gd name="connsiteX1" fmla="*/ 104775 w 104812"/>
            <a:gd name="connsiteY1" fmla="*/ 66675 h 180975"/>
            <a:gd name="connsiteX2" fmla="*/ 9525 w 104812"/>
            <a:gd name="connsiteY2" fmla="*/ 180975 h 180975"/>
          </a:gdLst>
          <a:ahLst/>
          <a:cxnLst>
            <a:cxn ang="0">
              <a:pos x="connsiteX0" y="connsiteY0"/>
            </a:cxn>
            <a:cxn ang="0">
              <a:pos x="connsiteX1" y="connsiteY1"/>
            </a:cxn>
            <a:cxn ang="0">
              <a:pos x="connsiteX2" y="connsiteY2"/>
            </a:cxn>
          </a:cxnLst>
          <a:rect l="l" t="t" r="r" b="b"/>
          <a:pathLst>
            <a:path w="104812" h="180975">
              <a:moveTo>
                <a:pt x="0" y="0"/>
              </a:moveTo>
              <a:cubicBezTo>
                <a:pt x="51594" y="18256"/>
                <a:pt x="103188" y="36513"/>
                <a:pt x="104775" y="66675"/>
              </a:cubicBezTo>
              <a:cubicBezTo>
                <a:pt x="106362" y="96837"/>
                <a:pt x="57943" y="138906"/>
                <a:pt x="9525"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198120</xdr:colOff>
      <xdr:row>18</xdr:row>
      <xdr:rowOff>104772</xdr:rowOff>
    </xdr:from>
    <xdr:to>
      <xdr:col>34</xdr:col>
      <xdr:colOff>9525</xdr:colOff>
      <xdr:row>18</xdr:row>
      <xdr:rowOff>175259</xdr:rowOff>
    </xdr:to>
    <xdr:sp macro="" textlink="">
      <xdr:nvSpPr>
        <xdr:cNvPr id="16" name="フリーフォーム 15"/>
        <xdr:cNvSpPr/>
      </xdr:nvSpPr>
      <xdr:spPr>
        <a:xfrm flipV="1">
          <a:off x="9730740" y="4897752"/>
          <a:ext cx="923925" cy="70487"/>
        </a:xfrm>
        <a:custGeom>
          <a:avLst/>
          <a:gdLst>
            <a:gd name="connsiteX0" fmla="*/ 1019175 w 1019175"/>
            <a:gd name="connsiteY0" fmla="*/ 0 h 0"/>
            <a:gd name="connsiteX1" fmla="*/ 0 w 1019175"/>
            <a:gd name="connsiteY1" fmla="*/ 0 h 0"/>
          </a:gdLst>
          <a:ahLst/>
          <a:cxnLst>
            <a:cxn ang="0">
              <a:pos x="connsiteX0" y="connsiteY0"/>
            </a:cxn>
            <a:cxn ang="0">
              <a:pos x="connsiteX1" y="connsiteY1"/>
            </a:cxn>
          </a:cxnLst>
          <a:rect l="l" t="t" r="r" b="b"/>
          <a:pathLst>
            <a:path w="1019175">
              <a:moveTo>
                <a:pt x="10191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15</xdr:row>
      <xdr:rowOff>314324</xdr:rowOff>
    </xdr:from>
    <xdr:to>
      <xdr:col>42</xdr:col>
      <xdr:colOff>47625</xdr:colOff>
      <xdr:row>16</xdr:row>
      <xdr:rowOff>323850</xdr:rowOff>
    </xdr:to>
    <xdr:sp macro="" textlink="">
      <xdr:nvSpPr>
        <xdr:cNvPr id="17" name="フリーフォーム 16"/>
        <xdr:cNvSpPr/>
      </xdr:nvSpPr>
      <xdr:spPr>
        <a:xfrm>
          <a:off x="9382125" y="4038599"/>
          <a:ext cx="3124200" cy="361951"/>
        </a:xfrm>
        <a:custGeom>
          <a:avLst/>
          <a:gdLst>
            <a:gd name="connsiteX0" fmla="*/ 3457575 w 3457575"/>
            <a:gd name="connsiteY0" fmla="*/ 0 h 295275"/>
            <a:gd name="connsiteX1" fmla="*/ 3457575 w 3457575"/>
            <a:gd name="connsiteY1" fmla="*/ 295275 h 295275"/>
            <a:gd name="connsiteX2" fmla="*/ 0 w 3457575"/>
            <a:gd name="connsiteY2" fmla="*/ 295275 h 295275"/>
          </a:gdLst>
          <a:ahLst/>
          <a:cxnLst>
            <a:cxn ang="0">
              <a:pos x="connsiteX0" y="connsiteY0"/>
            </a:cxn>
            <a:cxn ang="0">
              <a:pos x="connsiteX1" y="connsiteY1"/>
            </a:cxn>
            <a:cxn ang="0">
              <a:pos x="connsiteX2" y="connsiteY2"/>
            </a:cxn>
          </a:cxnLst>
          <a:rect l="l" t="t" r="r" b="b"/>
          <a:pathLst>
            <a:path w="3457575" h="295275">
              <a:moveTo>
                <a:pt x="3457575" y="0"/>
              </a:moveTo>
              <a:lnTo>
                <a:pt x="3457575" y="295275"/>
              </a:lnTo>
              <a:lnTo>
                <a:pt x="0" y="2952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171450</xdr:colOff>
      <xdr:row>16</xdr:row>
      <xdr:rowOff>304800</xdr:rowOff>
    </xdr:from>
    <xdr:to>
      <xdr:col>29</xdr:col>
      <xdr:colOff>114300</xdr:colOff>
      <xdr:row>19</xdr:row>
      <xdr:rowOff>45720</xdr:rowOff>
    </xdr:to>
    <xdr:sp macro="" textlink="">
      <xdr:nvSpPr>
        <xdr:cNvPr id="18" name="フリーフォーム 17"/>
        <xdr:cNvSpPr/>
      </xdr:nvSpPr>
      <xdr:spPr>
        <a:xfrm>
          <a:off x="9589770" y="4396740"/>
          <a:ext cx="156210" cy="784860"/>
        </a:xfrm>
        <a:custGeom>
          <a:avLst/>
          <a:gdLst>
            <a:gd name="connsiteX0" fmla="*/ 95250 w 95250"/>
            <a:gd name="connsiteY0" fmla="*/ 0 h 590550"/>
            <a:gd name="connsiteX1" fmla="*/ 0 w 95250"/>
            <a:gd name="connsiteY1" fmla="*/ 0 h 590550"/>
            <a:gd name="connsiteX2" fmla="*/ 0 w 95250"/>
            <a:gd name="connsiteY2" fmla="*/ 590550 h 590550"/>
          </a:gdLst>
          <a:ahLst/>
          <a:cxnLst>
            <a:cxn ang="0">
              <a:pos x="connsiteX0" y="connsiteY0"/>
            </a:cxn>
            <a:cxn ang="0">
              <a:pos x="connsiteX1" y="connsiteY1"/>
            </a:cxn>
            <a:cxn ang="0">
              <a:pos x="connsiteX2" y="connsiteY2"/>
            </a:cxn>
          </a:cxnLst>
          <a:rect l="l" t="t" r="r" b="b"/>
          <a:pathLst>
            <a:path w="95250" h="590550">
              <a:moveTo>
                <a:pt x="95250" y="0"/>
              </a:moveTo>
              <a:lnTo>
                <a:pt x="0" y="0"/>
              </a:lnTo>
              <a:lnTo>
                <a:pt x="0" y="5905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16</xdr:row>
      <xdr:rowOff>219034</xdr:rowOff>
    </xdr:from>
    <xdr:to>
      <xdr:col>30</xdr:col>
      <xdr:colOff>57150</xdr:colOff>
      <xdr:row>16</xdr:row>
      <xdr:rowOff>314325</xdr:rowOff>
    </xdr:to>
    <xdr:sp macro="" textlink="">
      <xdr:nvSpPr>
        <xdr:cNvPr id="19" name="フリーフォーム 18"/>
        <xdr:cNvSpPr/>
      </xdr:nvSpPr>
      <xdr:spPr>
        <a:xfrm>
          <a:off x="9210675" y="4295734"/>
          <a:ext cx="180975" cy="95291"/>
        </a:xfrm>
        <a:custGeom>
          <a:avLst/>
          <a:gdLst>
            <a:gd name="connsiteX0" fmla="*/ 219075 w 219075"/>
            <a:gd name="connsiteY0" fmla="*/ 85766 h 95291"/>
            <a:gd name="connsiteX1" fmla="*/ 104775 w 219075"/>
            <a:gd name="connsiteY1" fmla="*/ 41 h 95291"/>
            <a:gd name="connsiteX2" fmla="*/ 0 w 219075"/>
            <a:gd name="connsiteY2" fmla="*/ 95291 h 95291"/>
          </a:gdLst>
          <a:ahLst/>
          <a:cxnLst>
            <a:cxn ang="0">
              <a:pos x="connsiteX0" y="connsiteY0"/>
            </a:cxn>
            <a:cxn ang="0">
              <a:pos x="connsiteX1" y="connsiteY1"/>
            </a:cxn>
            <a:cxn ang="0">
              <a:pos x="connsiteX2" y="connsiteY2"/>
            </a:cxn>
          </a:cxnLst>
          <a:rect l="l" t="t" r="r" b="b"/>
          <a:pathLst>
            <a:path w="219075" h="95291">
              <a:moveTo>
                <a:pt x="219075" y="85766"/>
              </a:moveTo>
              <a:cubicBezTo>
                <a:pt x="180181" y="42110"/>
                <a:pt x="141287" y="-1546"/>
                <a:pt x="104775" y="41"/>
              </a:cubicBezTo>
              <a:cubicBezTo>
                <a:pt x="68263" y="1628"/>
                <a:pt x="34131" y="48459"/>
                <a:pt x="0" y="95291"/>
              </a:cubicBez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28575</xdr:colOff>
      <xdr:row>0</xdr:row>
      <xdr:rowOff>9525</xdr:rowOff>
    </xdr:from>
    <xdr:ext cx="2305051" cy="276225"/>
    <xdr:sp macro="" textlink="">
      <xdr:nvSpPr>
        <xdr:cNvPr id="78" name="正方形/長方形 77"/>
        <xdr:cNvSpPr/>
      </xdr:nvSpPr>
      <xdr:spPr>
        <a:xfrm>
          <a:off x="680085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38100</xdr:colOff>
      <xdr:row>17</xdr:row>
      <xdr:rowOff>236220</xdr:rowOff>
    </xdr:from>
    <xdr:ext cx="2423160" cy="810478"/>
    <xdr:sp macro="" textlink="">
      <xdr:nvSpPr>
        <xdr:cNvPr id="87" name="正方形/長方形 86"/>
        <xdr:cNvSpPr/>
      </xdr:nvSpPr>
      <xdr:spPr>
        <a:xfrm>
          <a:off x="6995160" y="4678680"/>
          <a:ext cx="2423160" cy="810478"/>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a:t>
          </a:r>
          <a:r>
            <a:rPr lang="ja-JP" altLang="en-US" sz="1100" b="1">
              <a:solidFill>
                <a:schemeClr val="tx1"/>
              </a:solidFill>
              <a:effectLst/>
              <a:latin typeface="+mn-lt"/>
              <a:ea typeface="+mn-ea"/>
              <a:cs typeface="+mn-cs"/>
            </a:rPr>
            <a:t>７</a:t>
          </a:r>
          <a:r>
            <a:rPr lang="ja-JP" altLang="ja-JP" sz="1100" b="1">
              <a:solidFill>
                <a:schemeClr val="tx1"/>
              </a:solidFill>
              <a:effectLst/>
              <a:latin typeface="+mn-lt"/>
              <a:ea typeface="+mn-ea"/>
              <a:cs typeface="+mn-cs"/>
            </a:rPr>
            <a:t>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137160</xdr:colOff>
          <xdr:row>17</xdr:row>
          <xdr:rowOff>175260</xdr:rowOff>
        </xdr:from>
        <xdr:to>
          <xdr:col>25</xdr:col>
          <xdr:colOff>518160</xdr:colOff>
          <xdr:row>18</xdr:row>
          <xdr:rowOff>167640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571500</xdr:colOff>
      <xdr:row>20</xdr:row>
      <xdr:rowOff>22860</xdr:rowOff>
    </xdr:from>
    <xdr:ext cx="1866900" cy="521154"/>
    <xdr:sp macro="" textlink="">
      <xdr:nvSpPr>
        <xdr:cNvPr id="91" name="正方形/長方形 90"/>
        <xdr:cNvSpPr/>
      </xdr:nvSpPr>
      <xdr:spPr>
        <a:xfrm>
          <a:off x="7528560" y="5501640"/>
          <a:ext cx="186690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Y</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25</xdr:col>
      <xdr:colOff>30480</xdr:colOff>
      <xdr:row>20</xdr:row>
      <xdr:rowOff>68580</xdr:rowOff>
    </xdr:from>
    <xdr:to>
      <xdr:col>25</xdr:col>
      <xdr:colOff>548640</xdr:colOff>
      <xdr:row>21</xdr:row>
      <xdr:rowOff>106680</xdr:rowOff>
    </xdr:to>
    <xdr:sp macro="" textlink="">
      <xdr:nvSpPr>
        <xdr:cNvPr id="92" name="左矢印 91"/>
        <xdr:cNvSpPr/>
      </xdr:nvSpPr>
      <xdr:spPr>
        <a:xfrm>
          <a:off x="6987540" y="5547360"/>
          <a:ext cx="5181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19049</xdr:colOff>
      <xdr:row>2</xdr:row>
      <xdr:rowOff>7623</xdr:rowOff>
    </xdr:from>
    <xdr:to>
      <xdr:col>23</xdr:col>
      <xdr:colOff>200024</xdr:colOff>
      <xdr:row>33</xdr:row>
      <xdr:rowOff>200029</xdr:rowOff>
    </xdr:to>
    <xdr:sp macro="" textlink="">
      <xdr:nvSpPr>
        <xdr:cNvPr id="49" name="左右矢印 48"/>
        <xdr:cNvSpPr/>
      </xdr:nvSpPr>
      <xdr:spPr>
        <a:xfrm rot="5400000">
          <a:off x="5547359" y="4042413"/>
          <a:ext cx="7221856"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33618</xdr:colOff>
      <xdr:row>4</xdr:row>
      <xdr:rowOff>22412</xdr:rowOff>
    </xdr:from>
    <xdr:to>
      <xdr:col>29</xdr:col>
      <xdr:colOff>160020</xdr:colOff>
      <xdr:row>21</xdr:row>
      <xdr:rowOff>190499</xdr:rowOff>
    </xdr:to>
    <xdr:sp macro="" textlink="">
      <xdr:nvSpPr>
        <xdr:cNvPr id="5" name="角丸四角形 4"/>
        <xdr:cNvSpPr/>
      </xdr:nvSpPr>
      <xdr:spPr>
        <a:xfrm>
          <a:off x="8994738" y="929192"/>
          <a:ext cx="385482" cy="405428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95922</xdr:colOff>
      <xdr:row>8</xdr:row>
      <xdr:rowOff>105449</xdr:rowOff>
    </xdr:from>
    <xdr:ext cx="2214843" cy="1233671"/>
    <xdr:sp macro="" textlink="">
      <xdr:nvSpPr>
        <xdr:cNvPr id="6" name="正方形/長方形 5"/>
        <xdr:cNvSpPr/>
      </xdr:nvSpPr>
      <xdr:spPr>
        <a:xfrm>
          <a:off x="6153822" y="1926629"/>
          <a:ext cx="2214843" cy="1233671"/>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「区分番号」</a:t>
          </a:r>
          <a:r>
            <a:rPr kumimoji="0" lang="ja-JP" altLang="en-US" sz="1000">
              <a:solidFill>
                <a:schemeClr val="tx1"/>
              </a:solidFill>
              <a:effectLst/>
              <a:latin typeface="+mn-ea"/>
              <a:ea typeface="+mn-ea"/>
              <a:cs typeface="+mn-cs"/>
            </a:rPr>
            <a:t>は、今期の計画書（第９面）に記載した区分番号をそれぞれプルダウンリストから選択してください。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計画時に予定していなかったが追加で実施した対策がある場合は、追加対策を含めて</a:t>
          </a:r>
          <a:r>
            <a:rPr lang="en-US" altLang="ja-JP" sz="900">
              <a:solidFill>
                <a:srgbClr val="FF0000"/>
              </a:solidFill>
              <a:effectLst/>
              <a:latin typeface="+mn-ea"/>
              <a:ea typeface="+mn-ea"/>
              <a:cs typeface="+mn-cs"/>
            </a:rPr>
            <a:t>15</a:t>
          </a:r>
          <a:r>
            <a:rPr lang="ja-JP" altLang="ja-JP" sz="900">
              <a:solidFill>
                <a:srgbClr val="FF0000"/>
              </a:solidFill>
              <a:effectLst/>
              <a:latin typeface="+mn-ea"/>
              <a:ea typeface="+mn-ea"/>
              <a:cs typeface="+mn-cs"/>
            </a:rPr>
            <a:t>項目以内で追加選択</a:t>
          </a:r>
          <a:r>
            <a:rPr lang="ja-JP" altLang="en-US"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xdr:txBody>
    </xdr:sp>
    <xdr:clientData/>
  </xdr:oneCellAnchor>
  <xdr:twoCellAnchor>
    <xdr:from>
      <xdr:col>32</xdr:col>
      <xdr:colOff>304800</xdr:colOff>
      <xdr:row>4</xdr:row>
      <xdr:rowOff>22860</xdr:rowOff>
    </xdr:from>
    <xdr:to>
      <xdr:col>38</xdr:col>
      <xdr:colOff>448235</xdr:colOff>
      <xdr:row>15</xdr:row>
      <xdr:rowOff>197224</xdr:rowOff>
    </xdr:to>
    <xdr:sp macro="" textlink="">
      <xdr:nvSpPr>
        <xdr:cNvPr id="17" name="角丸四角形 16"/>
        <xdr:cNvSpPr/>
      </xdr:nvSpPr>
      <xdr:spPr>
        <a:xfrm>
          <a:off x="10233660" y="929640"/>
          <a:ext cx="2718995" cy="268896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49975</xdr:colOff>
      <xdr:row>15</xdr:row>
      <xdr:rowOff>154755</xdr:rowOff>
    </xdr:from>
    <xdr:ext cx="2220785" cy="669414"/>
    <xdr:sp macro="" textlink="">
      <xdr:nvSpPr>
        <xdr:cNvPr id="18" name="正方形/長方形 17"/>
        <xdr:cNvSpPr/>
      </xdr:nvSpPr>
      <xdr:spPr>
        <a:xfrm>
          <a:off x="6107875" y="3576135"/>
          <a:ext cx="2220785" cy="66941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「対策の内容」</a:t>
          </a:r>
          <a:r>
            <a:rPr kumimoji="0" lang="ja-JP" altLang="en-US" sz="1000">
              <a:solidFill>
                <a:schemeClr val="tx1"/>
              </a:solidFill>
              <a:effectLst/>
              <a:latin typeface="+mn-ea"/>
              <a:ea typeface="+mn-ea"/>
              <a:cs typeface="+mn-cs"/>
            </a:rPr>
            <a:t>は当期の計画書（第９面）に記載した内容をそのまま転記してください。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39</xdr:col>
      <xdr:colOff>39780</xdr:colOff>
      <xdr:row>4</xdr:row>
      <xdr:rowOff>17369</xdr:rowOff>
    </xdr:from>
    <xdr:to>
      <xdr:col>40</xdr:col>
      <xdr:colOff>188257</xdr:colOff>
      <xdr:row>15</xdr:row>
      <xdr:rowOff>197224</xdr:rowOff>
    </xdr:to>
    <xdr:sp macro="" textlink="">
      <xdr:nvSpPr>
        <xdr:cNvPr id="22" name="角丸四角形 21"/>
        <xdr:cNvSpPr/>
      </xdr:nvSpPr>
      <xdr:spPr>
        <a:xfrm>
          <a:off x="13047568" y="922804"/>
          <a:ext cx="623607" cy="274376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62753</xdr:colOff>
      <xdr:row>18</xdr:row>
      <xdr:rowOff>155870</xdr:rowOff>
    </xdr:from>
    <xdr:ext cx="2223247" cy="1092607"/>
    <xdr:sp macro="" textlink="">
      <xdr:nvSpPr>
        <xdr:cNvPr id="24" name="正方形/長方形 23"/>
        <xdr:cNvSpPr/>
      </xdr:nvSpPr>
      <xdr:spPr>
        <a:xfrm>
          <a:off x="6140824" y="4324458"/>
          <a:ext cx="2223247" cy="109260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「実施状況」</a:t>
          </a:r>
          <a:r>
            <a:rPr kumimoji="0" lang="ja-JP" altLang="en-US" sz="1000">
              <a:solidFill>
                <a:schemeClr val="tx1"/>
              </a:solidFill>
              <a:effectLst/>
              <a:latin typeface="+mn-ea"/>
              <a:ea typeface="+mn-ea"/>
              <a:cs typeface="+mn-cs"/>
            </a:rPr>
            <a:t>は実施・未実施の別を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→未実施の場合はその理由を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　「未実施の理由」欄に簡潔に記載してください。</a:t>
          </a:r>
          <a:endParaRPr kumimoji="0" lang="en-US" altLang="ja-JP" sz="1000">
            <a:solidFill>
              <a:schemeClr val="tx1"/>
            </a:solidFill>
            <a:effectLst/>
            <a:latin typeface="+mn-ea"/>
            <a:ea typeface="+mn-ea"/>
            <a:cs typeface="+mn-cs"/>
          </a:endParaRPr>
        </a:p>
      </xdr:txBody>
    </xdr:sp>
    <xdr:clientData/>
  </xdr:oneCellAnchor>
  <xdr:twoCellAnchor>
    <xdr:from>
      <xdr:col>41</xdr:col>
      <xdr:colOff>17930</xdr:colOff>
      <xdr:row>14</xdr:row>
      <xdr:rowOff>56028</xdr:rowOff>
    </xdr:from>
    <xdr:to>
      <xdr:col>44</xdr:col>
      <xdr:colOff>255495</xdr:colOff>
      <xdr:row>15</xdr:row>
      <xdr:rowOff>197224</xdr:rowOff>
    </xdr:to>
    <xdr:sp macro="" textlink="">
      <xdr:nvSpPr>
        <xdr:cNvPr id="30" name="角丸四角形 29"/>
        <xdr:cNvSpPr/>
      </xdr:nvSpPr>
      <xdr:spPr>
        <a:xfrm>
          <a:off x="13733930" y="3292287"/>
          <a:ext cx="990600" cy="374278"/>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20</xdr:col>
          <xdr:colOff>160020</xdr:colOff>
          <xdr:row>8</xdr:row>
          <xdr:rowOff>68580</xdr:rowOff>
        </xdr:from>
        <xdr:to>
          <xdr:col>20</xdr:col>
          <xdr:colOff>541020</xdr:colOff>
          <xdr:row>9</xdr:row>
          <xdr:rowOff>144780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15</xdr:row>
          <xdr:rowOff>106680</xdr:rowOff>
        </xdr:from>
        <xdr:to>
          <xdr:col>20</xdr:col>
          <xdr:colOff>556260</xdr:colOff>
          <xdr:row>16</xdr:row>
          <xdr:rowOff>198120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18</xdr:row>
          <xdr:rowOff>99060</xdr:rowOff>
        </xdr:from>
        <xdr:to>
          <xdr:col>20</xdr:col>
          <xdr:colOff>548640</xdr:colOff>
          <xdr:row>19</xdr:row>
          <xdr:rowOff>182880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89646</xdr:colOff>
      <xdr:row>2</xdr:row>
      <xdr:rowOff>32297</xdr:rowOff>
    </xdr:from>
    <xdr:ext cx="2205317" cy="1246495"/>
    <xdr:sp macro="" textlink="">
      <xdr:nvSpPr>
        <xdr:cNvPr id="26" name="正方形/長方形 25"/>
        <xdr:cNvSpPr/>
      </xdr:nvSpPr>
      <xdr:spPr>
        <a:xfrm>
          <a:off x="6167717" y="543285"/>
          <a:ext cx="2205317" cy="124649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この第８面は、今期の計画書提出時にエネルギー管理指定工場等に指定された工場がある場合のみ記載してください。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oneCellAnchor>
    <xdr:from>
      <xdr:col>24</xdr:col>
      <xdr:colOff>9525</xdr:colOff>
      <xdr:row>0</xdr:row>
      <xdr:rowOff>9525</xdr:rowOff>
    </xdr:from>
    <xdr:ext cx="3495675" cy="277346"/>
    <xdr:sp macro="" textlink="">
      <xdr:nvSpPr>
        <xdr:cNvPr id="28" name="正方形/長方形 27"/>
        <xdr:cNvSpPr/>
      </xdr:nvSpPr>
      <xdr:spPr>
        <a:xfrm>
          <a:off x="8624607" y="9525"/>
          <a:ext cx="3495675" cy="27734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2310766</xdr:colOff>
      <xdr:row>11</xdr:row>
      <xdr:rowOff>36486</xdr:rowOff>
    </xdr:from>
    <xdr:to>
      <xdr:col>27</xdr:col>
      <xdr:colOff>33619</xdr:colOff>
      <xdr:row>12</xdr:row>
      <xdr:rowOff>220757</xdr:rowOff>
    </xdr:to>
    <xdr:cxnSp macro="">
      <xdr:nvCxnSpPr>
        <xdr:cNvPr id="41" name="カギ線コネクタ 40"/>
        <xdr:cNvCxnSpPr>
          <a:stCxn id="5" idx="1"/>
          <a:endCxn id="6" idx="3"/>
        </xdr:cNvCxnSpPr>
      </xdr:nvCxnSpPr>
      <xdr:spPr>
        <a:xfrm rot="10800000">
          <a:off x="8368666" y="2543466"/>
          <a:ext cx="626073" cy="412871"/>
        </a:xfrm>
        <a:prstGeom prst="bentConnector3">
          <a:avLst>
            <a:gd name="adj1"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2270760</xdr:colOff>
      <xdr:row>15</xdr:row>
      <xdr:rowOff>197224</xdr:rowOff>
    </xdr:from>
    <xdr:to>
      <xdr:col>36</xdr:col>
      <xdr:colOff>33618</xdr:colOff>
      <xdr:row>17</xdr:row>
      <xdr:rowOff>32262</xdr:rowOff>
    </xdr:to>
    <xdr:cxnSp macro="">
      <xdr:nvCxnSpPr>
        <xdr:cNvPr id="42" name="カギ線コネクタ 41"/>
        <xdr:cNvCxnSpPr>
          <a:stCxn id="17" idx="2"/>
          <a:endCxn id="18" idx="3"/>
        </xdr:cNvCxnSpPr>
      </xdr:nvCxnSpPr>
      <xdr:spPr>
        <a:xfrm rot="5400000">
          <a:off x="9814790" y="2132474"/>
          <a:ext cx="292238" cy="3264498"/>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2286001</xdr:colOff>
      <xdr:row>15</xdr:row>
      <xdr:rowOff>197224</xdr:rowOff>
    </xdr:from>
    <xdr:to>
      <xdr:col>39</xdr:col>
      <xdr:colOff>351585</xdr:colOff>
      <xdr:row>21</xdr:row>
      <xdr:rowOff>2927</xdr:rowOff>
    </xdr:to>
    <xdr:cxnSp macro="">
      <xdr:nvCxnSpPr>
        <xdr:cNvPr id="43" name="カギ線コネクタ 42"/>
        <xdr:cNvCxnSpPr>
          <a:stCxn id="22" idx="2"/>
          <a:endCxn id="24" idx="3"/>
        </xdr:cNvCxnSpPr>
      </xdr:nvCxnSpPr>
      <xdr:spPr>
        <a:xfrm rot="5400000">
          <a:off x="10259624" y="1771013"/>
          <a:ext cx="1204197" cy="499530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2308861</xdr:colOff>
      <xdr:row>15</xdr:row>
      <xdr:rowOff>204844</xdr:rowOff>
    </xdr:from>
    <xdr:to>
      <xdr:col>43</xdr:col>
      <xdr:colOff>43032</xdr:colOff>
      <xdr:row>21</xdr:row>
      <xdr:rowOff>10547</xdr:rowOff>
    </xdr:to>
    <xdr:cxnSp macro="">
      <xdr:nvCxnSpPr>
        <xdr:cNvPr id="46" name="カギ線コネクタ 45"/>
        <xdr:cNvCxnSpPr/>
      </xdr:nvCxnSpPr>
      <xdr:spPr>
        <a:xfrm rot="5400000">
          <a:off x="10699035" y="1293950"/>
          <a:ext cx="1177303" cy="584185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100030</xdr:colOff>
      <xdr:row>0</xdr:row>
      <xdr:rowOff>1682</xdr:rowOff>
    </xdr:from>
    <xdr:to>
      <xdr:col>45</xdr:col>
      <xdr:colOff>137381</xdr:colOff>
      <xdr:row>1</xdr:row>
      <xdr:rowOff>18826</xdr:rowOff>
    </xdr:to>
    <xdr:sp macro="" textlink="">
      <xdr:nvSpPr>
        <xdr:cNvPr id="50" name="正方形/長方形 49"/>
        <xdr:cNvSpPr/>
      </xdr:nvSpPr>
      <xdr:spPr>
        <a:xfrm>
          <a:off x="12157559" y="1682"/>
          <a:ext cx="2708834" cy="295050"/>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23</xdr:col>
      <xdr:colOff>170330</xdr:colOff>
      <xdr:row>1</xdr:row>
      <xdr:rowOff>18826</xdr:rowOff>
    </xdr:from>
    <xdr:to>
      <xdr:col>40</xdr:col>
      <xdr:colOff>29058</xdr:colOff>
      <xdr:row>3</xdr:row>
      <xdr:rowOff>125506</xdr:rowOff>
    </xdr:to>
    <xdr:cxnSp macro="">
      <xdr:nvCxnSpPr>
        <xdr:cNvPr id="51" name="直線コネクタ 50"/>
        <xdr:cNvCxnSpPr>
          <a:stCxn id="50" idx="2"/>
        </xdr:cNvCxnSpPr>
      </xdr:nvCxnSpPr>
      <xdr:spPr>
        <a:xfrm flipH="1">
          <a:off x="8570259" y="296732"/>
          <a:ext cx="4941717" cy="536986"/>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19050</xdr:colOff>
      <xdr:row>0</xdr:row>
      <xdr:rowOff>9525</xdr:rowOff>
    </xdr:from>
    <xdr:ext cx="2305051" cy="276225"/>
    <xdr:sp macro="" textlink="">
      <xdr:nvSpPr>
        <xdr:cNvPr id="23" name="正方形/長方形 22"/>
        <xdr:cNvSpPr/>
      </xdr:nvSpPr>
      <xdr:spPr>
        <a:xfrm>
          <a:off x="67341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5.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K170"/>
  <sheetViews>
    <sheetView workbookViewId="0">
      <selection activeCell="G154" sqref="G154"/>
    </sheetView>
  </sheetViews>
  <sheetFormatPr defaultColWidth="9.6640625" defaultRowHeight="18" customHeight="1"/>
  <cols>
    <col min="1" max="4" width="4.109375" style="165" customWidth="1"/>
    <col min="5" max="5" width="6.21875" style="165" customWidth="1"/>
    <col min="6" max="6" width="33" style="165" customWidth="1"/>
    <col min="7" max="16384" width="9.6640625" style="165"/>
  </cols>
  <sheetData>
    <row r="1" spans="2:28" s="182" customFormat="1" ht="18" customHeight="1">
      <c r="B1" s="183" t="s">
        <v>3736</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row>
    <row r="2" spans="2:28" s="182" customFormat="1" ht="18" customHeight="1">
      <c r="C2" s="184" t="s">
        <v>3737</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2:28" s="182" customFormat="1" ht="18" customHeight="1">
      <c r="C3" s="185"/>
      <c r="D3" s="185" t="s">
        <v>3738</v>
      </c>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2:28" s="182" customFormat="1" ht="18" customHeight="1">
      <c r="C4" s="185"/>
      <c r="D4" s="185"/>
      <c r="E4" s="185"/>
      <c r="F4" s="185" t="s">
        <v>3739</v>
      </c>
      <c r="G4" s="185" t="s">
        <v>3740</v>
      </c>
      <c r="H4" s="185" t="s">
        <v>3741</v>
      </c>
      <c r="I4" s="185" t="s">
        <v>3742</v>
      </c>
      <c r="J4" s="185" t="s">
        <v>3743</v>
      </c>
      <c r="K4" s="185" t="s">
        <v>3744</v>
      </c>
      <c r="L4" s="185" t="s">
        <v>3745</v>
      </c>
      <c r="M4" s="185"/>
      <c r="N4" s="185"/>
      <c r="O4" s="185"/>
      <c r="P4" s="185"/>
      <c r="Q4" s="185"/>
      <c r="R4" s="185"/>
      <c r="S4" s="185"/>
      <c r="T4" s="185"/>
      <c r="U4" s="185"/>
      <c r="V4" s="185"/>
      <c r="W4" s="185"/>
      <c r="X4" s="185"/>
      <c r="Y4" s="185"/>
      <c r="Z4" s="185"/>
      <c r="AA4" s="185"/>
      <c r="AB4" s="185"/>
    </row>
    <row r="5" spans="2:28" s="182" customFormat="1" ht="18" customHeight="1">
      <c r="C5" s="185"/>
      <c r="D5" s="185"/>
      <c r="E5" s="185"/>
      <c r="F5" s="185" t="s">
        <v>3746</v>
      </c>
      <c r="G5" s="185" t="s">
        <v>3740</v>
      </c>
      <c r="H5" s="185" t="s">
        <v>3741</v>
      </c>
      <c r="I5" s="185" t="s">
        <v>3742</v>
      </c>
      <c r="J5" s="185" t="s">
        <v>3743</v>
      </c>
      <c r="K5" s="185" t="s">
        <v>3744</v>
      </c>
      <c r="L5" s="185"/>
      <c r="M5" s="185"/>
      <c r="N5" s="185"/>
      <c r="O5" s="185"/>
      <c r="P5" s="185"/>
      <c r="Q5" s="185"/>
      <c r="R5" s="185"/>
      <c r="S5" s="185"/>
      <c r="T5" s="185"/>
      <c r="U5" s="185"/>
      <c r="V5" s="185"/>
      <c r="W5" s="185"/>
      <c r="X5" s="185"/>
      <c r="Y5" s="185"/>
      <c r="Z5" s="185"/>
      <c r="AA5" s="185"/>
      <c r="AB5" s="185"/>
    </row>
    <row r="6" spans="2:28" s="182" customFormat="1" ht="18" customHeight="1">
      <c r="C6" s="185"/>
      <c r="D6" s="185"/>
      <c r="E6" s="185"/>
      <c r="F6" s="185" t="s">
        <v>3747</v>
      </c>
      <c r="G6" s="185" t="s">
        <v>3740</v>
      </c>
      <c r="H6" s="185" t="s">
        <v>3741</v>
      </c>
      <c r="I6" s="185" t="s">
        <v>3742</v>
      </c>
      <c r="J6" s="185" t="s">
        <v>3743</v>
      </c>
      <c r="K6" s="185" t="s">
        <v>3744</v>
      </c>
      <c r="L6" s="185"/>
      <c r="M6" s="185"/>
      <c r="N6" s="185"/>
      <c r="O6" s="185"/>
      <c r="P6" s="185"/>
      <c r="Q6" s="185"/>
      <c r="R6" s="185"/>
      <c r="S6" s="185"/>
      <c r="T6" s="185"/>
      <c r="U6" s="185"/>
      <c r="V6" s="185"/>
      <c r="W6" s="185"/>
      <c r="X6" s="185"/>
      <c r="Y6" s="185"/>
      <c r="Z6" s="185"/>
      <c r="AA6" s="185"/>
      <c r="AB6" s="185"/>
    </row>
    <row r="7" spans="2:28" s="182" customFormat="1" ht="18" customHeight="1">
      <c r="C7" s="185"/>
      <c r="D7" s="185"/>
      <c r="E7" s="185"/>
      <c r="F7" s="185" t="s">
        <v>3748</v>
      </c>
      <c r="G7" s="185" t="s">
        <v>3740</v>
      </c>
      <c r="H7" s="185" t="s">
        <v>3741</v>
      </c>
      <c r="I7" s="185" t="s">
        <v>3742</v>
      </c>
      <c r="J7" s="185" t="s">
        <v>3743</v>
      </c>
      <c r="K7" s="185" t="s">
        <v>3744</v>
      </c>
      <c r="L7" s="185"/>
      <c r="M7" s="185"/>
      <c r="N7" s="185"/>
      <c r="O7" s="185"/>
      <c r="P7" s="185"/>
      <c r="Q7" s="185"/>
      <c r="R7" s="185"/>
      <c r="S7" s="185"/>
      <c r="T7" s="185"/>
      <c r="U7" s="185"/>
      <c r="V7" s="185"/>
      <c r="W7" s="185"/>
      <c r="X7" s="185"/>
      <c r="Y7" s="185"/>
      <c r="Z7" s="185"/>
      <c r="AA7" s="185"/>
      <c r="AB7" s="185"/>
    </row>
    <row r="8" spans="2:28" s="182" customFormat="1" ht="18" customHeight="1">
      <c r="C8" s="185"/>
      <c r="D8" s="185" t="s">
        <v>3749</v>
      </c>
      <c r="E8" s="185"/>
      <c r="F8" s="185"/>
      <c r="G8" s="185"/>
      <c r="H8" s="185"/>
      <c r="I8" s="185"/>
      <c r="J8" s="185"/>
      <c r="K8" s="185"/>
      <c r="L8" s="185"/>
      <c r="M8" s="185"/>
      <c r="N8" s="185"/>
      <c r="O8" s="185"/>
      <c r="P8" s="185"/>
      <c r="Q8" s="185"/>
      <c r="R8" s="185"/>
      <c r="S8" s="185"/>
      <c r="T8" s="185"/>
      <c r="U8" s="185"/>
      <c r="V8" s="185"/>
      <c r="W8" s="185"/>
      <c r="X8" s="185"/>
      <c r="Y8" s="185"/>
      <c r="Z8" s="185"/>
      <c r="AA8" s="185"/>
      <c r="AB8" s="185"/>
    </row>
    <row r="9" spans="2:28" s="182" customFormat="1" ht="18" customHeight="1">
      <c r="C9" s="185"/>
      <c r="D9" s="185"/>
      <c r="E9" s="1044" t="s">
        <v>3750</v>
      </c>
      <c r="F9" s="185" t="s">
        <v>3751</v>
      </c>
      <c r="G9" s="185" t="s">
        <v>3752</v>
      </c>
      <c r="H9" s="185" t="s">
        <v>3753</v>
      </c>
      <c r="I9" s="185"/>
      <c r="J9" s="185"/>
      <c r="K9" s="185"/>
      <c r="L9" s="185"/>
      <c r="M9" s="185"/>
      <c r="N9" s="185"/>
      <c r="O9" s="185"/>
      <c r="P9" s="185"/>
      <c r="Q9" s="185"/>
      <c r="R9" s="185"/>
      <c r="S9" s="185"/>
      <c r="T9" s="185"/>
      <c r="U9" s="185"/>
      <c r="V9" s="185"/>
      <c r="W9" s="185"/>
      <c r="X9" s="185"/>
      <c r="Y9" s="185"/>
      <c r="Z9" s="185"/>
      <c r="AA9" s="185"/>
      <c r="AB9" s="185"/>
    </row>
    <row r="10" spans="2:28" s="182" customFormat="1" ht="18" customHeight="1">
      <c r="C10" s="185"/>
      <c r="D10" s="185"/>
      <c r="E10" s="1045"/>
      <c r="F10" s="185" t="s">
        <v>3754</v>
      </c>
      <c r="G10" s="185" t="s">
        <v>3752</v>
      </c>
      <c r="H10" s="185" t="s">
        <v>3753</v>
      </c>
      <c r="I10" s="185"/>
      <c r="J10" s="185"/>
      <c r="K10" s="185"/>
      <c r="L10" s="185"/>
      <c r="M10" s="185"/>
      <c r="N10" s="185"/>
      <c r="O10" s="185"/>
      <c r="P10" s="185"/>
      <c r="Q10" s="185"/>
      <c r="R10" s="185"/>
      <c r="S10" s="185"/>
      <c r="T10" s="185"/>
      <c r="U10" s="185"/>
      <c r="V10" s="185"/>
      <c r="W10" s="185"/>
      <c r="X10" s="185"/>
      <c r="Y10" s="185"/>
      <c r="Z10" s="185"/>
      <c r="AA10" s="185"/>
      <c r="AB10" s="185"/>
    </row>
    <row r="11" spans="2:28" s="182" customFormat="1" ht="18" customHeight="1">
      <c r="C11" s="185"/>
      <c r="D11" s="185"/>
      <c r="E11" s="1046"/>
      <c r="F11" s="185" t="s">
        <v>3755</v>
      </c>
      <c r="G11" s="185" t="s">
        <v>3752</v>
      </c>
      <c r="H11" s="185" t="s">
        <v>3753</v>
      </c>
      <c r="I11" s="185"/>
      <c r="J11" s="185"/>
      <c r="K11" s="185"/>
      <c r="L11" s="185"/>
      <c r="M11" s="185"/>
      <c r="N11" s="185"/>
      <c r="O11" s="185"/>
      <c r="P11" s="185"/>
      <c r="Q11" s="185"/>
      <c r="R11" s="185"/>
      <c r="S11" s="185"/>
      <c r="T11" s="185"/>
      <c r="U11" s="185"/>
      <c r="V11" s="185"/>
      <c r="W11" s="185"/>
      <c r="X11" s="185"/>
      <c r="Y11" s="185"/>
      <c r="Z11" s="185"/>
      <c r="AA11" s="185"/>
      <c r="AB11" s="185"/>
    </row>
    <row r="12" spans="2:28" s="182" customFormat="1" ht="18" customHeight="1">
      <c r="C12" s="185"/>
      <c r="D12" s="185"/>
      <c r="E12" s="1044" t="s">
        <v>3756</v>
      </c>
      <c r="F12" s="185" t="s">
        <v>3751</v>
      </c>
      <c r="G12" s="185" t="s">
        <v>3752</v>
      </c>
      <c r="H12" s="185" t="s">
        <v>3753</v>
      </c>
      <c r="I12" s="185"/>
      <c r="J12" s="185"/>
      <c r="K12" s="185"/>
      <c r="L12" s="185"/>
      <c r="M12" s="185"/>
      <c r="N12" s="185"/>
      <c r="O12" s="185"/>
      <c r="P12" s="185"/>
      <c r="Q12" s="185"/>
      <c r="R12" s="185"/>
      <c r="S12" s="185"/>
      <c r="T12" s="185"/>
      <c r="U12" s="185"/>
      <c r="V12" s="185"/>
      <c r="W12" s="185"/>
      <c r="X12" s="185"/>
      <c r="Y12" s="185"/>
      <c r="Z12" s="185"/>
      <c r="AA12" s="185"/>
      <c r="AB12" s="185"/>
    </row>
    <row r="13" spans="2:28" s="182" customFormat="1" ht="18" customHeight="1">
      <c r="C13" s="185"/>
      <c r="D13" s="185"/>
      <c r="E13" s="1045"/>
      <c r="F13" s="185" t="s">
        <v>3754</v>
      </c>
      <c r="G13" s="185" t="s">
        <v>3752</v>
      </c>
      <c r="H13" s="185" t="s">
        <v>3753</v>
      </c>
      <c r="I13" s="185"/>
      <c r="J13" s="185"/>
      <c r="K13" s="185"/>
      <c r="L13" s="185"/>
      <c r="M13" s="185"/>
      <c r="N13" s="185"/>
      <c r="O13" s="185"/>
      <c r="P13" s="185"/>
      <c r="Q13" s="185"/>
      <c r="R13" s="185"/>
      <c r="S13" s="185"/>
      <c r="T13" s="185"/>
      <c r="U13" s="185"/>
      <c r="V13" s="185"/>
      <c r="W13" s="185"/>
      <c r="X13" s="185"/>
      <c r="Y13" s="185"/>
      <c r="Z13" s="185"/>
      <c r="AA13" s="185"/>
      <c r="AB13" s="185"/>
    </row>
    <row r="14" spans="2:28" s="182" customFormat="1" ht="18" customHeight="1">
      <c r="C14" s="185"/>
      <c r="D14" s="185"/>
      <c r="E14" s="1046"/>
      <c r="F14" s="185" t="s">
        <v>3755</v>
      </c>
      <c r="G14" s="185" t="s">
        <v>3752</v>
      </c>
      <c r="H14" s="185" t="s">
        <v>3753</v>
      </c>
      <c r="I14" s="185"/>
      <c r="J14" s="185"/>
      <c r="K14" s="185"/>
      <c r="L14" s="185"/>
      <c r="M14" s="185"/>
      <c r="N14" s="185"/>
      <c r="O14" s="185"/>
      <c r="P14" s="185"/>
      <c r="Q14" s="185"/>
      <c r="R14" s="185"/>
      <c r="S14" s="185"/>
      <c r="T14" s="185"/>
      <c r="U14" s="185"/>
      <c r="V14" s="185"/>
      <c r="W14" s="185"/>
      <c r="X14" s="185"/>
      <c r="Y14" s="185"/>
      <c r="Z14" s="185"/>
      <c r="AA14" s="185"/>
      <c r="AB14" s="185"/>
    </row>
    <row r="15" spans="2:28" s="182" customFormat="1" ht="18" customHeight="1">
      <c r="C15" s="185"/>
      <c r="D15" s="185"/>
      <c r="E15" s="1044" t="s">
        <v>3757</v>
      </c>
      <c r="F15" s="185" t="s">
        <v>3751</v>
      </c>
      <c r="G15" s="185" t="s">
        <v>3752</v>
      </c>
      <c r="H15" s="185" t="s">
        <v>3753</v>
      </c>
      <c r="I15" s="185"/>
      <c r="J15" s="185"/>
      <c r="K15" s="185"/>
      <c r="L15" s="185"/>
      <c r="M15" s="185"/>
      <c r="N15" s="185"/>
      <c r="O15" s="185"/>
      <c r="P15" s="185"/>
      <c r="Q15" s="185"/>
      <c r="R15" s="185"/>
      <c r="S15" s="185"/>
      <c r="T15" s="185"/>
      <c r="U15" s="185"/>
      <c r="V15" s="185"/>
      <c r="W15" s="185"/>
      <c r="X15" s="185"/>
      <c r="Y15" s="185"/>
      <c r="Z15" s="185"/>
      <c r="AA15" s="185"/>
      <c r="AB15" s="185"/>
    </row>
    <row r="16" spans="2:28" s="182" customFormat="1" ht="18" customHeight="1">
      <c r="C16" s="185"/>
      <c r="D16" s="185"/>
      <c r="E16" s="1045"/>
      <c r="F16" s="185" t="s">
        <v>3754</v>
      </c>
      <c r="G16" s="185" t="s">
        <v>3752</v>
      </c>
      <c r="H16" s="185" t="s">
        <v>3753</v>
      </c>
      <c r="I16" s="185"/>
      <c r="J16" s="185"/>
      <c r="K16" s="185"/>
      <c r="L16" s="185"/>
      <c r="M16" s="185"/>
      <c r="N16" s="185"/>
      <c r="O16" s="185"/>
      <c r="P16" s="185"/>
      <c r="Q16" s="185"/>
      <c r="R16" s="185"/>
      <c r="S16" s="185"/>
      <c r="T16" s="185"/>
      <c r="U16" s="185"/>
      <c r="V16" s="185"/>
      <c r="W16" s="185"/>
      <c r="X16" s="185"/>
      <c r="Y16" s="185"/>
      <c r="Z16" s="185"/>
      <c r="AA16" s="185"/>
      <c r="AB16" s="185"/>
    </row>
    <row r="17" spans="3:28" s="182" customFormat="1" ht="18" customHeight="1">
      <c r="C17" s="185"/>
      <c r="D17" s="185"/>
      <c r="E17" s="1046"/>
      <c r="F17" s="185" t="s">
        <v>3755</v>
      </c>
      <c r="G17" s="185" t="s">
        <v>3752</v>
      </c>
      <c r="H17" s="185" t="s">
        <v>3753</v>
      </c>
      <c r="I17" s="185"/>
      <c r="J17" s="185"/>
      <c r="K17" s="185"/>
      <c r="L17" s="185"/>
      <c r="M17" s="185"/>
      <c r="N17" s="185"/>
      <c r="O17" s="185"/>
      <c r="P17" s="185"/>
      <c r="Q17" s="185"/>
      <c r="R17" s="185"/>
      <c r="S17" s="185"/>
      <c r="T17" s="185"/>
      <c r="U17" s="185"/>
      <c r="V17" s="185"/>
      <c r="W17" s="185"/>
      <c r="X17" s="185"/>
      <c r="Y17" s="185"/>
      <c r="Z17" s="185"/>
      <c r="AA17" s="185"/>
      <c r="AB17" s="185"/>
    </row>
    <row r="18" spans="3:28" s="182" customFormat="1" ht="18" customHeight="1">
      <c r="C18" s="185"/>
      <c r="D18" s="185"/>
      <c r="E18" s="1044" t="s">
        <v>3758</v>
      </c>
      <c r="F18" s="185" t="s">
        <v>3751</v>
      </c>
      <c r="G18" s="185" t="s">
        <v>3752</v>
      </c>
      <c r="H18" s="185" t="s">
        <v>3753</v>
      </c>
      <c r="I18" s="185"/>
      <c r="J18" s="185"/>
      <c r="K18" s="185"/>
      <c r="L18" s="185"/>
      <c r="M18" s="185"/>
      <c r="N18" s="185"/>
      <c r="O18" s="185"/>
      <c r="P18" s="185"/>
      <c r="Q18" s="185"/>
      <c r="R18" s="185"/>
      <c r="S18" s="185"/>
      <c r="T18" s="185"/>
      <c r="U18" s="185"/>
      <c r="V18" s="185"/>
      <c r="W18" s="185"/>
      <c r="X18" s="185"/>
      <c r="Y18" s="185"/>
      <c r="Z18" s="185"/>
      <c r="AA18" s="185"/>
      <c r="AB18" s="185"/>
    </row>
    <row r="19" spans="3:28" s="182" customFormat="1" ht="18" customHeight="1">
      <c r="C19" s="185"/>
      <c r="D19" s="185"/>
      <c r="E19" s="1045"/>
      <c r="F19" s="185" t="s">
        <v>3754</v>
      </c>
      <c r="G19" s="185" t="s">
        <v>3752</v>
      </c>
      <c r="H19" s="185" t="s">
        <v>3753</v>
      </c>
      <c r="I19" s="185"/>
      <c r="J19" s="185"/>
      <c r="K19" s="185"/>
      <c r="L19" s="185"/>
      <c r="M19" s="185"/>
      <c r="N19" s="185"/>
      <c r="O19" s="185"/>
      <c r="P19" s="185"/>
      <c r="Q19" s="185"/>
      <c r="R19" s="185"/>
      <c r="S19" s="185"/>
      <c r="T19" s="185"/>
      <c r="U19" s="185"/>
      <c r="V19" s="185"/>
      <c r="W19" s="185"/>
      <c r="X19" s="185"/>
      <c r="Y19" s="185"/>
      <c r="Z19" s="185"/>
      <c r="AA19" s="185"/>
      <c r="AB19" s="185"/>
    </row>
    <row r="20" spans="3:28" s="182" customFormat="1" ht="18" customHeight="1">
      <c r="C20" s="185"/>
      <c r="D20" s="185"/>
      <c r="E20" s="1046"/>
      <c r="F20" s="185" t="s">
        <v>3755</v>
      </c>
      <c r="G20" s="185" t="s">
        <v>3752</v>
      </c>
      <c r="H20" s="185" t="s">
        <v>3753</v>
      </c>
      <c r="I20" s="185"/>
      <c r="J20" s="185"/>
      <c r="K20" s="185"/>
      <c r="L20" s="185"/>
      <c r="M20" s="185"/>
      <c r="N20" s="185"/>
      <c r="O20" s="185"/>
      <c r="P20" s="185"/>
      <c r="Q20" s="185"/>
      <c r="R20" s="185"/>
      <c r="S20" s="185"/>
      <c r="T20" s="185"/>
      <c r="U20" s="185"/>
      <c r="V20" s="185"/>
      <c r="W20" s="185"/>
      <c r="X20" s="185"/>
      <c r="Y20" s="185"/>
      <c r="Z20" s="185"/>
      <c r="AA20" s="185"/>
      <c r="AB20" s="185"/>
    </row>
    <row r="21" spans="3:28" s="182" customFormat="1" ht="18" customHeight="1">
      <c r="C21" s="185"/>
      <c r="D21" s="185" t="s">
        <v>3759</v>
      </c>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row>
    <row r="22" spans="3:28" s="182" customFormat="1" ht="18" customHeight="1">
      <c r="C22" s="185"/>
      <c r="D22" s="185"/>
      <c r="E22" s="1044" t="s">
        <v>3750</v>
      </c>
      <c r="F22" s="185" t="s">
        <v>3760</v>
      </c>
      <c r="G22" s="185" t="s">
        <v>3752</v>
      </c>
      <c r="H22" s="185" t="s">
        <v>3753</v>
      </c>
      <c r="I22" s="185"/>
      <c r="J22" s="185"/>
      <c r="K22" s="185"/>
      <c r="L22" s="185"/>
      <c r="M22" s="185"/>
      <c r="N22" s="185"/>
      <c r="O22" s="185"/>
      <c r="P22" s="185"/>
      <c r="Q22" s="185"/>
      <c r="R22" s="185"/>
      <c r="S22" s="185"/>
      <c r="T22" s="185"/>
      <c r="U22" s="185"/>
      <c r="V22" s="185"/>
      <c r="W22" s="185"/>
      <c r="X22" s="185"/>
      <c r="Y22" s="185"/>
      <c r="Z22" s="185"/>
      <c r="AA22" s="185"/>
      <c r="AB22" s="185"/>
    </row>
    <row r="23" spans="3:28" s="182" customFormat="1" ht="18" customHeight="1">
      <c r="C23" s="185"/>
      <c r="D23" s="185"/>
      <c r="E23" s="1045"/>
      <c r="F23" s="185" t="s">
        <v>3761</v>
      </c>
      <c r="G23" s="185" t="s">
        <v>3752</v>
      </c>
      <c r="H23" s="185" t="s">
        <v>3753</v>
      </c>
      <c r="I23" s="185"/>
      <c r="J23" s="185"/>
      <c r="K23" s="185"/>
      <c r="L23" s="185"/>
      <c r="M23" s="185"/>
      <c r="N23" s="185"/>
      <c r="O23" s="185"/>
      <c r="P23" s="185"/>
      <c r="Q23" s="185"/>
      <c r="R23" s="185"/>
      <c r="S23" s="185"/>
      <c r="T23" s="185"/>
      <c r="U23" s="185"/>
      <c r="V23" s="185"/>
      <c r="W23" s="185"/>
      <c r="X23" s="185"/>
      <c r="Y23" s="185"/>
      <c r="Z23" s="185"/>
      <c r="AA23" s="185"/>
      <c r="AB23" s="185"/>
    </row>
    <row r="24" spans="3:28" s="182" customFormat="1" ht="18" customHeight="1">
      <c r="C24" s="185"/>
      <c r="D24" s="185"/>
      <c r="E24" s="1044" t="s">
        <v>3756</v>
      </c>
      <c r="F24" s="185" t="s">
        <v>3760</v>
      </c>
      <c r="G24" s="185" t="s">
        <v>3752</v>
      </c>
      <c r="H24" s="185" t="s">
        <v>3753</v>
      </c>
      <c r="I24" s="185"/>
      <c r="J24" s="185"/>
      <c r="K24" s="185"/>
      <c r="L24" s="185"/>
      <c r="M24" s="185"/>
      <c r="N24" s="185"/>
      <c r="O24" s="185"/>
      <c r="P24" s="185"/>
      <c r="Q24" s="185"/>
      <c r="R24" s="185"/>
      <c r="S24" s="185"/>
      <c r="T24" s="185"/>
      <c r="U24" s="185"/>
      <c r="V24" s="185"/>
      <c r="W24" s="185"/>
      <c r="X24" s="185"/>
      <c r="Y24" s="185"/>
      <c r="Z24" s="185"/>
      <c r="AA24" s="185"/>
      <c r="AB24" s="185"/>
    </row>
    <row r="25" spans="3:28" s="182" customFormat="1" ht="18" customHeight="1">
      <c r="C25" s="185"/>
      <c r="D25" s="185"/>
      <c r="E25" s="1045"/>
      <c r="F25" s="185" t="s">
        <v>3761</v>
      </c>
      <c r="G25" s="185" t="s">
        <v>3752</v>
      </c>
      <c r="H25" s="185" t="s">
        <v>3753</v>
      </c>
      <c r="I25" s="185"/>
      <c r="J25" s="185"/>
      <c r="K25" s="185"/>
      <c r="L25" s="185"/>
      <c r="M25" s="185"/>
      <c r="N25" s="185"/>
      <c r="O25" s="185"/>
      <c r="P25" s="185"/>
      <c r="Q25" s="185"/>
      <c r="R25" s="185"/>
      <c r="S25" s="185"/>
      <c r="T25" s="185"/>
      <c r="U25" s="185"/>
      <c r="V25" s="185"/>
      <c r="W25" s="185"/>
      <c r="X25" s="185"/>
      <c r="Y25" s="185"/>
      <c r="Z25" s="185"/>
      <c r="AA25" s="185"/>
      <c r="AB25" s="185"/>
    </row>
    <row r="26" spans="3:28" s="182" customFormat="1" ht="18" customHeight="1">
      <c r="C26" s="185"/>
      <c r="D26" s="185"/>
      <c r="E26" s="1044" t="s">
        <v>3757</v>
      </c>
      <c r="F26" s="185" t="s">
        <v>3760</v>
      </c>
      <c r="G26" s="185" t="s">
        <v>3752</v>
      </c>
      <c r="H26" s="185" t="s">
        <v>3753</v>
      </c>
      <c r="I26" s="185"/>
      <c r="J26" s="185"/>
      <c r="K26" s="185"/>
      <c r="L26" s="185"/>
      <c r="M26" s="185"/>
      <c r="N26" s="185"/>
      <c r="O26" s="185"/>
      <c r="P26" s="185"/>
      <c r="Q26" s="185"/>
      <c r="R26" s="185"/>
      <c r="S26" s="185"/>
      <c r="T26" s="185"/>
      <c r="U26" s="185"/>
      <c r="V26" s="185"/>
      <c r="W26" s="185"/>
      <c r="X26" s="185"/>
      <c r="Y26" s="185"/>
      <c r="Z26" s="185"/>
      <c r="AA26" s="185"/>
      <c r="AB26" s="185"/>
    </row>
    <row r="27" spans="3:28" s="182" customFormat="1" ht="18" customHeight="1">
      <c r="C27" s="185"/>
      <c r="D27" s="185"/>
      <c r="E27" s="1045"/>
      <c r="F27" s="185" t="s">
        <v>3761</v>
      </c>
      <c r="G27" s="185" t="s">
        <v>3752</v>
      </c>
      <c r="H27" s="185" t="s">
        <v>3753</v>
      </c>
      <c r="I27" s="185"/>
      <c r="J27" s="185"/>
      <c r="K27" s="185"/>
      <c r="L27" s="185"/>
      <c r="M27" s="185"/>
      <c r="N27" s="185"/>
      <c r="O27" s="185"/>
      <c r="P27" s="185"/>
      <c r="Q27" s="185"/>
      <c r="R27" s="185"/>
      <c r="S27" s="185"/>
      <c r="T27" s="185"/>
      <c r="U27" s="185"/>
      <c r="V27" s="185"/>
      <c r="W27" s="185"/>
      <c r="X27" s="185"/>
      <c r="Y27" s="185"/>
      <c r="Z27" s="185"/>
      <c r="AA27" s="185"/>
      <c r="AB27" s="185"/>
    </row>
    <row r="28" spans="3:28" s="182" customFormat="1" ht="18" customHeight="1">
      <c r="C28" s="185"/>
      <c r="D28" s="185"/>
      <c r="E28" s="1044" t="s">
        <v>3758</v>
      </c>
      <c r="F28" s="185" t="s">
        <v>3760</v>
      </c>
      <c r="G28" s="185" t="s">
        <v>3752</v>
      </c>
      <c r="H28" s="185" t="s">
        <v>3753</v>
      </c>
      <c r="I28" s="185"/>
      <c r="J28" s="185"/>
      <c r="K28" s="185"/>
      <c r="L28" s="185"/>
      <c r="M28" s="185"/>
      <c r="N28" s="185"/>
      <c r="O28" s="185"/>
      <c r="P28" s="185"/>
      <c r="Q28" s="185"/>
      <c r="R28" s="185"/>
      <c r="S28" s="185"/>
      <c r="T28" s="185"/>
      <c r="U28" s="185"/>
      <c r="V28" s="185"/>
      <c r="W28" s="185"/>
      <c r="X28" s="185"/>
      <c r="Y28" s="185"/>
      <c r="Z28" s="185"/>
      <c r="AA28" s="185"/>
      <c r="AB28" s="185"/>
    </row>
    <row r="29" spans="3:28" s="182" customFormat="1" ht="18" customHeight="1">
      <c r="C29" s="185"/>
      <c r="D29" s="185"/>
      <c r="E29" s="1045"/>
      <c r="F29" s="185" t="s">
        <v>3761</v>
      </c>
      <c r="G29" s="185" t="s">
        <v>3752</v>
      </c>
      <c r="H29" s="185" t="s">
        <v>3753</v>
      </c>
      <c r="I29" s="185"/>
      <c r="J29" s="185"/>
      <c r="K29" s="185"/>
      <c r="L29" s="185"/>
      <c r="M29" s="185"/>
      <c r="N29" s="185"/>
      <c r="O29" s="185"/>
      <c r="P29" s="185"/>
      <c r="Q29" s="185"/>
      <c r="R29" s="185"/>
      <c r="S29" s="185"/>
      <c r="T29" s="185"/>
      <c r="U29" s="185"/>
      <c r="V29" s="185"/>
      <c r="W29" s="185"/>
      <c r="X29" s="185"/>
      <c r="Y29" s="185"/>
      <c r="Z29" s="185"/>
      <c r="AA29" s="185"/>
      <c r="AB29" s="185"/>
    </row>
    <row r="30" spans="3:28" s="182" customFormat="1" ht="18" customHeight="1">
      <c r="C30" s="185"/>
      <c r="D30" s="185" t="s">
        <v>3762</v>
      </c>
      <c r="E30" s="186"/>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3:28" s="182" customFormat="1" ht="18" customHeight="1">
      <c r="C31" s="185"/>
      <c r="D31" s="185"/>
      <c r="E31" s="186" t="s">
        <v>3763</v>
      </c>
      <c r="F31" s="185" t="s">
        <v>3764</v>
      </c>
      <c r="G31" s="185" t="s">
        <v>3765</v>
      </c>
      <c r="H31" s="185" t="s">
        <v>3766</v>
      </c>
      <c r="I31" s="185" t="s">
        <v>3767</v>
      </c>
      <c r="J31" s="185" t="s">
        <v>3768</v>
      </c>
      <c r="K31" s="185" t="s">
        <v>3769</v>
      </c>
      <c r="L31" s="185" t="s">
        <v>3770</v>
      </c>
      <c r="M31" s="185"/>
      <c r="N31" s="185"/>
      <c r="O31" s="185"/>
      <c r="P31" s="185"/>
      <c r="Q31" s="185"/>
      <c r="R31" s="185"/>
      <c r="S31" s="185"/>
      <c r="T31" s="185"/>
      <c r="U31" s="185"/>
      <c r="V31" s="185"/>
      <c r="W31" s="185"/>
      <c r="X31" s="185"/>
      <c r="Y31" s="185"/>
      <c r="Z31" s="185"/>
      <c r="AA31" s="185"/>
      <c r="AB31" s="185"/>
    </row>
    <row r="32" spans="3:28" s="182" customFormat="1" ht="18" customHeight="1">
      <c r="C32" s="185"/>
      <c r="D32" s="185"/>
      <c r="E32" s="186" t="s">
        <v>3771</v>
      </c>
      <c r="F32" s="185" t="s">
        <v>3772</v>
      </c>
      <c r="G32" s="185" t="s">
        <v>3765</v>
      </c>
      <c r="H32" s="185" t="s">
        <v>3766</v>
      </c>
      <c r="I32" s="185" t="s">
        <v>3767</v>
      </c>
      <c r="J32" s="185" t="s">
        <v>3768</v>
      </c>
      <c r="K32" s="185" t="s">
        <v>3769</v>
      </c>
      <c r="L32" s="185" t="s">
        <v>3770</v>
      </c>
      <c r="M32" s="185"/>
      <c r="N32" s="185"/>
      <c r="O32" s="185"/>
      <c r="P32" s="185"/>
      <c r="Q32" s="185"/>
      <c r="R32" s="185"/>
      <c r="S32" s="185"/>
      <c r="T32" s="185"/>
      <c r="U32" s="185"/>
      <c r="V32" s="185"/>
      <c r="W32" s="185"/>
      <c r="X32" s="185"/>
      <c r="Y32" s="185"/>
      <c r="Z32" s="185"/>
      <c r="AA32" s="185"/>
      <c r="AB32" s="185"/>
    </row>
    <row r="33" spans="3:28" s="182" customFormat="1" ht="18" customHeight="1">
      <c r="C33" s="185"/>
      <c r="D33" s="185"/>
      <c r="E33" s="186" t="s">
        <v>3763</v>
      </c>
      <c r="F33" s="185" t="s">
        <v>3773</v>
      </c>
      <c r="G33" s="185" t="s">
        <v>3765</v>
      </c>
      <c r="H33" s="185" t="s">
        <v>3766</v>
      </c>
      <c r="I33" s="185" t="s">
        <v>3767</v>
      </c>
      <c r="J33" s="185" t="s">
        <v>3768</v>
      </c>
      <c r="K33" s="185" t="s">
        <v>3769</v>
      </c>
      <c r="L33" s="185" t="s">
        <v>3770</v>
      </c>
      <c r="M33" s="185"/>
      <c r="N33" s="185"/>
      <c r="O33" s="185"/>
      <c r="P33" s="185"/>
      <c r="Q33" s="185"/>
      <c r="R33" s="185"/>
      <c r="S33" s="185"/>
      <c r="T33" s="185"/>
      <c r="U33" s="185"/>
      <c r="V33" s="185"/>
      <c r="W33" s="185"/>
      <c r="X33" s="185"/>
      <c r="Y33" s="185"/>
      <c r="Z33" s="185"/>
      <c r="AA33" s="185"/>
      <c r="AB33" s="185"/>
    </row>
    <row r="34" spans="3:28" s="182" customFormat="1" ht="18" customHeight="1">
      <c r="C34" s="185"/>
      <c r="D34" s="185"/>
      <c r="E34" s="186" t="s">
        <v>3771</v>
      </c>
      <c r="F34" s="185" t="s">
        <v>3774</v>
      </c>
      <c r="G34" s="185" t="s">
        <v>3765</v>
      </c>
      <c r="H34" s="185" t="s">
        <v>3766</v>
      </c>
      <c r="I34" s="185" t="s">
        <v>3767</v>
      </c>
      <c r="J34" s="185" t="s">
        <v>3768</v>
      </c>
      <c r="K34" s="185" t="s">
        <v>3769</v>
      </c>
      <c r="L34" s="185" t="s">
        <v>3770</v>
      </c>
      <c r="M34" s="185"/>
      <c r="N34" s="185"/>
      <c r="O34" s="185"/>
      <c r="P34" s="185"/>
      <c r="Q34" s="185"/>
      <c r="R34" s="185"/>
      <c r="S34" s="185"/>
      <c r="T34" s="185"/>
      <c r="U34" s="185"/>
      <c r="V34" s="185"/>
      <c r="W34" s="185"/>
      <c r="X34" s="185"/>
      <c r="Y34" s="185"/>
      <c r="Z34" s="185"/>
      <c r="AA34" s="185"/>
      <c r="AB34" s="185"/>
    </row>
    <row r="35" spans="3:28" s="182" customFormat="1" ht="18" customHeight="1">
      <c r="C35" s="185"/>
      <c r="D35" s="185" t="s">
        <v>3775</v>
      </c>
      <c r="E35" s="186"/>
      <c r="F35" s="185"/>
      <c r="G35" s="185"/>
      <c r="H35" s="185"/>
      <c r="I35" s="185"/>
      <c r="J35" s="185"/>
      <c r="K35" s="185"/>
      <c r="L35" s="185"/>
      <c r="M35" s="185"/>
      <c r="N35" s="185"/>
      <c r="O35" s="185"/>
      <c r="P35" s="185"/>
      <c r="Q35" s="185"/>
      <c r="R35" s="185"/>
      <c r="S35" s="185"/>
      <c r="T35" s="185"/>
      <c r="U35" s="185"/>
      <c r="V35" s="185"/>
      <c r="W35" s="185"/>
      <c r="X35" s="185"/>
      <c r="Y35" s="185"/>
      <c r="Z35" s="185"/>
      <c r="AA35" s="185"/>
      <c r="AB35" s="185"/>
    </row>
    <row r="36" spans="3:28" s="182" customFormat="1" ht="18" customHeight="1">
      <c r="C36" s="185"/>
      <c r="D36" s="185"/>
      <c r="E36" s="186" t="s">
        <v>3763</v>
      </c>
      <c r="F36" s="185" t="s">
        <v>3776</v>
      </c>
      <c r="G36" s="185" t="s">
        <v>3777</v>
      </c>
      <c r="H36" s="185" t="s">
        <v>3778</v>
      </c>
      <c r="I36" s="185" t="s">
        <v>3779</v>
      </c>
      <c r="J36" s="185" t="s">
        <v>3780</v>
      </c>
      <c r="K36" s="185" t="s">
        <v>3781</v>
      </c>
      <c r="L36" s="185" t="s">
        <v>3782</v>
      </c>
      <c r="M36" s="185"/>
      <c r="N36" s="185"/>
      <c r="O36" s="185"/>
      <c r="P36" s="185"/>
      <c r="Q36" s="185"/>
      <c r="R36" s="185"/>
      <c r="S36" s="185"/>
      <c r="T36" s="185"/>
      <c r="U36" s="185"/>
      <c r="V36" s="185"/>
      <c r="W36" s="185"/>
      <c r="X36" s="185"/>
      <c r="Y36" s="185"/>
      <c r="Z36" s="185"/>
      <c r="AA36" s="185"/>
      <c r="AB36" s="185"/>
    </row>
    <row r="37" spans="3:28" s="182" customFormat="1" ht="18" customHeight="1">
      <c r="C37" s="185"/>
      <c r="D37" s="185"/>
      <c r="E37" s="186" t="s">
        <v>3771</v>
      </c>
      <c r="F37" s="185" t="s">
        <v>3783</v>
      </c>
      <c r="G37" s="185" t="s">
        <v>3777</v>
      </c>
      <c r="H37" s="185" t="s">
        <v>3778</v>
      </c>
      <c r="I37" s="185" t="s">
        <v>3779</v>
      </c>
      <c r="J37" s="185" t="s">
        <v>3780</v>
      </c>
      <c r="K37" s="185" t="s">
        <v>3781</v>
      </c>
      <c r="L37" s="185" t="s">
        <v>3782</v>
      </c>
      <c r="M37" s="185"/>
      <c r="N37" s="185"/>
      <c r="O37" s="185"/>
      <c r="P37" s="185"/>
      <c r="Q37" s="185"/>
      <c r="R37" s="185"/>
      <c r="S37" s="185"/>
      <c r="T37" s="185"/>
      <c r="U37" s="185"/>
      <c r="V37" s="185"/>
      <c r="W37" s="185"/>
      <c r="X37" s="185"/>
      <c r="Y37" s="185"/>
      <c r="Z37" s="185"/>
      <c r="AA37" s="185"/>
      <c r="AB37" s="185"/>
    </row>
    <row r="38" spans="3:28" s="182" customFormat="1" ht="18" customHeight="1">
      <c r="C38" s="185"/>
      <c r="D38" s="185"/>
      <c r="E38" s="186" t="s">
        <v>3763</v>
      </c>
      <c r="F38" s="185" t="s">
        <v>3784</v>
      </c>
      <c r="G38" s="185" t="s">
        <v>3777</v>
      </c>
      <c r="H38" s="185" t="s">
        <v>3778</v>
      </c>
      <c r="I38" s="185" t="s">
        <v>3779</v>
      </c>
      <c r="J38" s="185" t="s">
        <v>3780</v>
      </c>
      <c r="K38" s="185" t="s">
        <v>3781</v>
      </c>
      <c r="L38" s="185" t="s">
        <v>3782</v>
      </c>
      <c r="M38" s="185"/>
      <c r="N38" s="185"/>
      <c r="O38" s="185"/>
      <c r="P38" s="185"/>
      <c r="Q38" s="185"/>
      <c r="R38" s="185"/>
      <c r="S38" s="185"/>
      <c r="T38" s="185"/>
      <c r="U38" s="185"/>
      <c r="V38" s="185"/>
      <c r="W38" s="185"/>
      <c r="X38" s="185"/>
      <c r="Y38" s="185"/>
      <c r="Z38" s="185"/>
      <c r="AA38" s="185"/>
      <c r="AB38" s="185"/>
    </row>
    <row r="39" spans="3:28" s="182" customFormat="1" ht="18" customHeight="1">
      <c r="C39" s="185"/>
      <c r="D39" s="185"/>
      <c r="E39" s="186" t="s">
        <v>3771</v>
      </c>
      <c r="F39" s="185" t="s">
        <v>3785</v>
      </c>
      <c r="G39" s="185" t="s">
        <v>3777</v>
      </c>
      <c r="H39" s="185" t="s">
        <v>3778</v>
      </c>
      <c r="I39" s="185" t="s">
        <v>3779</v>
      </c>
      <c r="J39" s="185" t="s">
        <v>3780</v>
      </c>
      <c r="K39" s="185" t="s">
        <v>3781</v>
      </c>
      <c r="L39" s="185" t="s">
        <v>3782</v>
      </c>
      <c r="M39" s="185"/>
      <c r="N39" s="185"/>
      <c r="O39" s="185"/>
      <c r="P39" s="185"/>
      <c r="Q39" s="185"/>
      <c r="R39" s="185"/>
      <c r="S39" s="185"/>
      <c r="T39" s="185"/>
      <c r="U39" s="185"/>
      <c r="V39" s="185"/>
      <c r="W39" s="185"/>
      <c r="X39" s="185"/>
      <c r="Y39" s="185"/>
      <c r="Z39" s="185"/>
      <c r="AA39" s="185"/>
      <c r="AB39" s="185"/>
    </row>
    <row r="40" spans="3:28" s="182" customFormat="1" ht="18" customHeight="1">
      <c r="C40" s="185"/>
      <c r="D40" s="185" t="s">
        <v>3786</v>
      </c>
      <c r="E40" s="186"/>
      <c r="F40" s="185"/>
      <c r="G40" s="185"/>
      <c r="H40" s="185"/>
      <c r="I40" s="185"/>
      <c r="J40" s="185"/>
      <c r="K40" s="185"/>
      <c r="L40" s="185"/>
      <c r="M40" s="185"/>
      <c r="N40" s="185"/>
      <c r="O40" s="185"/>
      <c r="P40" s="185"/>
      <c r="Q40" s="185"/>
      <c r="R40" s="185"/>
      <c r="S40" s="185"/>
      <c r="T40" s="185"/>
      <c r="U40" s="185"/>
      <c r="V40" s="185"/>
      <c r="W40" s="185"/>
      <c r="X40" s="185"/>
      <c r="Y40" s="185"/>
      <c r="Z40" s="185"/>
      <c r="AA40" s="185"/>
      <c r="AB40" s="185"/>
    </row>
    <row r="41" spans="3:28" s="182" customFormat="1" ht="18" customHeight="1">
      <c r="C41" s="185"/>
      <c r="D41" s="185"/>
      <c r="E41" s="186" t="s">
        <v>3763</v>
      </c>
      <c r="F41" s="185" t="s">
        <v>3787</v>
      </c>
      <c r="G41" s="185" t="s">
        <v>3788</v>
      </c>
      <c r="H41" s="185" t="s">
        <v>3789</v>
      </c>
      <c r="I41" s="185" t="s">
        <v>3790</v>
      </c>
      <c r="J41" s="185"/>
      <c r="K41" s="185"/>
      <c r="L41" s="185"/>
      <c r="M41" s="185"/>
      <c r="N41" s="185"/>
      <c r="O41" s="185"/>
      <c r="P41" s="185"/>
      <c r="Q41" s="185"/>
      <c r="R41" s="185"/>
      <c r="S41" s="185"/>
      <c r="T41" s="185"/>
      <c r="U41" s="185"/>
      <c r="V41" s="185"/>
      <c r="W41" s="185"/>
      <c r="X41" s="185"/>
      <c r="Y41" s="185"/>
      <c r="Z41" s="185"/>
      <c r="AA41" s="185"/>
      <c r="AB41" s="185"/>
    </row>
    <row r="42" spans="3:28" s="182" customFormat="1" ht="18" customHeight="1">
      <c r="C42" s="185"/>
      <c r="D42" s="185"/>
      <c r="E42" s="186" t="s">
        <v>3771</v>
      </c>
      <c r="F42" s="185" t="s">
        <v>3791</v>
      </c>
      <c r="G42" s="185" t="s">
        <v>3788</v>
      </c>
      <c r="H42" s="185" t="s">
        <v>3789</v>
      </c>
      <c r="I42" s="185" t="s">
        <v>3790</v>
      </c>
      <c r="J42" s="185"/>
      <c r="K42" s="185"/>
      <c r="L42" s="185"/>
      <c r="M42" s="185"/>
      <c r="N42" s="185"/>
      <c r="O42" s="185"/>
      <c r="P42" s="185"/>
      <c r="Q42" s="185"/>
      <c r="R42" s="185"/>
      <c r="S42" s="185"/>
      <c r="T42" s="185"/>
      <c r="U42" s="185"/>
      <c r="V42" s="185"/>
      <c r="W42" s="185"/>
      <c r="X42" s="185"/>
      <c r="Y42" s="185"/>
      <c r="Z42" s="185"/>
      <c r="AA42" s="185"/>
      <c r="AB42" s="185"/>
    </row>
    <row r="43" spans="3:28" s="182" customFormat="1" ht="18" customHeight="1">
      <c r="C43" s="185"/>
      <c r="D43" s="185" t="s">
        <v>3792</v>
      </c>
      <c r="E43" s="186"/>
      <c r="F43" s="185"/>
      <c r="G43" s="185"/>
      <c r="H43" s="185"/>
      <c r="I43" s="185"/>
      <c r="J43" s="185"/>
      <c r="K43" s="185"/>
      <c r="L43" s="185"/>
      <c r="M43" s="185"/>
      <c r="N43" s="185"/>
      <c r="O43" s="185"/>
      <c r="P43" s="185"/>
      <c r="Q43" s="185"/>
      <c r="R43" s="185"/>
      <c r="S43" s="185"/>
      <c r="T43" s="185"/>
      <c r="U43" s="185"/>
      <c r="V43" s="185"/>
      <c r="W43" s="185"/>
      <c r="X43" s="185"/>
      <c r="Y43" s="185"/>
      <c r="Z43" s="185"/>
      <c r="AA43" s="185"/>
      <c r="AB43" s="185"/>
    </row>
    <row r="44" spans="3:28" s="182" customFormat="1" ht="18" customHeight="1">
      <c r="C44" s="185"/>
      <c r="D44" s="185"/>
      <c r="E44" s="186" t="s">
        <v>3763</v>
      </c>
      <c r="F44" s="185" t="s">
        <v>3793</v>
      </c>
      <c r="G44" s="185" t="s">
        <v>3794</v>
      </c>
      <c r="H44" s="185" t="s">
        <v>3795</v>
      </c>
      <c r="I44" s="185" t="s">
        <v>3780</v>
      </c>
      <c r="J44" s="185"/>
      <c r="K44" s="185"/>
      <c r="L44" s="185"/>
      <c r="M44" s="185"/>
      <c r="N44" s="185"/>
      <c r="O44" s="185"/>
      <c r="P44" s="185"/>
      <c r="Q44" s="185"/>
      <c r="R44" s="185"/>
      <c r="S44" s="185"/>
      <c r="T44" s="185"/>
      <c r="U44" s="185"/>
      <c r="V44" s="185"/>
      <c r="W44" s="185"/>
      <c r="X44" s="185"/>
      <c r="Y44" s="185"/>
      <c r="Z44" s="185"/>
      <c r="AA44" s="185"/>
      <c r="AB44" s="185"/>
    </row>
    <row r="45" spans="3:28" s="182" customFormat="1" ht="18" customHeight="1">
      <c r="C45" s="185"/>
      <c r="D45" s="185"/>
      <c r="E45" s="186" t="s">
        <v>3771</v>
      </c>
      <c r="F45" s="185" t="s">
        <v>3796</v>
      </c>
      <c r="G45" s="185" t="s">
        <v>3794</v>
      </c>
      <c r="H45" s="185" t="s">
        <v>3795</v>
      </c>
      <c r="I45" s="185" t="s">
        <v>3780</v>
      </c>
      <c r="J45" s="185"/>
      <c r="K45" s="185"/>
      <c r="L45" s="185"/>
      <c r="M45" s="185"/>
      <c r="N45" s="185"/>
      <c r="O45" s="185"/>
      <c r="P45" s="185"/>
      <c r="Q45" s="185"/>
      <c r="R45" s="185"/>
      <c r="S45" s="185"/>
      <c r="T45" s="185"/>
      <c r="U45" s="185"/>
      <c r="V45" s="185"/>
      <c r="W45" s="185"/>
      <c r="X45" s="185"/>
      <c r="Y45" s="185"/>
      <c r="Z45" s="185"/>
      <c r="AA45" s="185"/>
      <c r="AB45" s="185"/>
    </row>
    <row r="46" spans="3:28" s="182" customFormat="1" ht="18" customHeight="1">
      <c r="C46" s="185"/>
      <c r="D46" s="185" t="s">
        <v>3762</v>
      </c>
      <c r="E46" s="186"/>
      <c r="F46" s="185"/>
      <c r="G46" s="185"/>
      <c r="H46" s="185"/>
      <c r="I46" s="185"/>
      <c r="J46" s="185"/>
      <c r="K46" s="185"/>
      <c r="L46" s="185"/>
      <c r="M46" s="185"/>
      <c r="N46" s="185"/>
      <c r="O46" s="185"/>
      <c r="P46" s="185"/>
      <c r="Q46" s="185"/>
      <c r="R46" s="185"/>
      <c r="S46" s="185"/>
      <c r="T46" s="185"/>
      <c r="U46" s="185"/>
      <c r="V46" s="185"/>
      <c r="W46" s="185"/>
      <c r="X46" s="185"/>
      <c r="Y46" s="185"/>
      <c r="Z46" s="185"/>
      <c r="AA46" s="185"/>
      <c r="AB46" s="185"/>
    </row>
    <row r="47" spans="3:28" s="182" customFormat="1" ht="18" customHeight="1">
      <c r="C47" s="185"/>
      <c r="D47" s="185"/>
      <c r="E47" s="187" t="s">
        <v>3797</v>
      </c>
      <c r="F47" s="185" t="s">
        <v>3798</v>
      </c>
      <c r="G47" s="185" t="s">
        <v>3765</v>
      </c>
      <c r="H47" s="185" t="s">
        <v>3766</v>
      </c>
      <c r="I47" s="185" t="s">
        <v>3767</v>
      </c>
      <c r="J47" s="185" t="s">
        <v>3768</v>
      </c>
      <c r="K47" s="185" t="s">
        <v>3769</v>
      </c>
      <c r="L47" s="185" t="s">
        <v>3770</v>
      </c>
      <c r="M47" s="185"/>
      <c r="N47" s="185"/>
      <c r="O47" s="185"/>
      <c r="P47" s="185"/>
      <c r="Q47" s="185"/>
      <c r="R47" s="185"/>
      <c r="S47" s="185"/>
      <c r="T47" s="185"/>
      <c r="U47" s="185"/>
      <c r="V47" s="185"/>
      <c r="W47" s="185"/>
      <c r="X47" s="185"/>
      <c r="Y47" s="185"/>
      <c r="Z47" s="185"/>
      <c r="AA47" s="185"/>
      <c r="AB47" s="185"/>
    </row>
    <row r="48" spans="3:28" s="182" customFormat="1" ht="18" customHeight="1">
      <c r="C48" s="185"/>
      <c r="D48" s="185" t="s">
        <v>3775</v>
      </c>
      <c r="E48" s="186"/>
      <c r="F48" s="185"/>
      <c r="G48" s="185"/>
      <c r="H48" s="185"/>
      <c r="I48" s="185"/>
      <c r="J48" s="185"/>
      <c r="K48" s="185"/>
      <c r="L48" s="185"/>
      <c r="M48" s="185"/>
      <c r="N48" s="185"/>
      <c r="O48" s="185"/>
      <c r="P48" s="185"/>
      <c r="Q48" s="185"/>
      <c r="R48" s="185"/>
      <c r="S48" s="185"/>
      <c r="T48" s="185"/>
      <c r="U48" s="185"/>
      <c r="V48" s="185"/>
      <c r="W48" s="185"/>
      <c r="X48" s="185"/>
      <c r="Y48" s="185"/>
      <c r="Z48" s="185"/>
      <c r="AA48" s="185"/>
      <c r="AB48" s="185"/>
    </row>
    <row r="49" spans="2:28" s="182" customFormat="1" ht="18" customHeight="1">
      <c r="C49" s="185"/>
      <c r="D49" s="185"/>
      <c r="E49" s="187" t="s">
        <v>3797</v>
      </c>
      <c r="F49" s="185" t="s">
        <v>3799</v>
      </c>
      <c r="G49" s="185" t="s">
        <v>3777</v>
      </c>
      <c r="H49" s="185" t="s">
        <v>3778</v>
      </c>
      <c r="I49" s="185" t="s">
        <v>3779</v>
      </c>
      <c r="J49" s="185" t="s">
        <v>3780</v>
      </c>
      <c r="K49" s="185" t="s">
        <v>3781</v>
      </c>
      <c r="L49" s="185" t="s">
        <v>3782</v>
      </c>
      <c r="M49" s="185"/>
      <c r="N49" s="185"/>
      <c r="O49" s="185"/>
      <c r="P49" s="185"/>
      <c r="Q49" s="185"/>
      <c r="R49" s="185"/>
      <c r="S49" s="185"/>
      <c r="T49" s="185"/>
      <c r="U49" s="185"/>
      <c r="V49" s="185"/>
      <c r="W49" s="185"/>
      <c r="X49" s="185"/>
      <c r="Y49" s="185"/>
      <c r="Z49" s="185"/>
      <c r="AA49" s="185"/>
      <c r="AB49" s="185"/>
    </row>
    <row r="50" spans="2:28" s="182" customFormat="1" ht="18" customHeight="1">
      <c r="C50" s="185"/>
      <c r="D50" s="185" t="s">
        <v>3800</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row>
    <row r="51" spans="2:28" s="182" customFormat="1" ht="18" customHeight="1">
      <c r="C51" s="185"/>
      <c r="D51" s="185"/>
      <c r="E51" s="188" t="s">
        <v>3750</v>
      </c>
      <c r="F51" s="185" t="s">
        <v>3801</v>
      </c>
      <c r="G51" s="185" t="s">
        <v>3752</v>
      </c>
      <c r="H51" s="185" t="s">
        <v>3753</v>
      </c>
      <c r="I51" s="185"/>
      <c r="J51" s="185"/>
      <c r="K51" s="185"/>
      <c r="L51" s="185"/>
      <c r="M51" s="185"/>
      <c r="N51" s="185"/>
      <c r="O51" s="185"/>
      <c r="P51" s="185"/>
      <c r="Q51" s="185"/>
      <c r="R51" s="185"/>
      <c r="S51" s="185"/>
      <c r="T51" s="185"/>
      <c r="U51" s="185"/>
      <c r="V51" s="185"/>
      <c r="W51" s="185"/>
      <c r="X51" s="185"/>
      <c r="Y51" s="185"/>
      <c r="Z51" s="185"/>
      <c r="AA51" s="185"/>
      <c r="AB51" s="185"/>
    </row>
    <row r="52" spans="2:28" s="182" customFormat="1" ht="18" customHeight="1">
      <c r="C52" s="185"/>
      <c r="D52" s="185"/>
      <c r="E52" s="188" t="s">
        <v>3756</v>
      </c>
      <c r="F52" s="185" t="s">
        <v>3801</v>
      </c>
      <c r="G52" s="185" t="s">
        <v>3752</v>
      </c>
      <c r="H52" s="185" t="s">
        <v>3753</v>
      </c>
      <c r="I52" s="185"/>
      <c r="J52" s="185"/>
      <c r="K52" s="185"/>
      <c r="L52" s="185"/>
      <c r="M52" s="185"/>
      <c r="N52" s="185"/>
      <c r="O52" s="185"/>
      <c r="P52" s="185"/>
      <c r="Q52" s="185"/>
      <c r="R52" s="185"/>
      <c r="S52" s="185"/>
      <c r="T52" s="185"/>
      <c r="U52" s="185"/>
      <c r="V52" s="185"/>
      <c r="W52" s="185"/>
      <c r="X52" s="185"/>
      <c r="Y52" s="185"/>
      <c r="Z52" s="185"/>
      <c r="AA52" s="185"/>
      <c r="AB52" s="185"/>
    </row>
    <row r="53" spans="2:28" s="182" customFormat="1" ht="18" customHeight="1">
      <c r="C53" s="185"/>
      <c r="D53" s="185"/>
      <c r="E53" s="188" t="s">
        <v>3757</v>
      </c>
      <c r="F53" s="185" t="s">
        <v>3801</v>
      </c>
      <c r="G53" s="185" t="s">
        <v>3752</v>
      </c>
      <c r="H53" s="185" t="s">
        <v>3753</v>
      </c>
      <c r="I53" s="185"/>
      <c r="J53" s="185"/>
      <c r="K53" s="185"/>
      <c r="L53" s="185"/>
      <c r="M53" s="185"/>
      <c r="N53" s="185"/>
      <c r="O53" s="185"/>
      <c r="P53" s="185"/>
      <c r="Q53" s="185"/>
      <c r="R53" s="185"/>
      <c r="S53" s="185"/>
      <c r="T53" s="185"/>
      <c r="U53" s="185"/>
      <c r="V53" s="185"/>
      <c r="W53" s="185"/>
      <c r="X53" s="185"/>
      <c r="Y53" s="185"/>
      <c r="Z53" s="185"/>
      <c r="AA53" s="185"/>
      <c r="AB53" s="185"/>
    </row>
    <row r="54" spans="2:28" s="182" customFormat="1" ht="18" customHeight="1">
      <c r="C54" s="185"/>
      <c r="D54" s="185"/>
      <c r="E54" s="188" t="s">
        <v>3758</v>
      </c>
      <c r="F54" s="185" t="s">
        <v>3801</v>
      </c>
      <c r="G54" s="185" t="s">
        <v>3752</v>
      </c>
      <c r="H54" s="185" t="s">
        <v>3753</v>
      </c>
      <c r="I54" s="185"/>
      <c r="J54" s="185"/>
      <c r="K54" s="185"/>
      <c r="L54" s="185"/>
      <c r="M54" s="185"/>
      <c r="N54" s="185"/>
      <c r="O54" s="185"/>
      <c r="P54" s="185"/>
      <c r="Q54" s="185"/>
      <c r="R54" s="185"/>
      <c r="S54" s="185"/>
      <c r="T54" s="185"/>
      <c r="U54" s="185"/>
      <c r="V54" s="185"/>
      <c r="W54" s="185"/>
      <c r="X54" s="185"/>
      <c r="Y54" s="185"/>
      <c r="Z54" s="185"/>
      <c r="AA54" s="185"/>
      <c r="AB54" s="185"/>
    </row>
    <row r="55" spans="2:28" s="182" customFormat="1" ht="18" customHeight="1"/>
    <row r="56" spans="2:28" s="182" customFormat="1" ht="18" customHeight="1"/>
    <row r="57" spans="2:28" s="182" customFormat="1" ht="18" customHeight="1">
      <c r="B57" s="183" t="s">
        <v>3802</v>
      </c>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2:28" s="182" customFormat="1" ht="18" customHeight="1">
      <c r="C58" s="184" t="s">
        <v>3727</v>
      </c>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2:28" s="182" customFormat="1" ht="18" customHeight="1">
      <c r="C59" s="185"/>
      <c r="D59" s="189" t="s">
        <v>3803</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row>
    <row r="60" spans="2:28" s="182" customFormat="1" ht="18" customHeight="1">
      <c r="C60" s="185"/>
      <c r="D60" s="185"/>
      <c r="E60" s="185" t="s">
        <v>3804</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row>
    <row r="61" spans="2:28" s="182" customFormat="1" ht="18" customHeight="1">
      <c r="C61" s="185"/>
      <c r="D61" s="185"/>
      <c r="E61" s="185"/>
      <c r="F61" s="185" t="s">
        <v>3805</v>
      </c>
      <c r="G61" s="185" t="s">
        <v>3752</v>
      </c>
      <c r="H61" s="185" t="s">
        <v>3753</v>
      </c>
      <c r="I61" s="185"/>
      <c r="J61" s="185"/>
      <c r="K61" s="185"/>
      <c r="L61" s="185"/>
      <c r="M61" s="185"/>
      <c r="N61" s="185"/>
      <c r="O61" s="185"/>
      <c r="P61" s="185"/>
      <c r="Q61" s="185"/>
      <c r="R61" s="185"/>
      <c r="S61" s="185"/>
      <c r="T61" s="185"/>
      <c r="U61" s="185"/>
      <c r="V61" s="185"/>
      <c r="W61" s="185"/>
      <c r="X61" s="185"/>
      <c r="Y61" s="185"/>
      <c r="Z61" s="185"/>
      <c r="AA61" s="185"/>
      <c r="AB61" s="185"/>
    </row>
    <row r="62" spans="2:28" s="182" customFormat="1" ht="18" customHeight="1">
      <c r="C62" s="185"/>
      <c r="D62" s="185"/>
      <c r="E62" s="185"/>
      <c r="F62" s="185" t="s">
        <v>3806</v>
      </c>
      <c r="G62" s="185" t="s">
        <v>3752</v>
      </c>
      <c r="H62" s="185" t="s">
        <v>3753</v>
      </c>
      <c r="I62" s="185"/>
      <c r="J62" s="185"/>
      <c r="K62" s="185"/>
      <c r="L62" s="185"/>
      <c r="M62" s="185"/>
      <c r="N62" s="185"/>
      <c r="O62" s="185"/>
      <c r="P62" s="185"/>
      <c r="Q62" s="185"/>
      <c r="R62" s="185"/>
      <c r="S62" s="185"/>
      <c r="T62" s="185"/>
      <c r="U62" s="185"/>
      <c r="V62" s="185"/>
      <c r="W62" s="185"/>
      <c r="X62" s="185"/>
      <c r="Y62" s="185"/>
      <c r="Z62" s="185"/>
      <c r="AA62" s="185"/>
      <c r="AB62" s="185"/>
    </row>
    <row r="63" spans="2:28" s="182" customFormat="1" ht="18" customHeight="1">
      <c r="C63" s="185"/>
      <c r="D63" s="185"/>
      <c r="E63" s="185"/>
      <c r="F63" s="185" t="s">
        <v>3807</v>
      </c>
      <c r="G63" s="185" t="s">
        <v>3752</v>
      </c>
      <c r="H63" s="185" t="s">
        <v>3753</v>
      </c>
      <c r="I63" s="185"/>
      <c r="J63" s="185"/>
      <c r="K63" s="185"/>
      <c r="L63" s="185"/>
      <c r="M63" s="185"/>
      <c r="N63" s="185"/>
      <c r="O63" s="185"/>
      <c r="P63" s="185"/>
      <c r="Q63" s="185"/>
      <c r="R63" s="185"/>
      <c r="S63" s="185"/>
      <c r="T63" s="185"/>
      <c r="U63" s="185"/>
      <c r="V63" s="185"/>
      <c r="W63" s="185"/>
      <c r="X63" s="185"/>
      <c r="Y63" s="185"/>
      <c r="Z63" s="185"/>
      <c r="AA63" s="185"/>
      <c r="AB63" s="185"/>
    </row>
    <row r="64" spans="2:28" s="182" customFormat="1" ht="18" customHeight="1">
      <c r="C64" s="185"/>
      <c r="D64" s="185"/>
      <c r="E64" s="185"/>
      <c r="F64" s="185" t="s">
        <v>3808</v>
      </c>
      <c r="G64" s="185" t="s">
        <v>3809</v>
      </c>
      <c r="H64" s="185" t="s">
        <v>3810</v>
      </c>
      <c r="I64" s="185"/>
      <c r="J64" s="185"/>
      <c r="K64" s="185"/>
      <c r="L64" s="185"/>
      <c r="M64" s="185"/>
      <c r="N64" s="185"/>
      <c r="O64" s="185"/>
      <c r="P64" s="185"/>
      <c r="Q64" s="185"/>
      <c r="R64" s="185"/>
      <c r="S64" s="185"/>
      <c r="T64" s="185"/>
      <c r="U64" s="185"/>
      <c r="V64" s="185"/>
      <c r="W64" s="185"/>
      <c r="X64" s="185"/>
      <c r="Y64" s="185"/>
      <c r="Z64" s="185"/>
      <c r="AA64" s="185"/>
      <c r="AB64" s="185"/>
    </row>
    <row r="65" spans="3:28" s="182" customFormat="1" ht="18" customHeight="1">
      <c r="C65" s="185"/>
      <c r="D65" s="185"/>
      <c r="E65" s="185"/>
      <c r="F65" s="185" t="s">
        <v>3811</v>
      </c>
      <c r="G65" s="185" t="s">
        <v>3810</v>
      </c>
      <c r="H65" s="185" t="s">
        <v>3812</v>
      </c>
      <c r="I65" s="185"/>
      <c r="J65" s="185"/>
      <c r="K65" s="185"/>
      <c r="L65" s="185"/>
      <c r="M65" s="185"/>
      <c r="N65" s="185"/>
      <c r="O65" s="185"/>
      <c r="P65" s="185"/>
      <c r="Q65" s="185"/>
      <c r="R65" s="185"/>
      <c r="S65" s="185"/>
      <c r="T65" s="185"/>
      <c r="U65" s="185"/>
      <c r="V65" s="185"/>
      <c r="W65" s="185"/>
      <c r="X65" s="185"/>
      <c r="Y65" s="185"/>
      <c r="Z65" s="185"/>
      <c r="AA65" s="185"/>
      <c r="AB65" s="185"/>
    </row>
    <row r="66" spans="3:28" s="182" customFormat="1" ht="18" customHeight="1">
      <c r="C66" s="185"/>
      <c r="D66" s="185"/>
      <c r="E66" s="185"/>
      <c r="F66" s="185" t="s">
        <v>3813</v>
      </c>
      <c r="G66" s="185" t="s">
        <v>3814</v>
      </c>
      <c r="H66" s="185" t="s">
        <v>3812</v>
      </c>
      <c r="I66" s="185"/>
      <c r="J66" s="185"/>
      <c r="K66" s="185"/>
      <c r="L66" s="185"/>
      <c r="M66" s="185"/>
      <c r="N66" s="185"/>
      <c r="O66" s="185"/>
      <c r="P66" s="185"/>
      <c r="Q66" s="185"/>
      <c r="R66" s="185"/>
      <c r="S66" s="185"/>
      <c r="T66" s="185"/>
      <c r="U66" s="185"/>
      <c r="V66" s="185"/>
      <c r="W66" s="185"/>
      <c r="X66" s="185"/>
      <c r="Y66" s="185"/>
      <c r="Z66" s="185"/>
      <c r="AA66" s="185"/>
      <c r="AB66" s="185"/>
    </row>
    <row r="67" spans="3:28" s="182" customFormat="1" ht="18" customHeight="1">
      <c r="C67" s="185"/>
      <c r="D67" s="185"/>
      <c r="E67" s="185" t="s">
        <v>3815</v>
      </c>
      <c r="F67" s="185"/>
      <c r="G67" s="185"/>
      <c r="H67" s="185"/>
      <c r="I67" s="185"/>
      <c r="J67" s="185"/>
      <c r="K67" s="185"/>
      <c r="L67" s="185"/>
      <c r="M67" s="185"/>
      <c r="N67" s="185"/>
      <c r="O67" s="185"/>
      <c r="P67" s="185"/>
      <c r="Q67" s="185"/>
      <c r="R67" s="185"/>
      <c r="S67" s="185"/>
      <c r="T67" s="185"/>
      <c r="U67" s="185"/>
      <c r="V67" s="185"/>
      <c r="W67" s="185"/>
      <c r="X67" s="185"/>
      <c r="Y67" s="185"/>
      <c r="Z67" s="185"/>
      <c r="AA67" s="185"/>
      <c r="AB67" s="185"/>
    </row>
    <row r="68" spans="3:28" s="182" customFormat="1" ht="18" customHeight="1">
      <c r="C68" s="185"/>
      <c r="D68" s="185"/>
      <c r="E68" s="185"/>
      <c r="F68" s="185" t="s">
        <v>3816</v>
      </c>
      <c r="H68" s="185"/>
      <c r="I68" s="189" t="s">
        <v>23</v>
      </c>
      <c r="J68" s="189" t="s">
        <v>25</v>
      </c>
      <c r="K68" s="189" t="s">
        <v>27</v>
      </c>
      <c r="L68" s="189" t="s">
        <v>29</v>
      </c>
      <c r="M68" s="189" t="s">
        <v>31</v>
      </c>
      <c r="N68" s="189" t="s">
        <v>33</v>
      </c>
      <c r="O68" s="189" t="s">
        <v>35</v>
      </c>
      <c r="P68" s="189" t="s">
        <v>37</v>
      </c>
      <c r="Q68" s="189" t="s">
        <v>39</v>
      </c>
      <c r="R68" s="189" t="s">
        <v>40</v>
      </c>
      <c r="S68" s="189" t="s">
        <v>24</v>
      </c>
      <c r="T68" s="189" t="s">
        <v>26</v>
      </c>
      <c r="U68" s="189" t="s">
        <v>28</v>
      </c>
      <c r="V68" s="189" t="s">
        <v>30</v>
      </c>
      <c r="W68" s="189" t="s">
        <v>32</v>
      </c>
      <c r="X68" s="189" t="s">
        <v>34</v>
      </c>
      <c r="Y68" s="189" t="s">
        <v>36</v>
      </c>
      <c r="Z68" s="189" t="s">
        <v>38</v>
      </c>
      <c r="AA68" s="189" t="s">
        <v>112</v>
      </c>
      <c r="AB68" s="190" t="s">
        <v>3817</v>
      </c>
    </row>
    <row r="69" spans="3:28" s="182" customFormat="1" ht="18" customHeight="1">
      <c r="C69" s="185"/>
      <c r="D69" s="185"/>
      <c r="E69" s="185"/>
      <c r="F69" s="185" t="s">
        <v>3818</v>
      </c>
      <c r="G69" s="189" t="e">
        <f>MATCH(#REF!,I68:AB68,0)</f>
        <v>#REF!</v>
      </c>
      <c r="H69" s="189" t="str">
        <f>IFERROR(INDEX(I69:AB69,1,MATCH(#REF!,I68:AB68,0)),"")</f>
        <v/>
      </c>
      <c r="I69" s="189" t="s">
        <v>3819</v>
      </c>
      <c r="J69" s="189" t="s">
        <v>3820</v>
      </c>
      <c r="K69" s="189" t="s">
        <v>3821</v>
      </c>
      <c r="L69" s="189" t="s">
        <v>3822</v>
      </c>
      <c r="M69" s="189" t="s">
        <v>3823</v>
      </c>
      <c r="N69" s="189" t="s">
        <v>3824</v>
      </c>
      <c r="O69" s="189" t="s">
        <v>3825</v>
      </c>
      <c r="P69" s="189" t="s">
        <v>3826</v>
      </c>
      <c r="Q69" s="189" t="s">
        <v>3827</v>
      </c>
      <c r="R69" s="189" t="s">
        <v>3828</v>
      </c>
      <c r="S69" s="189" t="s">
        <v>3829</v>
      </c>
      <c r="T69" s="189" t="s">
        <v>3830</v>
      </c>
      <c r="U69" s="189" t="s">
        <v>3831</v>
      </c>
      <c r="V69" s="189" t="s">
        <v>3832</v>
      </c>
      <c r="W69" s="189" t="s">
        <v>3833</v>
      </c>
      <c r="X69" s="189" t="s">
        <v>3834</v>
      </c>
      <c r="Y69" s="189" t="s">
        <v>3835</v>
      </c>
      <c r="Z69" s="189" t="s">
        <v>3836</v>
      </c>
      <c r="AA69" s="189" t="s">
        <v>3837</v>
      </c>
      <c r="AB69" s="189" t="s">
        <v>3838</v>
      </c>
    </row>
    <row r="70" spans="3:28" s="182" customFormat="1" ht="18" customHeight="1">
      <c r="C70" s="185"/>
      <c r="D70" s="185"/>
      <c r="E70" s="185"/>
      <c r="F70" s="185"/>
      <c r="G70" s="185"/>
      <c r="H70" s="185"/>
      <c r="I70" s="190" t="s">
        <v>3839</v>
      </c>
      <c r="J70" s="190" t="s">
        <v>3840</v>
      </c>
      <c r="K70" s="190" t="s">
        <v>3841</v>
      </c>
      <c r="L70" s="190" t="s">
        <v>3842</v>
      </c>
      <c r="M70" s="190" t="s">
        <v>3843</v>
      </c>
      <c r="N70" s="190" t="s">
        <v>3844</v>
      </c>
      <c r="O70" s="190" t="s">
        <v>3845</v>
      </c>
      <c r="P70" s="190" t="s">
        <v>3846</v>
      </c>
      <c r="Q70" s="190" t="s">
        <v>3847</v>
      </c>
      <c r="R70" s="190" t="s">
        <v>3848</v>
      </c>
      <c r="S70" s="190" t="s">
        <v>3849</v>
      </c>
      <c r="T70" s="190" t="s">
        <v>3850</v>
      </c>
      <c r="U70" s="190" t="s">
        <v>3851</v>
      </c>
      <c r="V70" s="190" t="s">
        <v>3852</v>
      </c>
      <c r="W70" s="190" t="s">
        <v>3853</v>
      </c>
      <c r="X70" s="190" t="s">
        <v>3854</v>
      </c>
      <c r="Y70" s="190" t="s">
        <v>3855</v>
      </c>
      <c r="Z70" s="190" t="s">
        <v>3856</v>
      </c>
      <c r="AA70" s="190" t="s">
        <v>3857</v>
      </c>
      <c r="AB70" s="190" t="s">
        <v>3858</v>
      </c>
    </row>
    <row r="71" spans="3:28" s="182" customFormat="1" ht="18" customHeight="1">
      <c r="C71" s="185"/>
      <c r="D71" s="185"/>
      <c r="E71" s="185"/>
      <c r="F71" s="185"/>
      <c r="G71" s="185"/>
      <c r="H71" s="185"/>
      <c r="I71" s="190" t="s">
        <v>3859</v>
      </c>
      <c r="J71" s="190" t="s">
        <v>3860</v>
      </c>
      <c r="K71" s="189"/>
      <c r="L71" s="190" t="s">
        <v>3861</v>
      </c>
      <c r="M71" s="190" t="s">
        <v>3862</v>
      </c>
      <c r="N71" s="190" t="s">
        <v>3863</v>
      </c>
      <c r="O71" s="190" t="s">
        <v>3864</v>
      </c>
      <c r="P71" s="190" t="s">
        <v>3865</v>
      </c>
      <c r="Q71" s="190" t="s">
        <v>3866</v>
      </c>
      <c r="R71" s="190" t="s">
        <v>3867</v>
      </c>
      <c r="S71" s="190" t="s">
        <v>3868</v>
      </c>
      <c r="T71" s="190" t="s">
        <v>3869</v>
      </c>
      <c r="U71" s="190" t="s">
        <v>3870</v>
      </c>
      <c r="V71" s="190" t="s">
        <v>3871</v>
      </c>
      <c r="W71" s="190" t="s">
        <v>3872</v>
      </c>
      <c r="X71" s="190" t="s">
        <v>3873</v>
      </c>
      <c r="Y71" s="190" t="s">
        <v>3874</v>
      </c>
      <c r="Z71" s="190" t="s">
        <v>3875</v>
      </c>
      <c r="AA71" s="190" t="s">
        <v>3876</v>
      </c>
      <c r="AB71" s="185"/>
    </row>
    <row r="72" spans="3:28" s="182" customFormat="1" ht="18" customHeight="1">
      <c r="C72" s="185"/>
      <c r="D72" s="185"/>
      <c r="E72" s="185"/>
      <c r="F72" s="185"/>
      <c r="G72" s="185"/>
      <c r="H72" s="185"/>
      <c r="I72" s="185"/>
      <c r="J72" s="189"/>
      <c r="K72" s="189"/>
      <c r="L72" s="190" t="s">
        <v>3877</v>
      </c>
      <c r="M72" s="190" t="s">
        <v>3878</v>
      </c>
      <c r="N72" s="190" t="s">
        <v>3879</v>
      </c>
      <c r="O72" s="190" t="s">
        <v>3880</v>
      </c>
      <c r="P72" s="190" t="s">
        <v>3881</v>
      </c>
      <c r="Q72" s="190" t="s">
        <v>3882</v>
      </c>
      <c r="R72" s="190" t="s">
        <v>3883</v>
      </c>
      <c r="S72" s="190" t="s">
        <v>3884</v>
      </c>
      <c r="T72" s="190" t="s">
        <v>3885</v>
      </c>
      <c r="U72" s="190" t="s">
        <v>3886</v>
      </c>
      <c r="V72" s="190" t="s">
        <v>3887</v>
      </c>
      <c r="W72" s="185"/>
      <c r="X72" s="190" t="s">
        <v>3888</v>
      </c>
      <c r="Y72" s="185"/>
      <c r="Z72" s="190" t="s">
        <v>3889</v>
      </c>
      <c r="AA72" s="185"/>
      <c r="AB72" s="185"/>
    </row>
    <row r="73" spans="3:28" s="182" customFormat="1" ht="18" customHeight="1">
      <c r="C73" s="185"/>
      <c r="D73" s="185"/>
      <c r="E73" s="185"/>
      <c r="F73" s="185"/>
      <c r="G73" s="185"/>
      <c r="H73" s="185"/>
      <c r="I73" s="185"/>
      <c r="J73" s="189"/>
      <c r="K73" s="189"/>
      <c r="L73" s="185"/>
      <c r="M73" s="190" t="s">
        <v>3890</v>
      </c>
      <c r="N73" s="190" t="s">
        <v>3891</v>
      </c>
      <c r="O73" s="190" t="s">
        <v>3892</v>
      </c>
      <c r="P73" s="190" t="s">
        <v>3893</v>
      </c>
      <c r="Q73" s="190" t="s">
        <v>3894</v>
      </c>
      <c r="R73" s="190" t="s">
        <v>3895</v>
      </c>
      <c r="S73" s="185"/>
      <c r="T73" s="190" t="s">
        <v>3896</v>
      </c>
      <c r="U73" s="185"/>
      <c r="V73" s="185"/>
      <c r="W73" s="185"/>
      <c r="X73" s="185"/>
      <c r="Y73" s="185"/>
      <c r="Z73" s="190" t="s">
        <v>3897</v>
      </c>
      <c r="AA73" s="185"/>
      <c r="AB73" s="185"/>
    </row>
    <row r="74" spans="3:28" s="182" customFormat="1" ht="18" customHeight="1">
      <c r="C74" s="185"/>
      <c r="D74" s="185"/>
      <c r="E74" s="185"/>
      <c r="F74" s="185"/>
      <c r="G74" s="185"/>
      <c r="H74" s="185"/>
      <c r="I74" s="185"/>
      <c r="J74" s="189"/>
      <c r="K74" s="189"/>
      <c r="L74" s="185"/>
      <c r="M74" s="190" t="s">
        <v>3898</v>
      </c>
      <c r="N74" s="185"/>
      <c r="O74" s="190" t="s">
        <v>3899</v>
      </c>
      <c r="P74" s="190" t="s">
        <v>3900</v>
      </c>
      <c r="Q74" s="190" t="s">
        <v>3901</v>
      </c>
      <c r="R74" s="190" t="s">
        <v>3902</v>
      </c>
      <c r="S74" s="185"/>
      <c r="T74" s="185"/>
      <c r="U74" s="185"/>
      <c r="V74" s="185"/>
      <c r="W74" s="185"/>
      <c r="X74" s="185"/>
      <c r="Y74" s="185"/>
      <c r="Z74" s="190" t="s">
        <v>3903</v>
      </c>
      <c r="AA74" s="185"/>
      <c r="AB74" s="185"/>
    </row>
    <row r="75" spans="3:28" s="182" customFormat="1" ht="18" customHeight="1">
      <c r="C75" s="185"/>
      <c r="D75" s="185"/>
      <c r="E75" s="185"/>
      <c r="F75" s="185"/>
      <c r="G75" s="185"/>
      <c r="H75" s="185"/>
      <c r="I75" s="185"/>
      <c r="J75" s="189"/>
      <c r="K75" s="189"/>
      <c r="L75" s="185"/>
      <c r="M75" s="190" t="s">
        <v>3904</v>
      </c>
      <c r="N75" s="185"/>
      <c r="O75" s="185"/>
      <c r="P75" s="190" t="s">
        <v>3905</v>
      </c>
      <c r="Q75" s="190" t="s">
        <v>3906</v>
      </c>
      <c r="R75" s="190" t="s">
        <v>3907</v>
      </c>
      <c r="S75" s="185"/>
      <c r="T75" s="185"/>
      <c r="U75" s="185"/>
      <c r="V75" s="185"/>
      <c r="W75" s="185"/>
      <c r="X75" s="185"/>
      <c r="Y75" s="185"/>
      <c r="Z75" s="190" t="s">
        <v>3908</v>
      </c>
      <c r="AA75" s="185"/>
      <c r="AB75" s="185"/>
    </row>
    <row r="76" spans="3:28" s="182" customFormat="1" ht="18" customHeight="1">
      <c r="C76" s="185"/>
      <c r="D76" s="185"/>
      <c r="E76" s="185"/>
      <c r="F76" s="185"/>
      <c r="G76" s="185"/>
      <c r="H76" s="185"/>
      <c r="I76" s="185"/>
      <c r="J76" s="189"/>
      <c r="K76" s="189"/>
      <c r="L76" s="185"/>
      <c r="M76" s="190" t="s">
        <v>3909</v>
      </c>
      <c r="N76" s="185"/>
      <c r="O76" s="185"/>
      <c r="P76" s="190" t="s">
        <v>3910</v>
      </c>
      <c r="Q76" s="190" t="s">
        <v>3911</v>
      </c>
      <c r="R76" s="185"/>
      <c r="S76" s="185"/>
      <c r="T76" s="185"/>
      <c r="U76" s="185"/>
      <c r="V76" s="185"/>
      <c r="W76" s="185"/>
      <c r="X76" s="185"/>
      <c r="Y76" s="185"/>
      <c r="Z76" s="190" t="s">
        <v>3912</v>
      </c>
      <c r="AA76" s="185"/>
      <c r="AB76" s="185"/>
    </row>
    <row r="77" spans="3:28" s="182" customFormat="1" ht="18" customHeight="1">
      <c r="C77" s="185"/>
      <c r="D77" s="185"/>
      <c r="E77" s="185"/>
      <c r="F77" s="185"/>
      <c r="G77" s="185"/>
      <c r="H77" s="185"/>
      <c r="I77" s="185"/>
      <c r="J77" s="189"/>
      <c r="K77" s="189"/>
      <c r="L77" s="185"/>
      <c r="M77" s="190" t="s">
        <v>3913</v>
      </c>
      <c r="N77" s="185"/>
      <c r="O77" s="185"/>
      <c r="P77" s="190" t="s">
        <v>3914</v>
      </c>
      <c r="Q77" s="190" t="s">
        <v>3915</v>
      </c>
      <c r="R77" s="185"/>
      <c r="S77" s="185"/>
      <c r="T77" s="185"/>
      <c r="U77" s="185"/>
      <c r="V77" s="185"/>
      <c r="W77" s="185"/>
      <c r="X77" s="185"/>
      <c r="Y77" s="185"/>
      <c r="Z77" s="190" t="s">
        <v>3916</v>
      </c>
      <c r="AA77" s="185"/>
      <c r="AB77" s="185"/>
    </row>
    <row r="78" spans="3:28" s="182" customFormat="1" ht="18" customHeight="1">
      <c r="C78" s="185"/>
      <c r="D78" s="185"/>
      <c r="E78" s="185"/>
      <c r="F78" s="185"/>
      <c r="G78" s="185"/>
      <c r="H78" s="185"/>
      <c r="I78" s="185"/>
      <c r="J78" s="189"/>
      <c r="K78" s="189"/>
      <c r="L78" s="185"/>
      <c r="M78" s="190" t="s">
        <v>3917</v>
      </c>
      <c r="N78" s="185"/>
      <c r="O78" s="185"/>
      <c r="P78" s="185"/>
      <c r="Q78" s="190" t="s">
        <v>3918</v>
      </c>
      <c r="R78" s="185"/>
      <c r="S78" s="185"/>
      <c r="T78" s="185"/>
      <c r="U78" s="185"/>
      <c r="V78" s="185"/>
      <c r="W78" s="185"/>
      <c r="X78" s="185"/>
      <c r="Y78" s="185"/>
      <c r="Z78" s="190" t="s">
        <v>3919</v>
      </c>
      <c r="AA78" s="185"/>
      <c r="AB78" s="185"/>
    </row>
    <row r="79" spans="3:28" s="182" customFormat="1" ht="18" customHeight="1">
      <c r="C79" s="185"/>
      <c r="D79" s="185"/>
      <c r="E79" s="185"/>
      <c r="F79" s="185"/>
      <c r="G79" s="185"/>
      <c r="H79" s="185"/>
      <c r="I79" s="185"/>
      <c r="J79" s="189"/>
      <c r="K79" s="189"/>
      <c r="L79" s="185"/>
      <c r="M79" s="190" t="s">
        <v>3920</v>
      </c>
      <c r="N79" s="185"/>
      <c r="O79" s="185"/>
      <c r="P79" s="185"/>
      <c r="Q79" s="190" t="s">
        <v>3921</v>
      </c>
      <c r="R79" s="185"/>
      <c r="S79" s="185"/>
      <c r="T79" s="185"/>
      <c r="U79" s="185"/>
      <c r="V79" s="185"/>
      <c r="W79" s="185"/>
      <c r="X79" s="185"/>
      <c r="Y79" s="185"/>
      <c r="Z79" s="185"/>
      <c r="AA79" s="185"/>
      <c r="AB79" s="185"/>
    </row>
    <row r="80" spans="3:28" s="182" customFormat="1" ht="18" customHeight="1">
      <c r="C80" s="185"/>
      <c r="D80" s="185"/>
      <c r="E80" s="185"/>
      <c r="F80" s="185"/>
      <c r="G80" s="185"/>
      <c r="H80" s="185"/>
      <c r="I80" s="185"/>
      <c r="J80" s="189"/>
      <c r="K80" s="189"/>
      <c r="L80" s="185"/>
      <c r="M80" s="190" t="s">
        <v>3922</v>
      </c>
      <c r="N80" s="185"/>
      <c r="O80" s="185"/>
      <c r="P80" s="185"/>
      <c r="Q80" s="190" t="s">
        <v>3923</v>
      </c>
      <c r="R80" s="185"/>
      <c r="S80" s="185"/>
      <c r="T80" s="185"/>
      <c r="U80" s="185"/>
      <c r="V80" s="185"/>
      <c r="W80" s="185"/>
      <c r="X80" s="185"/>
      <c r="Y80" s="185"/>
      <c r="Z80" s="185"/>
      <c r="AA80" s="185"/>
      <c r="AB80" s="185"/>
    </row>
    <row r="81" spans="3:28" s="182" customFormat="1" ht="18" customHeight="1">
      <c r="C81" s="185"/>
      <c r="D81" s="185"/>
      <c r="E81" s="185"/>
      <c r="F81" s="185"/>
      <c r="G81" s="185"/>
      <c r="H81" s="185"/>
      <c r="I81" s="185"/>
      <c r="J81" s="189"/>
      <c r="K81" s="189"/>
      <c r="L81" s="185"/>
      <c r="M81" s="190" t="s">
        <v>3924</v>
      </c>
      <c r="N81" s="185"/>
      <c r="O81" s="185"/>
      <c r="P81" s="185"/>
      <c r="Q81" s="190" t="s">
        <v>3925</v>
      </c>
      <c r="R81" s="185"/>
      <c r="S81" s="185"/>
      <c r="T81" s="185"/>
      <c r="U81" s="185"/>
      <c r="V81" s="185"/>
      <c r="W81" s="185"/>
      <c r="X81" s="185"/>
      <c r="Y81" s="185"/>
      <c r="Z81" s="185"/>
      <c r="AA81" s="185"/>
      <c r="AB81" s="185"/>
    </row>
    <row r="82" spans="3:28" s="182" customFormat="1" ht="18" customHeight="1">
      <c r="C82" s="185"/>
      <c r="D82" s="185"/>
      <c r="E82" s="185"/>
      <c r="F82" s="185"/>
      <c r="G82" s="185"/>
      <c r="H82" s="185"/>
      <c r="I82" s="185"/>
      <c r="J82" s="189"/>
      <c r="K82" s="189"/>
      <c r="L82" s="185"/>
      <c r="M82" s="190" t="s">
        <v>3926</v>
      </c>
      <c r="N82" s="185"/>
      <c r="O82" s="185"/>
      <c r="P82" s="185"/>
      <c r="Q82" s="185"/>
      <c r="R82" s="185"/>
      <c r="S82" s="185"/>
      <c r="T82" s="185"/>
      <c r="U82" s="185"/>
      <c r="V82" s="185"/>
      <c r="W82" s="185"/>
      <c r="X82" s="185"/>
      <c r="Y82" s="185"/>
      <c r="Z82" s="185"/>
      <c r="AA82" s="185"/>
      <c r="AB82" s="185"/>
    </row>
    <row r="83" spans="3:28" s="182" customFormat="1" ht="18" customHeight="1">
      <c r="C83" s="185"/>
      <c r="D83" s="185"/>
      <c r="E83" s="185"/>
      <c r="F83" s="185"/>
      <c r="G83" s="185"/>
      <c r="H83" s="185"/>
      <c r="I83" s="185"/>
      <c r="J83" s="189"/>
      <c r="K83" s="189"/>
      <c r="L83" s="185"/>
      <c r="M83" s="190" t="s">
        <v>3927</v>
      </c>
      <c r="N83" s="185"/>
      <c r="O83" s="185"/>
      <c r="P83" s="185"/>
      <c r="Q83" s="185"/>
      <c r="R83" s="185"/>
      <c r="S83" s="185"/>
      <c r="T83" s="185"/>
      <c r="U83" s="185"/>
      <c r="V83" s="185"/>
      <c r="W83" s="185"/>
      <c r="X83" s="185"/>
      <c r="Y83" s="185"/>
      <c r="Z83" s="185"/>
      <c r="AA83" s="185"/>
      <c r="AB83" s="185"/>
    </row>
    <row r="84" spans="3:28" s="182" customFormat="1" ht="18" customHeight="1">
      <c r="C84" s="185"/>
      <c r="D84" s="185"/>
      <c r="E84" s="185"/>
      <c r="F84" s="185"/>
      <c r="G84" s="185"/>
      <c r="H84" s="185"/>
      <c r="I84" s="185"/>
      <c r="J84" s="189"/>
      <c r="K84" s="189"/>
      <c r="L84" s="185"/>
      <c r="M84" s="190" t="s">
        <v>3928</v>
      </c>
      <c r="N84" s="185"/>
      <c r="O84" s="185"/>
      <c r="P84" s="185"/>
      <c r="Q84" s="185"/>
      <c r="R84" s="185"/>
      <c r="S84" s="185"/>
      <c r="T84" s="185"/>
      <c r="U84" s="185"/>
      <c r="V84" s="185"/>
      <c r="W84" s="185"/>
      <c r="X84" s="185"/>
      <c r="Y84" s="185"/>
      <c r="Z84" s="185"/>
      <c r="AA84" s="185"/>
      <c r="AB84" s="185"/>
    </row>
    <row r="85" spans="3:28" s="182" customFormat="1" ht="18" customHeight="1">
      <c r="C85" s="185"/>
      <c r="D85" s="185"/>
      <c r="E85" s="185"/>
      <c r="F85" s="185"/>
      <c r="G85" s="185"/>
      <c r="H85" s="185"/>
      <c r="I85" s="185"/>
      <c r="J85" s="189"/>
      <c r="K85" s="189"/>
      <c r="L85" s="185"/>
      <c r="M85" s="190" t="s">
        <v>3929</v>
      </c>
      <c r="N85" s="185"/>
      <c r="O85" s="185"/>
      <c r="P85" s="185"/>
      <c r="Q85" s="185"/>
      <c r="R85" s="185"/>
      <c r="S85" s="185"/>
      <c r="T85" s="185"/>
      <c r="U85" s="185"/>
      <c r="V85" s="185"/>
      <c r="W85" s="185"/>
      <c r="X85" s="185"/>
      <c r="Y85" s="185"/>
      <c r="Z85" s="185"/>
      <c r="AA85" s="185"/>
      <c r="AB85" s="185"/>
    </row>
    <row r="86" spans="3:28" s="182" customFormat="1" ht="18" customHeight="1">
      <c r="C86" s="185"/>
      <c r="D86" s="185"/>
      <c r="E86" s="185"/>
      <c r="F86" s="185"/>
      <c r="G86" s="185"/>
      <c r="H86" s="185"/>
      <c r="I86" s="185"/>
      <c r="J86" s="189"/>
      <c r="K86" s="189"/>
      <c r="L86" s="185"/>
      <c r="M86" s="190" t="s">
        <v>3930</v>
      </c>
      <c r="N86" s="185"/>
      <c r="O86" s="185"/>
      <c r="P86" s="185"/>
      <c r="Q86" s="185"/>
      <c r="R86" s="185"/>
      <c r="S86" s="185"/>
      <c r="T86" s="185"/>
      <c r="U86" s="185"/>
      <c r="V86" s="185"/>
      <c r="W86" s="185"/>
      <c r="X86" s="185"/>
      <c r="Y86" s="185"/>
      <c r="Z86" s="185"/>
      <c r="AA86" s="185"/>
      <c r="AB86" s="185"/>
    </row>
    <row r="87" spans="3:28" s="182" customFormat="1" ht="18" customHeight="1">
      <c r="C87" s="185"/>
      <c r="D87" s="185"/>
      <c r="E87" s="185"/>
      <c r="F87" s="185"/>
      <c r="G87" s="185"/>
      <c r="H87" s="185"/>
      <c r="I87" s="185"/>
      <c r="J87" s="189"/>
      <c r="K87" s="189"/>
      <c r="L87" s="185"/>
      <c r="M87" s="190" t="s">
        <v>3931</v>
      </c>
      <c r="N87" s="185"/>
      <c r="O87" s="185"/>
      <c r="P87" s="185"/>
      <c r="Q87" s="185"/>
      <c r="R87" s="185"/>
      <c r="S87" s="185"/>
      <c r="T87" s="185"/>
      <c r="U87" s="185"/>
      <c r="V87" s="185"/>
      <c r="W87" s="185"/>
      <c r="X87" s="185"/>
      <c r="Y87" s="185"/>
      <c r="Z87" s="185"/>
      <c r="AA87" s="185"/>
      <c r="AB87" s="185"/>
    </row>
    <row r="88" spans="3:28" s="182" customFormat="1" ht="18" customHeight="1">
      <c r="C88" s="185"/>
      <c r="D88" s="185"/>
      <c r="E88" s="185"/>
      <c r="F88" s="185"/>
      <c r="G88" s="185"/>
      <c r="H88" s="185"/>
      <c r="I88" s="185"/>
      <c r="J88" s="189"/>
      <c r="K88" s="189"/>
      <c r="L88" s="185"/>
      <c r="M88" s="190" t="s">
        <v>3932</v>
      </c>
      <c r="N88" s="185"/>
      <c r="O88" s="185"/>
      <c r="P88" s="185"/>
      <c r="Q88" s="185"/>
      <c r="R88" s="185"/>
      <c r="S88" s="185"/>
      <c r="T88" s="185"/>
      <c r="U88" s="185"/>
      <c r="V88" s="185"/>
      <c r="W88" s="185"/>
      <c r="X88" s="185"/>
      <c r="Y88" s="185"/>
      <c r="Z88" s="185"/>
      <c r="AA88" s="185"/>
      <c r="AB88" s="185"/>
    </row>
    <row r="89" spans="3:28" s="182" customFormat="1" ht="18" customHeight="1">
      <c r="C89" s="185"/>
      <c r="D89" s="185"/>
      <c r="E89" s="185"/>
      <c r="F89" s="185"/>
      <c r="G89" s="185"/>
      <c r="H89" s="185"/>
      <c r="I89" s="185"/>
      <c r="J89" s="189"/>
      <c r="K89" s="189"/>
      <c r="L89" s="185"/>
      <c r="M89" s="190" t="s">
        <v>3933</v>
      </c>
      <c r="N89" s="185"/>
      <c r="O89" s="185"/>
      <c r="P89" s="185"/>
      <c r="Q89" s="185"/>
      <c r="R89" s="185"/>
      <c r="S89" s="185"/>
      <c r="T89" s="185"/>
      <c r="U89" s="185"/>
      <c r="V89" s="185"/>
      <c r="W89" s="185"/>
      <c r="X89" s="185"/>
      <c r="Y89" s="185"/>
      <c r="Z89" s="185"/>
      <c r="AA89" s="185"/>
      <c r="AB89" s="185"/>
    </row>
    <row r="90" spans="3:28" s="182" customFormat="1" ht="18" customHeight="1">
      <c r="C90" s="185"/>
      <c r="D90" s="185"/>
      <c r="E90" s="185"/>
      <c r="F90" s="185"/>
      <c r="G90" s="185"/>
      <c r="H90" s="185"/>
      <c r="I90" s="185"/>
      <c r="J90" s="185"/>
      <c r="K90" s="185"/>
      <c r="L90" s="185"/>
      <c r="M90" s="190" t="s">
        <v>3934</v>
      </c>
      <c r="N90" s="185"/>
      <c r="O90" s="185"/>
      <c r="P90" s="185"/>
      <c r="Q90" s="185"/>
      <c r="R90" s="185"/>
      <c r="S90" s="185"/>
      <c r="T90" s="185"/>
      <c r="U90" s="185"/>
      <c r="V90" s="185"/>
      <c r="W90" s="185"/>
      <c r="X90" s="185"/>
      <c r="Y90" s="185"/>
      <c r="Z90" s="185"/>
      <c r="AA90" s="185"/>
      <c r="AB90" s="185"/>
    </row>
    <row r="91" spans="3:28" s="182" customFormat="1" ht="18" customHeight="1">
      <c r="C91" s="185"/>
      <c r="D91" s="185"/>
      <c r="E91" s="185"/>
      <c r="F91" s="185"/>
      <c r="G91" s="185"/>
      <c r="H91" s="185"/>
      <c r="I91" s="185"/>
      <c r="J91" s="185"/>
      <c r="K91" s="185"/>
      <c r="L91" s="185"/>
      <c r="M91" s="190" t="s">
        <v>3935</v>
      </c>
      <c r="N91" s="185"/>
      <c r="O91" s="185"/>
      <c r="P91" s="185"/>
      <c r="Q91" s="185"/>
      <c r="R91" s="185"/>
      <c r="S91" s="185"/>
      <c r="T91" s="185"/>
      <c r="U91" s="185"/>
      <c r="V91" s="185"/>
      <c r="W91" s="185"/>
      <c r="X91" s="185"/>
      <c r="Y91" s="185"/>
      <c r="Z91" s="185"/>
      <c r="AA91" s="185"/>
      <c r="AB91" s="185"/>
    </row>
    <row r="92" spans="3:28" s="182" customFormat="1" ht="18" customHeight="1">
      <c r="C92" s="185"/>
      <c r="D92" s="185"/>
      <c r="E92" s="185"/>
      <c r="F92" s="185"/>
      <c r="G92" s="185"/>
      <c r="H92" s="185"/>
      <c r="I92" s="185"/>
      <c r="J92" s="185"/>
      <c r="K92" s="185"/>
      <c r="L92" s="185"/>
      <c r="M92" s="190" t="s">
        <v>3936</v>
      </c>
      <c r="N92" s="185"/>
      <c r="O92" s="185"/>
      <c r="P92" s="185"/>
      <c r="Q92" s="185"/>
      <c r="R92" s="185"/>
      <c r="S92" s="185"/>
      <c r="T92" s="185"/>
      <c r="U92" s="185"/>
      <c r="V92" s="185"/>
      <c r="W92" s="185"/>
      <c r="X92" s="185"/>
      <c r="Y92" s="185"/>
      <c r="Z92" s="185"/>
      <c r="AA92" s="185"/>
      <c r="AB92" s="185"/>
    </row>
    <row r="93" spans="3:28" s="182" customFormat="1" ht="18" customHeight="1">
      <c r="C93" s="185"/>
      <c r="D93" s="185"/>
      <c r="E93" s="185"/>
      <c r="G93" s="185"/>
      <c r="H93" s="185"/>
      <c r="I93" s="185"/>
      <c r="J93" s="185"/>
      <c r="K93" s="185"/>
      <c r="L93" s="185"/>
      <c r="M93" s="190" t="s">
        <v>3937</v>
      </c>
      <c r="N93" s="185"/>
      <c r="O93" s="185"/>
      <c r="P93" s="185"/>
      <c r="Q93" s="185"/>
      <c r="R93" s="185"/>
      <c r="S93" s="185"/>
      <c r="T93" s="185"/>
      <c r="U93" s="185"/>
      <c r="V93" s="185"/>
      <c r="W93" s="185"/>
      <c r="X93" s="185"/>
      <c r="Y93" s="185"/>
      <c r="Z93" s="185"/>
      <c r="AA93" s="185"/>
      <c r="AB93" s="185"/>
    </row>
    <row r="94" spans="3:28" s="182" customFormat="1" ht="18" customHeight="1">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row>
    <row r="95" spans="3:28" s="182" customFormat="1" ht="18" customHeight="1">
      <c r="C95" s="185"/>
      <c r="D95" s="185" t="s">
        <v>3938</v>
      </c>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row>
    <row r="96" spans="3:28" s="182" customFormat="1" ht="18" customHeight="1">
      <c r="C96" s="185"/>
      <c r="D96" s="185"/>
      <c r="E96" s="185"/>
      <c r="F96" s="185" t="s">
        <v>3939</v>
      </c>
      <c r="G96" s="185" t="s">
        <v>3752</v>
      </c>
      <c r="H96" s="185" t="s">
        <v>3753</v>
      </c>
      <c r="I96" s="185"/>
      <c r="J96" s="185"/>
      <c r="K96" s="185"/>
      <c r="L96" s="185"/>
      <c r="M96" s="185"/>
      <c r="N96" s="185"/>
      <c r="O96" s="185"/>
      <c r="P96" s="185"/>
      <c r="Q96" s="185"/>
      <c r="R96" s="185"/>
      <c r="S96" s="185"/>
      <c r="T96" s="185"/>
      <c r="U96" s="185"/>
      <c r="V96" s="185"/>
      <c r="W96" s="185"/>
      <c r="X96" s="185"/>
      <c r="Y96" s="185"/>
      <c r="Z96" s="185"/>
      <c r="AA96" s="185"/>
      <c r="AB96" s="185"/>
    </row>
    <row r="97" spans="3:28" s="182" customFormat="1" ht="18" customHeight="1">
      <c r="C97" s="185"/>
      <c r="D97" s="185"/>
      <c r="E97" s="185"/>
      <c r="F97" s="185" t="s">
        <v>3940</v>
      </c>
      <c r="G97" s="185" t="s">
        <v>3752</v>
      </c>
      <c r="H97" s="185" t="s">
        <v>3753</v>
      </c>
      <c r="I97" s="185"/>
      <c r="J97" s="185"/>
      <c r="K97" s="185"/>
      <c r="L97" s="185"/>
      <c r="M97" s="185"/>
      <c r="N97" s="185"/>
      <c r="O97" s="185"/>
      <c r="P97" s="185"/>
      <c r="Q97" s="185"/>
      <c r="R97" s="185"/>
      <c r="S97" s="185"/>
      <c r="T97" s="185"/>
      <c r="U97" s="185"/>
      <c r="V97" s="185"/>
      <c r="W97" s="185"/>
      <c r="X97" s="185"/>
      <c r="Y97" s="185"/>
      <c r="Z97" s="185"/>
      <c r="AA97" s="185"/>
      <c r="AB97" s="185"/>
    </row>
    <row r="98" spans="3:28" s="182" customFormat="1" ht="18" customHeight="1">
      <c r="C98" s="185"/>
      <c r="D98" s="185"/>
      <c r="E98" s="185"/>
      <c r="F98" s="185" t="s">
        <v>3941</v>
      </c>
      <c r="G98" s="185" t="s">
        <v>3752</v>
      </c>
      <c r="H98" s="185" t="s">
        <v>3753</v>
      </c>
      <c r="I98" s="185"/>
      <c r="J98" s="185"/>
      <c r="K98" s="185"/>
      <c r="L98" s="185"/>
      <c r="M98" s="185"/>
      <c r="N98" s="185"/>
      <c r="O98" s="185"/>
      <c r="P98" s="185"/>
      <c r="Q98" s="185"/>
      <c r="R98" s="185"/>
      <c r="S98" s="185"/>
      <c r="T98" s="185"/>
      <c r="U98" s="185"/>
      <c r="V98" s="185"/>
      <c r="W98" s="185"/>
      <c r="X98" s="185"/>
      <c r="Y98" s="185"/>
      <c r="Z98" s="185"/>
      <c r="AA98" s="185"/>
      <c r="AB98" s="185"/>
    </row>
    <row r="99" spans="3:28" s="182" customFormat="1" ht="18" customHeight="1">
      <c r="C99" s="185"/>
      <c r="D99" s="185"/>
      <c r="E99" s="185"/>
      <c r="F99" s="185" t="s">
        <v>3942</v>
      </c>
      <c r="G99" s="185" t="s">
        <v>3752</v>
      </c>
      <c r="H99" s="185" t="s">
        <v>3753</v>
      </c>
      <c r="I99" s="185"/>
      <c r="J99" s="185"/>
      <c r="K99" s="185"/>
      <c r="L99" s="185"/>
      <c r="M99" s="185"/>
      <c r="N99" s="185"/>
      <c r="O99" s="185"/>
      <c r="P99" s="185"/>
      <c r="Q99" s="185"/>
      <c r="R99" s="185"/>
      <c r="S99" s="185"/>
      <c r="T99" s="185"/>
      <c r="U99" s="185"/>
      <c r="V99" s="185"/>
      <c r="W99" s="185"/>
      <c r="X99" s="185"/>
      <c r="Y99" s="185"/>
      <c r="Z99" s="185"/>
      <c r="AA99" s="185"/>
      <c r="AB99" s="185"/>
    </row>
    <row r="100" spans="3:28" s="182" customFormat="1" ht="18" customHeight="1">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row>
    <row r="101" spans="3:28" s="182" customFormat="1" ht="18" customHeight="1">
      <c r="C101" s="185"/>
      <c r="D101" s="185" t="s">
        <v>3943</v>
      </c>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row>
    <row r="102" spans="3:28" s="182" customFormat="1" ht="18" customHeight="1">
      <c r="C102" s="185"/>
      <c r="D102" s="185"/>
      <c r="E102" s="185"/>
      <c r="F102" s="185" t="s">
        <v>3944</v>
      </c>
      <c r="G102" s="185">
        <v>2025</v>
      </c>
      <c r="H102" s="185">
        <v>2026</v>
      </c>
      <c r="I102" s="185">
        <v>2027</v>
      </c>
      <c r="J102" s="185"/>
      <c r="K102" s="185"/>
      <c r="L102" s="185"/>
      <c r="M102" s="185"/>
      <c r="N102" s="185"/>
      <c r="O102" s="185"/>
      <c r="P102" s="185"/>
      <c r="Q102" s="185"/>
      <c r="R102" s="185"/>
      <c r="S102" s="185"/>
      <c r="T102" s="185"/>
      <c r="U102" s="185"/>
      <c r="V102" s="185"/>
      <c r="W102" s="185"/>
      <c r="X102" s="185"/>
      <c r="Y102" s="185"/>
      <c r="Z102" s="185"/>
      <c r="AA102" s="185"/>
      <c r="AB102" s="185"/>
    </row>
    <row r="103" spans="3:28" s="182" customFormat="1" ht="18" customHeight="1">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row>
    <row r="104" spans="3:28" s="182" customFormat="1" ht="18" customHeight="1">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row>
    <row r="105" spans="3:28" s="182" customFormat="1" ht="18" customHeight="1">
      <c r="C105" s="191" t="s">
        <v>3945</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row>
    <row r="106" spans="3:28" s="182" customFormat="1" ht="18" customHeight="1">
      <c r="C106" s="185"/>
      <c r="D106" s="185" t="s">
        <v>3728</v>
      </c>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row>
    <row r="107" spans="3:28" s="182" customFormat="1" ht="18" customHeight="1">
      <c r="C107" s="185"/>
      <c r="D107" s="185"/>
      <c r="E107" s="185" t="s">
        <v>3729</v>
      </c>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row>
    <row r="108" spans="3:28" s="182" customFormat="1" ht="18" customHeight="1">
      <c r="C108" s="185"/>
      <c r="D108" s="185"/>
      <c r="E108" s="185"/>
      <c r="F108" s="185" t="s">
        <v>4690</v>
      </c>
      <c r="G108" s="185">
        <v>2013</v>
      </c>
      <c r="H108" s="185">
        <v>2014</v>
      </c>
      <c r="I108" s="185">
        <v>2015</v>
      </c>
      <c r="J108" s="185">
        <v>2016</v>
      </c>
      <c r="K108" s="185">
        <v>2017</v>
      </c>
      <c r="L108" s="185">
        <v>2018</v>
      </c>
      <c r="M108" s="185">
        <v>2019</v>
      </c>
      <c r="N108" s="185">
        <v>2020</v>
      </c>
      <c r="O108" s="185">
        <v>2021</v>
      </c>
      <c r="P108" s="185">
        <v>2022</v>
      </c>
      <c r="Q108" s="185">
        <v>2023</v>
      </c>
      <c r="R108" s="185">
        <v>2024</v>
      </c>
      <c r="S108" s="185">
        <v>2025</v>
      </c>
      <c r="T108" s="185">
        <v>2026</v>
      </c>
      <c r="U108" s="185">
        <v>2027</v>
      </c>
      <c r="V108" s="185">
        <v>2028</v>
      </c>
      <c r="W108" s="185">
        <v>2029</v>
      </c>
      <c r="X108" s="185"/>
      <c r="Y108" s="185"/>
      <c r="Z108" s="185"/>
      <c r="AA108" s="185"/>
      <c r="AB108" s="185"/>
    </row>
    <row r="109" spans="3:28" s="182" customFormat="1" ht="18" customHeight="1">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row>
    <row r="110" spans="3:28" s="182" customFormat="1" ht="18" customHeight="1">
      <c r="C110" s="185"/>
      <c r="D110" s="185"/>
      <c r="E110" s="185" t="s">
        <v>3946</v>
      </c>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row>
    <row r="111" spans="3:28" s="182" customFormat="1" ht="18" customHeight="1">
      <c r="C111" s="185"/>
      <c r="D111" s="185"/>
      <c r="E111" s="185"/>
      <c r="F111" s="185" t="s">
        <v>4688</v>
      </c>
      <c r="G111" s="185" t="s">
        <v>3947</v>
      </c>
      <c r="H111" s="185" t="s">
        <v>3948</v>
      </c>
      <c r="I111" s="185" t="s">
        <v>3949</v>
      </c>
      <c r="J111" s="185"/>
      <c r="K111" s="185"/>
      <c r="L111" s="185"/>
      <c r="M111" s="185"/>
      <c r="N111" s="185"/>
      <c r="O111" s="185"/>
      <c r="P111" s="185"/>
      <c r="Q111" s="185"/>
      <c r="R111" s="185"/>
      <c r="S111" s="185"/>
      <c r="T111" s="185"/>
      <c r="U111" s="185"/>
      <c r="V111" s="185"/>
      <c r="W111" s="185"/>
      <c r="X111" s="185"/>
      <c r="Y111" s="185"/>
      <c r="Z111" s="185"/>
      <c r="AA111" s="185"/>
      <c r="AB111" s="185"/>
    </row>
    <row r="112" spans="3:28" s="182" customFormat="1" ht="18" customHeight="1">
      <c r="C112" s="185"/>
      <c r="D112" s="185"/>
      <c r="E112" s="185"/>
      <c r="F112" s="185" t="s">
        <v>4689</v>
      </c>
      <c r="G112" s="185" t="s">
        <v>3950</v>
      </c>
      <c r="H112" s="185" t="s">
        <v>3951</v>
      </c>
      <c r="I112" s="185" t="s">
        <v>3952</v>
      </c>
      <c r="J112" s="185"/>
      <c r="K112" s="185"/>
      <c r="L112" s="185"/>
      <c r="M112" s="185"/>
      <c r="N112" s="185"/>
      <c r="O112" s="185"/>
      <c r="P112" s="185"/>
      <c r="Q112" s="185"/>
      <c r="R112" s="185"/>
      <c r="S112" s="185"/>
      <c r="T112" s="185"/>
      <c r="U112" s="185"/>
      <c r="V112" s="185"/>
      <c r="W112" s="185"/>
      <c r="X112" s="185"/>
      <c r="Y112" s="185"/>
      <c r="Z112" s="185"/>
      <c r="AA112" s="185"/>
      <c r="AB112" s="185"/>
    </row>
    <row r="113" spans="3:37" s="182" customFormat="1" ht="18" customHeight="1">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row>
    <row r="114" spans="3:37" s="182" customFormat="1" ht="18" customHeight="1">
      <c r="C114" s="185"/>
      <c r="D114" s="185"/>
      <c r="E114" s="185" t="s">
        <v>3953</v>
      </c>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row>
    <row r="115" spans="3:37" s="182" customFormat="1" ht="18" customHeight="1">
      <c r="C115" s="185"/>
      <c r="D115" s="185"/>
      <c r="E115" s="185"/>
      <c r="F115" s="185" t="s">
        <v>3954</v>
      </c>
      <c r="G115" s="182" t="s">
        <v>4943</v>
      </c>
      <c r="H115" s="192" t="s">
        <v>3955</v>
      </c>
      <c r="I115" s="192" t="s">
        <v>3956</v>
      </c>
      <c r="J115" s="192" t="s">
        <v>3957</v>
      </c>
      <c r="K115" s="192" t="s">
        <v>3958</v>
      </c>
      <c r="L115" s="192" t="s">
        <v>3959</v>
      </c>
      <c r="M115" s="192" t="s">
        <v>3960</v>
      </c>
      <c r="N115" s="192" t="s">
        <v>3961</v>
      </c>
      <c r="O115" s="192" t="s">
        <v>3962</v>
      </c>
      <c r="P115" s="192" t="s">
        <v>3963</v>
      </c>
      <c r="Q115" s="192" t="s">
        <v>3964</v>
      </c>
      <c r="R115" s="192" t="s">
        <v>3965</v>
      </c>
      <c r="S115" s="192" t="s">
        <v>3966</v>
      </c>
      <c r="T115" s="192" t="s">
        <v>3967</v>
      </c>
      <c r="U115" s="192" t="s">
        <v>3968</v>
      </c>
      <c r="V115" s="192" t="s">
        <v>3969</v>
      </c>
      <c r="W115" s="192" t="s">
        <v>3970</v>
      </c>
      <c r="X115" s="192" t="s">
        <v>3971</v>
      </c>
      <c r="Y115" s="192" t="s">
        <v>3972</v>
      </c>
      <c r="Z115" s="192" t="s">
        <v>3973</v>
      </c>
      <c r="AA115" s="192" t="s">
        <v>3974</v>
      </c>
      <c r="AB115" s="192" t="s">
        <v>3975</v>
      </c>
      <c r="AC115" s="192" t="s">
        <v>3976</v>
      </c>
      <c r="AD115" s="192" t="s">
        <v>3977</v>
      </c>
      <c r="AE115" s="192" t="s">
        <v>3978</v>
      </c>
      <c r="AF115" s="192" t="s">
        <v>3979</v>
      </c>
      <c r="AG115" s="192" t="s">
        <v>3980</v>
      </c>
      <c r="AH115" s="192" t="s">
        <v>3981</v>
      </c>
      <c r="AI115" s="192" t="s">
        <v>3982</v>
      </c>
      <c r="AJ115" s="192" t="s">
        <v>3983</v>
      </c>
      <c r="AK115" s="192" t="s">
        <v>3984</v>
      </c>
    </row>
    <row r="116" spans="3:37" s="182" customFormat="1" ht="18" customHeight="1"/>
    <row r="117" spans="3:37" s="182" customFormat="1" ht="18" customHeight="1">
      <c r="C117" s="185"/>
      <c r="D117" s="185" t="s">
        <v>3985</v>
      </c>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row>
    <row r="118" spans="3:37" s="182" customFormat="1" ht="18" customHeight="1">
      <c r="C118" s="185"/>
      <c r="D118" s="185"/>
      <c r="E118" s="185" t="s">
        <v>3986</v>
      </c>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row>
    <row r="119" spans="3:37" s="182" customFormat="1" ht="18" customHeight="1">
      <c r="C119" s="185"/>
      <c r="D119" s="185"/>
      <c r="E119" s="185"/>
      <c r="F119" s="185" t="s">
        <v>3987</v>
      </c>
      <c r="G119" s="185">
        <v>2013</v>
      </c>
      <c r="H119" s="185">
        <v>2014</v>
      </c>
      <c r="I119" s="185">
        <v>2015</v>
      </c>
      <c r="J119" s="185">
        <v>2016</v>
      </c>
      <c r="K119" s="185">
        <v>2017</v>
      </c>
      <c r="L119" s="185">
        <v>2018</v>
      </c>
      <c r="M119" s="185">
        <v>2019</v>
      </c>
      <c r="N119" s="185">
        <v>2020</v>
      </c>
      <c r="O119" s="185">
        <v>2021</v>
      </c>
      <c r="P119" s="185">
        <v>2022</v>
      </c>
      <c r="Q119" s="185">
        <v>2023</v>
      </c>
      <c r="R119" s="185">
        <v>2024</v>
      </c>
      <c r="S119" s="185">
        <v>2025</v>
      </c>
      <c r="T119" s="185">
        <v>2026</v>
      </c>
      <c r="U119" s="185">
        <v>2027</v>
      </c>
      <c r="V119" s="185">
        <v>2028</v>
      </c>
      <c r="W119" s="185">
        <v>2029</v>
      </c>
      <c r="X119" s="185"/>
      <c r="Y119" s="185"/>
      <c r="Z119" s="185"/>
      <c r="AA119" s="185"/>
      <c r="AB119" s="185"/>
    </row>
    <row r="120" spans="3:37" s="182" customFormat="1" ht="18" customHeight="1">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row>
    <row r="121" spans="3:37" s="182" customFormat="1" ht="18" customHeight="1">
      <c r="C121" s="185"/>
      <c r="D121" s="185"/>
      <c r="E121" s="185" t="s">
        <v>3946</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row>
    <row r="122" spans="3:37" s="182" customFormat="1" ht="18" customHeight="1">
      <c r="C122" s="185"/>
      <c r="D122" s="185"/>
      <c r="E122" s="185"/>
      <c r="F122" s="185" t="s">
        <v>3988</v>
      </c>
      <c r="G122" s="185" t="s">
        <v>3947</v>
      </c>
      <c r="H122" s="185" t="s">
        <v>3948</v>
      </c>
      <c r="I122" s="185" t="s">
        <v>3949</v>
      </c>
      <c r="J122" s="185"/>
      <c r="K122" s="185"/>
      <c r="L122" s="185"/>
      <c r="M122" s="185"/>
      <c r="N122" s="185"/>
      <c r="O122" s="185"/>
      <c r="P122" s="185"/>
      <c r="Q122" s="185"/>
      <c r="R122" s="185"/>
      <c r="S122" s="185"/>
      <c r="T122" s="185"/>
      <c r="U122" s="185"/>
      <c r="V122" s="185"/>
      <c r="W122" s="185"/>
      <c r="X122" s="185"/>
      <c r="Y122" s="185"/>
      <c r="Z122" s="185"/>
      <c r="AA122" s="185"/>
      <c r="AB122" s="185"/>
    </row>
    <row r="123" spans="3:37" s="182" customFormat="1" ht="18" customHeight="1">
      <c r="C123" s="185"/>
      <c r="D123" s="185"/>
      <c r="E123" s="185"/>
      <c r="F123" s="185" t="s">
        <v>3989</v>
      </c>
      <c r="G123" s="185" t="s">
        <v>3950</v>
      </c>
      <c r="H123" s="185" t="s">
        <v>3951</v>
      </c>
      <c r="I123" s="185" t="s">
        <v>3952</v>
      </c>
      <c r="J123" s="185"/>
      <c r="K123" s="185"/>
      <c r="L123" s="185"/>
      <c r="M123" s="185"/>
      <c r="N123" s="185"/>
      <c r="O123" s="185"/>
      <c r="P123" s="185"/>
      <c r="Q123" s="185"/>
      <c r="R123" s="185"/>
      <c r="S123" s="185"/>
      <c r="T123" s="185"/>
      <c r="U123" s="185"/>
      <c r="V123" s="185"/>
      <c r="W123" s="185"/>
      <c r="X123" s="185"/>
      <c r="Y123" s="185"/>
      <c r="Z123" s="185"/>
      <c r="AA123" s="185"/>
      <c r="AB123" s="185"/>
    </row>
    <row r="124" spans="3:37" s="182" customFormat="1" ht="18" customHeight="1">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row>
    <row r="125" spans="3:37" s="182" customFormat="1" ht="18" customHeight="1">
      <c r="C125" s="185"/>
      <c r="D125" s="185" t="s">
        <v>3990</v>
      </c>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row>
    <row r="126" spans="3:37" s="182" customFormat="1" ht="18" customHeight="1">
      <c r="C126" s="185"/>
      <c r="D126" s="185"/>
      <c r="E126" s="185" t="s">
        <v>3991</v>
      </c>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row>
    <row r="127" spans="3:37" s="182" customFormat="1" ht="18" customHeight="1">
      <c r="C127" s="185"/>
      <c r="D127" s="185"/>
      <c r="E127" s="185"/>
      <c r="F127" s="185" t="s">
        <v>3992</v>
      </c>
      <c r="G127" s="185" t="s">
        <v>3993</v>
      </c>
      <c r="H127" s="185" t="s">
        <v>3994</v>
      </c>
      <c r="I127" s="185" t="s">
        <v>3995</v>
      </c>
      <c r="J127" s="185" t="s">
        <v>3996</v>
      </c>
      <c r="K127" s="185" t="s">
        <v>3997</v>
      </c>
      <c r="L127" s="185" t="s">
        <v>3998</v>
      </c>
      <c r="M127" s="185" t="s">
        <v>3999</v>
      </c>
      <c r="N127" s="185"/>
      <c r="O127" s="185"/>
      <c r="P127" s="185"/>
      <c r="Q127" s="185"/>
      <c r="R127" s="185"/>
      <c r="S127" s="185"/>
      <c r="T127" s="185"/>
      <c r="U127" s="185"/>
      <c r="V127" s="185"/>
      <c r="W127" s="185"/>
      <c r="X127" s="185"/>
      <c r="Y127" s="185"/>
      <c r="Z127" s="185"/>
      <c r="AA127" s="185"/>
      <c r="AB127" s="185"/>
    </row>
    <row r="128" spans="3:37" s="182" customFormat="1" ht="18" customHeight="1">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row>
    <row r="129" spans="3:28" s="182" customFormat="1" ht="18" customHeight="1">
      <c r="C129" s="185"/>
      <c r="D129" s="185" t="s">
        <v>4000</v>
      </c>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row>
    <row r="130" spans="3:28" s="182" customFormat="1" ht="18" customHeight="1">
      <c r="C130" s="185"/>
      <c r="D130" s="185"/>
      <c r="E130" s="185" t="s">
        <v>3991</v>
      </c>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row>
    <row r="131" spans="3:28" s="182" customFormat="1" ht="18" customHeight="1">
      <c r="C131" s="185"/>
      <c r="D131" s="185"/>
      <c r="E131" s="185"/>
      <c r="F131" s="185" t="s">
        <v>4001</v>
      </c>
      <c r="G131" s="185" t="s">
        <v>4002</v>
      </c>
      <c r="H131" s="185" t="s">
        <v>4003</v>
      </c>
      <c r="I131" s="185" t="s">
        <v>4004</v>
      </c>
      <c r="J131" s="185" t="s">
        <v>4005</v>
      </c>
      <c r="K131" s="185"/>
      <c r="L131" s="185"/>
      <c r="M131" s="185"/>
      <c r="N131" s="185"/>
      <c r="O131" s="185"/>
      <c r="P131" s="185"/>
      <c r="Q131" s="185"/>
      <c r="R131" s="185"/>
      <c r="S131" s="185"/>
      <c r="T131" s="185"/>
      <c r="U131" s="185"/>
      <c r="V131" s="185"/>
      <c r="W131" s="185"/>
      <c r="X131" s="185"/>
      <c r="Y131" s="185"/>
      <c r="Z131" s="185"/>
      <c r="AA131" s="185"/>
      <c r="AB131" s="185"/>
    </row>
    <row r="132" spans="3:28" s="182" customFormat="1" ht="18" customHeight="1">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row>
    <row r="133" spans="3:28" s="182" customFormat="1" ht="18" customHeight="1">
      <c r="C133" s="185"/>
      <c r="D133" s="185" t="s">
        <v>4006</v>
      </c>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row>
    <row r="134" spans="3:28" s="182" customFormat="1" ht="18" customHeight="1">
      <c r="C134" s="185"/>
      <c r="D134" s="185"/>
      <c r="E134" s="185" t="s">
        <v>4007</v>
      </c>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row>
    <row r="135" spans="3:28" s="182" customFormat="1" ht="18" customHeight="1">
      <c r="C135" s="185"/>
      <c r="D135" s="185"/>
      <c r="E135" s="185"/>
      <c r="F135" s="185" t="s">
        <v>4008</v>
      </c>
      <c r="G135" s="185" t="s">
        <v>4009</v>
      </c>
      <c r="H135" s="185" t="s">
        <v>4010</v>
      </c>
      <c r="I135" s="185"/>
      <c r="J135" s="185"/>
      <c r="K135" s="185"/>
      <c r="L135" s="185"/>
      <c r="M135" s="185"/>
      <c r="N135" s="185"/>
      <c r="O135" s="185"/>
      <c r="P135" s="185"/>
      <c r="Q135" s="185"/>
      <c r="R135" s="185"/>
      <c r="S135" s="185"/>
      <c r="T135" s="185"/>
      <c r="U135" s="185"/>
      <c r="V135" s="185"/>
      <c r="W135" s="185"/>
      <c r="X135" s="185"/>
      <c r="Y135" s="185"/>
      <c r="Z135" s="185"/>
      <c r="AA135" s="185"/>
      <c r="AB135" s="185"/>
    </row>
    <row r="136" spans="3:28" s="182" customFormat="1" ht="18" customHeight="1">
      <c r="C136" s="185"/>
      <c r="D136" s="185"/>
      <c r="E136" s="185"/>
      <c r="F136" s="185" t="s">
        <v>4011</v>
      </c>
      <c r="G136" s="185" t="s">
        <v>4009</v>
      </c>
      <c r="H136" s="185" t="s">
        <v>4010</v>
      </c>
      <c r="I136" s="185" t="s">
        <v>4012</v>
      </c>
      <c r="J136" s="185"/>
      <c r="K136" s="185"/>
      <c r="L136" s="185"/>
      <c r="M136" s="185"/>
      <c r="N136" s="185"/>
      <c r="O136" s="185"/>
      <c r="P136" s="185"/>
      <c r="Q136" s="185"/>
      <c r="R136" s="185"/>
      <c r="S136" s="185"/>
      <c r="T136" s="185"/>
      <c r="U136" s="185"/>
      <c r="V136" s="185"/>
      <c r="W136" s="185"/>
      <c r="X136" s="185"/>
      <c r="Y136" s="185"/>
      <c r="Z136" s="185"/>
      <c r="AA136" s="185"/>
      <c r="AB136" s="185"/>
    </row>
    <row r="137" spans="3:28" s="182" customFormat="1" ht="18" customHeight="1">
      <c r="C137" s="185"/>
      <c r="D137" s="185"/>
      <c r="E137" s="185"/>
      <c r="F137" s="185" t="s">
        <v>4013</v>
      </c>
      <c r="G137" s="185" t="s">
        <v>4014</v>
      </c>
      <c r="H137" s="185" t="s">
        <v>4015</v>
      </c>
      <c r="I137" s="185" t="s">
        <v>4016</v>
      </c>
      <c r="J137" s="185" t="s">
        <v>4005</v>
      </c>
      <c r="L137" s="185"/>
      <c r="M137" s="185"/>
      <c r="N137" s="185"/>
      <c r="O137" s="185"/>
      <c r="P137" s="185"/>
      <c r="Q137" s="185"/>
      <c r="R137" s="185"/>
      <c r="S137" s="185"/>
      <c r="T137" s="185"/>
      <c r="U137" s="185"/>
      <c r="V137" s="185"/>
      <c r="W137" s="185"/>
      <c r="X137" s="185"/>
      <c r="Y137" s="185"/>
      <c r="Z137" s="185"/>
      <c r="AA137" s="185"/>
      <c r="AB137" s="185"/>
    </row>
    <row r="138" spans="3:28" s="182" customFormat="1" ht="18" customHeight="1">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row>
    <row r="139" spans="3:28" s="182" customFormat="1" ht="18" customHeight="1">
      <c r="C139" s="185"/>
      <c r="D139" s="185"/>
      <c r="E139" s="185" t="s">
        <v>4017</v>
      </c>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row>
    <row r="140" spans="3:28" s="182" customFormat="1" ht="18" customHeight="1">
      <c r="C140" s="185"/>
      <c r="D140" s="185"/>
      <c r="E140" s="185"/>
      <c r="F140" s="185" t="s">
        <v>4018</v>
      </c>
      <c r="G140" s="185" t="s">
        <v>4019</v>
      </c>
      <c r="H140" s="185" t="s">
        <v>4020</v>
      </c>
      <c r="I140" s="185" t="s">
        <v>4021</v>
      </c>
      <c r="J140" s="185"/>
      <c r="K140" s="185"/>
      <c r="L140" s="185"/>
      <c r="M140" s="185"/>
      <c r="N140" s="185"/>
      <c r="O140" s="185"/>
      <c r="P140" s="185"/>
      <c r="Q140" s="185"/>
      <c r="R140" s="185"/>
      <c r="S140" s="185"/>
      <c r="T140" s="185"/>
      <c r="U140" s="185"/>
      <c r="V140" s="185"/>
      <c r="W140" s="185"/>
      <c r="X140" s="185"/>
      <c r="Y140" s="185"/>
      <c r="Z140" s="185"/>
      <c r="AA140" s="185"/>
      <c r="AB140" s="185"/>
    </row>
    <row r="141" spans="3:28" s="182" customFormat="1" ht="18" customHeight="1">
      <c r="C141" s="185"/>
      <c r="D141" s="185"/>
      <c r="E141" s="185"/>
      <c r="F141" s="185" t="s">
        <v>4022</v>
      </c>
      <c r="G141" s="185" t="s">
        <v>4019</v>
      </c>
      <c r="H141" s="185" t="s">
        <v>4020</v>
      </c>
      <c r="I141" s="185" t="s">
        <v>4021</v>
      </c>
      <c r="J141" s="185" t="s">
        <v>4023</v>
      </c>
      <c r="K141" s="185"/>
      <c r="L141" s="185"/>
      <c r="M141" s="185"/>
      <c r="N141" s="185"/>
      <c r="O141" s="185"/>
      <c r="P141" s="185"/>
      <c r="Q141" s="185"/>
      <c r="R141" s="185"/>
      <c r="S141" s="185"/>
      <c r="T141" s="185"/>
      <c r="U141" s="185"/>
      <c r="V141" s="185"/>
      <c r="W141" s="185"/>
      <c r="X141" s="185"/>
      <c r="Y141" s="185"/>
      <c r="Z141" s="185"/>
      <c r="AA141" s="185"/>
      <c r="AB141" s="185"/>
    </row>
    <row r="142" spans="3:28" s="182" customFormat="1" ht="18" customHeight="1">
      <c r="C142" s="185"/>
      <c r="D142" s="185"/>
      <c r="E142" s="185"/>
      <c r="F142" s="185" t="s">
        <v>4024</v>
      </c>
      <c r="G142" s="185" t="s">
        <v>4014</v>
      </c>
      <c r="H142" s="185" t="s">
        <v>4015</v>
      </c>
      <c r="I142" s="185" t="s">
        <v>4016</v>
      </c>
      <c r="J142" s="185" t="s">
        <v>4005</v>
      </c>
      <c r="L142" s="185"/>
      <c r="M142" s="185"/>
      <c r="N142" s="185"/>
      <c r="O142" s="185"/>
      <c r="P142" s="185"/>
      <c r="Q142" s="185"/>
      <c r="R142" s="185"/>
      <c r="S142" s="185"/>
      <c r="T142" s="185"/>
      <c r="U142" s="185"/>
      <c r="V142" s="185"/>
      <c r="W142" s="185"/>
      <c r="X142" s="185"/>
      <c r="Y142" s="185"/>
      <c r="Z142" s="185"/>
      <c r="AA142" s="185"/>
      <c r="AB142" s="185"/>
    </row>
    <row r="143" spans="3:28" s="182" customFormat="1" ht="18" customHeight="1">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row>
    <row r="144" spans="3:28" s="182" customFormat="1" ht="18" customHeight="1">
      <c r="C144" s="185"/>
      <c r="D144" s="185"/>
      <c r="E144" s="185" t="s">
        <v>4025</v>
      </c>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row>
    <row r="145" spans="3:29" s="182" customFormat="1" ht="18" customHeight="1">
      <c r="C145" s="185"/>
      <c r="D145" s="185"/>
      <c r="E145" s="185"/>
      <c r="F145" s="185" t="s">
        <v>4026</v>
      </c>
      <c r="G145" s="185" t="s">
        <v>4009</v>
      </c>
      <c r="H145" s="185" t="s">
        <v>4010</v>
      </c>
      <c r="I145" s="185"/>
      <c r="J145" s="185"/>
      <c r="K145" s="185"/>
      <c r="L145" s="185"/>
      <c r="M145" s="185"/>
      <c r="N145" s="185"/>
      <c r="O145" s="185"/>
      <c r="P145" s="185"/>
      <c r="Q145" s="185"/>
      <c r="R145" s="185"/>
      <c r="S145" s="185"/>
      <c r="T145" s="185"/>
      <c r="U145" s="185"/>
      <c r="V145" s="185"/>
      <c r="W145" s="185"/>
      <c r="X145" s="185"/>
      <c r="Y145" s="185"/>
      <c r="Z145" s="185"/>
      <c r="AA145" s="185"/>
      <c r="AB145" s="185"/>
    </row>
    <row r="146" spans="3:29" s="182" customFormat="1" ht="18" customHeight="1">
      <c r="C146" s="185"/>
      <c r="D146" s="185"/>
      <c r="E146" s="185"/>
      <c r="F146" s="185" t="s">
        <v>4027</v>
      </c>
      <c r="G146" s="185" t="s">
        <v>4009</v>
      </c>
      <c r="H146" s="185" t="s">
        <v>4010</v>
      </c>
      <c r="I146" s="185" t="s">
        <v>4028</v>
      </c>
      <c r="J146" s="185"/>
      <c r="K146" s="185"/>
      <c r="L146" s="185"/>
      <c r="M146" s="185"/>
      <c r="N146" s="185"/>
      <c r="O146" s="185"/>
      <c r="P146" s="185"/>
      <c r="Q146" s="185"/>
      <c r="R146" s="185"/>
      <c r="S146" s="185"/>
      <c r="T146" s="185"/>
      <c r="U146" s="185"/>
      <c r="V146" s="185"/>
      <c r="W146" s="185"/>
      <c r="X146" s="185"/>
      <c r="Y146" s="185"/>
      <c r="Z146" s="185"/>
      <c r="AA146" s="185"/>
      <c r="AB146" s="185"/>
    </row>
    <row r="147" spans="3:29" s="182" customFormat="1" ht="18" customHeight="1">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row>
    <row r="148" spans="3:29" s="182" customFormat="1" ht="18" customHeight="1">
      <c r="C148" s="185"/>
      <c r="D148" s="185"/>
      <c r="E148" s="185" t="s">
        <v>4029</v>
      </c>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row>
    <row r="149" spans="3:29" s="182" customFormat="1" ht="18" customHeight="1">
      <c r="C149" s="185"/>
      <c r="D149" s="185"/>
      <c r="E149" s="185"/>
      <c r="F149" s="185" t="s">
        <v>4030</v>
      </c>
      <c r="G149" s="185" t="s">
        <v>4009</v>
      </c>
      <c r="H149" s="185" t="s">
        <v>4010</v>
      </c>
      <c r="I149" s="185"/>
      <c r="J149" s="185"/>
      <c r="K149" s="185"/>
      <c r="L149" s="185"/>
      <c r="M149" s="185"/>
      <c r="N149" s="185"/>
      <c r="O149" s="185"/>
      <c r="P149" s="185"/>
      <c r="Q149" s="185"/>
      <c r="R149" s="185"/>
      <c r="S149" s="185"/>
      <c r="T149" s="185"/>
      <c r="U149" s="185"/>
      <c r="V149" s="185"/>
      <c r="W149" s="185"/>
      <c r="X149" s="185"/>
      <c r="Y149" s="185"/>
      <c r="Z149" s="185"/>
      <c r="AA149" s="185"/>
      <c r="AB149" s="185"/>
    </row>
    <row r="150" spans="3:29" s="182" customFormat="1" ht="18" customHeight="1">
      <c r="C150" s="185"/>
      <c r="D150" s="185"/>
      <c r="E150" s="185"/>
      <c r="F150" s="185" t="s">
        <v>4691</v>
      </c>
      <c r="G150" s="185" t="s">
        <v>4009</v>
      </c>
      <c r="H150" s="185" t="s">
        <v>4010</v>
      </c>
      <c r="I150" s="185" t="s">
        <v>4012</v>
      </c>
      <c r="J150" s="185"/>
      <c r="K150" s="185"/>
      <c r="L150" s="185"/>
      <c r="M150" s="185"/>
      <c r="N150" s="185"/>
      <c r="O150" s="185"/>
      <c r="P150" s="185"/>
      <c r="Q150" s="185"/>
      <c r="R150" s="185"/>
      <c r="S150" s="185"/>
      <c r="T150" s="185"/>
      <c r="U150" s="185"/>
      <c r="V150" s="185"/>
      <c r="W150" s="185"/>
      <c r="X150" s="185"/>
      <c r="Y150" s="185"/>
      <c r="Z150" s="185"/>
      <c r="AA150" s="185"/>
      <c r="AB150" s="185"/>
    </row>
    <row r="151" spans="3:29" s="182" customFormat="1" ht="18" customHeight="1">
      <c r="C151" s="185"/>
      <c r="D151" s="185"/>
      <c r="E151" s="185"/>
      <c r="F151" s="185" t="s">
        <v>4031</v>
      </c>
      <c r="G151" s="185" t="s">
        <v>3950</v>
      </c>
      <c r="H151" s="185" t="s">
        <v>4032</v>
      </c>
      <c r="I151" s="185"/>
      <c r="J151" s="185"/>
      <c r="K151" s="185"/>
      <c r="L151" s="185"/>
      <c r="M151" s="185"/>
      <c r="N151" s="185"/>
      <c r="O151" s="185"/>
      <c r="P151" s="185"/>
      <c r="Q151" s="185"/>
      <c r="R151" s="185"/>
      <c r="S151" s="185"/>
      <c r="T151" s="185"/>
      <c r="U151" s="185"/>
      <c r="V151" s="185"/>
      <c r="W151" s="185"/>
      <c r="X151" s="185"/>
      <c r="Y151" s="185"/>
      <c r="Z151" s="185"/>
      <c r="AA151" s="185"/>
      <c r="AB151" s="185"/>
    </row>
    <row r="152" spans="3:29" s="182" customFormat="1" ht="18" customHeight="1">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row>
    <row r="153" spans="3:29" s="182" customFormat="1" ht="18" customHeight="1">
      <c r="C153" s="185"/>
      <c r="D153" s="185" t="s">
        <v>4033</v>
      </c>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row>
    <row r="154" spans="3:29" s="182" customFormat="1" ht="18" customHeight="1">
      <c r="C154" s="185"/>
      <c r="D154" s="185"/>
      <c r="E154" s="185"/>
      <c r="F154" s="185" t="s">
        <v>4034</v>
      </c>
      <c r="G154" s="185" t="s">
        <v>4009</v>
      </c>
      <c r="H154" s="185" t="s">
        <v>4010</v>
      </c>
      <c r="I154" s="185"/>
      <c r="J154" s="185"/>
      <c r="K154" s="185"/>
      <c r="L154" s="185"/>
      <c r="M154" s="185"/>
      <c r="N154" s="185"/>
      <c r="O154" s="185"/>
      <c r="P154" s="185"/>
      <c r="Q154" s="185"/>
      <c r="R154" s="185"/>
      <c r="S154" s="185"/>
      <c r="T154" s="185"/>
      <c r="U154" s="185"/>
      <c r="V154" s="185"/>
      <c r="W154" s="185"/>
      <c r="X154" s="185"/>
      <c r="Y154" s="185"/>
      <c r="Z154" s="185"/>
      <c r="AA154" s="185"/>
      <c r="AB154" s="185"/>
    </row>
    <row r="155" spans="3:29" s="182" customFormat="1" ht="18" customHeight="1">
      <c r="C155" s="185"/>
      <c r="D155" s="185"/>
      <c r="E155" s="185"/>
      <c r="F155" s="185" t="s">
        <v>4035</v>
      </c>
      <c r="G155" s="185" t="s">
        <v>4009</v>
      </c>
      <c r="H155" s="185" t="s">
        <v>4010</v>
      </c>
      <c r="I155" s="185" t="s">
        <v>4028</v>
      </c>
      <c r="J155" s="185"/>
      <c r="K155" s="185"/>
      <c r="L155" s="185"/>
      <c r="M155" s="185"/>
      <c r="N155" s="185"/>
      <c r="O155" s="185"/>
      <c r="P155" s="185"/>
      <c r="Q155" s="185"/>
      <c r="R155" s="185"/>
      <c r="S155" s="185"/>
      <c r="T155" s="185"/>
      <c r="U155" s="185"/>
      <c r="V155" s="185"/>
      <c r="W155" s="185"/>
      <c r="X155" s="185"/>
      <c r="Y155" s="185"/>
      <c r="Z155" s="185"/>
      <c r="AA155" s="185"/>
      <c r="AB155" s="185"/>
    </row>
    <row r="156" spans="3:29" ht="18" customHeight="1">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3:29" ht="18" customHeight="1">
      <c r="C157" s="168" t="s">
        <v>4568</v>
      </c>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3:29" ht="18" customHeight="1">
      <c r="C158" s="170"/>
      <c r="D158" s="171"/>
      <c r="E158" s="171" t="s">
        <v>10</v>
      </c>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spans="3:29" ht="18" customHeight="1">
      <c r="C159" s="166"/>
      <c r="D159" s="166"/>
      <c r="E159" s="166"/>
      <c r="F159" s="166" t="s">
        <v>4569</v>
      </c>
      <c r="G159" s="166" t="str">
        <f>IF(A.貼付_2025提出!AJ14="","",A.貼付_2025提出!AJ14)</f>
        <v/>
      </c>
      <c r="H159" s="166" t="str">
        <f>IF(A.貼付_2025提出!AN14="","",A.貼付_2025提出!AN14)</f>
        <v/>
      </c>
      <c r="I159" s="166" t="str">
        <f>IF(A.貼付_2025提出!AR14="","",A.貼付_2025提出!AR14)</f>
        <v/>
      </c>
      <c r="J159" s="166" t="str">
        <f>IF(A.貼付_2025提出!AV14="","",A.貼付_2025提出!AV14)</f>
        <v/>
      </c>
      <c r="K159" s="166" t="str">
        <f>IF(A.貼付_2025提出!AZ14="","",A.貼付_2025提出!AZ14)</f>
        <v/>
      </c>
      <c r="L159" s="166" t="str">
        <f>IF(A.貼付_2025提出!BD14="","",A.貼付_2025提出!BD14)</f>
        <v/>
      </c>
      <c r="M159" s="166" t="str">
        <f>IF(A.貼付_2025提出!BH14="","",A.貼付_2025提出!BH14)</f>
        <v/>
      </c>
      <c r="N159" s="166" t="str">
        <f>IF(A.貼付_2025提出!BL14="","",A.貼付_2025提出!BL14)</f>
        <v/>
      </c>
      <c r="O159" s="166" t="str">
        <f>IF(A.貼付_2025提出!BP14="","",A.貼付_2025提出!BP14)</f>
        <v/>
      </c>
      <c r="P159" s="166" t="str">
        <f>IF(A.貼付_2025提出!BT14="","",A.貼付_2025提出!BT14)</f>
        <v/>
      </c>
      <c r="Q159" s="166"/>
      <c r="R159" s="166"/>
      <c r="S159" s="166"/>
      <c r="T159" s="166"/>
      <c r="U159" s="166"/>
      <c r="V159" s="166"/>
      <c r="W159" s="166"/>
      <c r="X159" s="166"/>
      <c r="Y159" s="166"/>
      <c r="Z159" s="166"/>
      <c r="AA159" s="166"/>
      <c r="AB159" s="166"/>
    </row>
    <row r="160" spans="3:29" ht="18" customHeight="1">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3:28" ht="18" customHeight="1">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3:28" ht="18" customHeight="1">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3:28" ht="18" customHeight="1">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3:28" ht="18" customHeight="1">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3:28" ht="18" customHeight="1">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3:28" ht="18" customHeight="1">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3:28" ht="18" customHeight="1">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3:28" ht="18" customHeight="1">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3:28" ht="18" customHeight="1">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3:28" ht="18" customHeight="1">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sheetData>
  <sheetProtection password="E7B8" sheet="1" objects="1" scenarios="1"/>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N39"/>
  <sheetViews>
    <sheetView showGridLines="0" view="pageBreakPreview" zoomScaleNormal="85" zoomScaleSheetLayoutView="100" workbookViewId="0">
      <selection activeCell="B4" sqref="B4:I4"/>
    </sheetView>
  </sheetViews>
  <sheetFormatPr defaultColWidth="9" defaultRowHeight="10.8" outlineLevelCol="1"/>
  <cols>
    <col min="1" max="1" width="1.21875" style="23" customWidth="1"/>
    <col min="2" max="17" width="5.33203125" style="15" customWidth="1"/>
    <col min="18" max="18" width="33" style="15" customWidth="1"/>
    <col min="19" max="19" width="9" style="15" hidden="1" customWidth="1" outlineLevel="1"/>
    <col min="20" max="20" width="9" style="86" hidden="1" customWidth="1" outlineLevel="1"/>
    <col min="21" max="21" width="3.109375" style="14" customWidth="1" collapsed="1"/>
    <col min="22" max="22" width="3.109375" style="14" customWidth="1"/>
    <col min="23" max="23" width="1.21875" style="23" customWidth="1"/>
    <col min="24" max="39" width="5.33203125" style="15" customWidth="1"/>
    <col min="40" max="16384" width="9" style="15"/>
  </cols>
  <sheetData>
    <row r="1" spans="1:40" ht="19.5" customHeight="1">
      <c r="A1" s="15" t="s">
        <v>45</v>
      </c>
      <c r="Q1" s="75">
        <f>結果1面!$M$11</f>
        <v>0</v>
      </c>
      <c r="R1" s="113"/>
      <c r="S1" s="114" t="s">
        <v>3614</v>
      </c>
      <c r="T1" s="114" t="s">
        <v>3608</v>
      </c>
      <c r="U1" s="46"/>
      <c r="V1" s="46"/>
      <c r="W1" s="1264" t="s">
        <v>45</v>
      </c>
      <c r="X1" s="1264"/>
      <c r="Y1" s="1264"/>
      <c r="Z1" s="1264"/>
      <c r="AA1" s="1264"/>
      <c r="AB1" s="1264"/>
      <c r="AC1" s="1264"/>
      <c r="AD1" s="1264"/>
      <c r="AE1" s="1264"/>
      <c r="AF1" s="1264"/>
      <c r="AG1" s="1264"/>
      <c r="AH1" s="1264"/>
      <c r="AI1" s="1264"/>
      <c r="AJ1" s="1264"/>
      <c r="AK1" s="1264"/>
      <c r="AL1" s="1264"/>
      <c r="AM1" s="1264"/>
    </row>
    <row r="2" spans="1:40" ht="19.5" customHeight="1" thickBot="1">
      <c r="A2" s="1223" t="s">
        <v>48</v>
      </c>
      <c r="B2" s="1223"/>
      <c r="C2" s="1223"/>
      <c r="D2" s="1223"/>
      <c r="E2" s="1223"/>
      <c r="F2" s="1223"/>
      <c r="G2" s="1223"/>
      <c r="H2" s="1223"/>
      <c r="I2" s="1223"/>
      <c r="J2" s="1223"/>
      <c r="K2" s="1223"/>
      <c r="L2" s="1223"/>
      <c r="M2" s="1223"/>
      <c r="N2" s="1223"/>
      <c r="O2" s="1223"/>
      <c r="P2" s="1223"/>
      <c r="Q2" s="1223"/>
      <c r="W2" s="1223" t="s">
        <v>48</v>
      </c>
      <c r="X2" s="1223"/>
      <c r="Y2" s="1223"/>
      <c r="Z2" s="1223"/>
      <c r="AA2" s="1223"/>
      <c r="AB2" s="1223"/>
      <c r="AC2" s="1223"/>
      <c r="AD2" s="1223"/>
      <c r="AE2" s="1223"/>
      <c r="AF2" s="1223"/>
      <c r="AG2" s="1223"/>
      <c r="AH2" s="1223"/>
      <c r="AI2" s="1223"/>
      <c r="AJ2" s="1223"/>
      <c r="AK2" s="1223"/>
      <c r="AL2" s="1223"/>
      <c r="AM2" s="1223"/>
    </row>
    <row r="3" spans="1:40">
      <c r="A3" s="1226"/>
      <c r="B3" s="1601" t="s">
        <v>11</v>
      </c>
      <c r="C3" s="1602"/>
      <c r="D3" s="1602"/>
      <c r="E3" s="1602"/>
      <c r="F3" s="1602"/>
      <c r="G3" s="1602"/>
      <c r="H3" s="1602"/>
      <c r="I3" s="1603"/>
      <c r="J3" s="1604" t="s">
        <v>18</v>
      </c>
      <c r="K3" s="1602"/>
      <c r="L3" s="1602"/>
      <c r="M3" s="1602"/>
      <c r="N3" s="1602"/>
      <c r="O3" s="1602"/>
      <c r="P3" s="1602"/>
      <c r="Q3" s="1605"/>
      <c r="R3" s="119" t="str">
        <f>結果1面!$Z$1</f>
        <v>2025ver5</v>
      </c>
      <c r="U3" s="28"/>
      <c r="V3" s="31"/>
      <c r="W3" s="1226"/>
      <c r="X3" s="1601" t="s">
        <v>11</v>
      </c>
      <c r="Y3" s="1602"/>
      <c r="Z3" s="1602"/>
      <c r="AA3" s="1602"/>
      <c r="AB3" s="1602"/>
      <c r="AC3" s="1602"/>
      <c r="AD3" s="1602"/>
      <c r="AE3" s="1603"/>
      <c r="AF3" s="1604" t="s">
        <v>18</v>
      </c>
      <c r="AG3" s="1602"/>
      <c r="AH3" s="1602"/>
      <c r="AI3" s="1602"/>
      <c r="AJ3" s="1602"/>
      <c r="AK3" s="1602"/>
      <c r="AL3" s="1602"/>
      <c r="AM3" s="1605"/>
    </row>
    <row r="4" spans="1:40" ht="300" customHeight="1">
      <c r="A4" s="1226"/>
      <c r="B4" s="1606"/>
      <c r="C4" s="1607"/>
      <c r="D4" s="1607"/>
      <c r="E4" s="1607"/>
      <c r="F4" s="1607"/>
      <c r="G4" s="1607"/>
      <c r="H4" s="1607"/>
      <c r="I4" s="1608"/>
      <c r="J4" s="1609"/>
      <c r="K4" s="1607"/>
      <c r="L4" s="1607"/>
      <c r="M4" s="1607"/>
      <c r="N4" s="1607"/>
      <c r="O4" s="1607"/>
      <c r="P4" s="1607"/>
      <c r="Q4" s="1610"/>
      <c r="U4" s="16"/>
      <c r="V4" s="16"/>
      <c r="W4" s="1226"/>
      <c r="X4" s="1611" t="s">
        <v>3639</v>
      </c>
      <c r="Y4" s="1612"/>
      <c r="Z4" s="1612"/>
      <c r="AA4" s="1612"/>
      <c r="AB4" s="1612"/>
      <c r="AC4" s="1612"/>
      <c r="AD4" s="1612"/>
      <c r="AE4" s="1613"/>
      <c r="AF4" s="1614" t="s">
        <v>3713</v>
      </c>
      <c r="AG4" s="1612"/>
      <c r="AH4" s="1612"/>
      <c r="AI4" s="1612"/>
      <c r="AJ4" s="1612"/>
      <c r="AK4" s="1612"/>
      <c r="AL4" s="1612"/>
      <c r="AM4" s="1615"/>
      <c r="AN4" s="86"/>
    </row>
    <row r="5" spans="1:40" ht="12" customHeight="1">
      <c r="A5" s="1600"/>
      <c r="B5" s="1600"/>
      <c r="C5" s="1600"/>
      <c r="D5" s="1600"/>
      <c r="E5" s="1600"/>
      <c r="F5" s="1600"/>
      <c r="G5" s="1600"/>
      <c r="H5" s="1600"/>
      <c r="I5" s="1600"/>
      <c r="J5" s="1600"/>
      <c r="K5" s="1600"/>
      <c r="L5" s="1600"/>
      <c r="M5" s="1600"/>
      <c r="N5" s="1600"/>
      <c r="O5" s="1600"/>
      <c r="P5" s="1600"/>
      <c r="Q5" s="1600"/>
      <c r="W5" s="1600"/>
      <c r="X5" s="1600"/>
      <c r="Y5" s="1600"/>
      <c r="Z5" s="1600"/>
      <c r="AA5" s="1600"/>
      <c r="AB5" s="1600"/>
      <c r="AC5" s="1600"/>
      <c r="AD5" s="1600"/>
      <c r="AE5" s="1600"/>
      <c r="AF5" s="1600"/>
      <c r="AG5" s="1600"/>
      <c r="AH5" s="1600"/>
      <c r="AI5" s="1600"/>
      <c r="AJ5" s="1600"/>
      <c r="AK5" s="1600"/>
      <c r="AL5" s="1600"/>
      <c r="AM5" s="1600"/>
      <c r="AN5" s="86"/>
    </row>
    <row r="6" spans="1:40">
      <c r="A6" s="1223" t="s">
        <v>3601</v>
      </c>
      <c r="B6" s="1223"/>
      <c r="C6" s="1223"/>
      <c r="D6" s="1223"/>
      <c r="E6" s="1223"/>
      <c r="F6" s="1223"/>
      <c r="G6" s="1223"/>
      <c r="H6" s="1223"/>
      <c r="I6" s="1223"/>
      <c r="J6" s="1223"/>
      <c r="K6" s="1223"/>
      <c r="L6" s="1223"/>
      <c r="M6" s="1223"/>
      <c r="N6" s="1223"/>
      <c r="O6" s="1223"/>
      <c r="P6" s="1223"/>
      <c r="Q6" s="1223"/>
      <c r="U6" s="16"/>
      <c r="V6" s="16"/>
      <c r="W6" s="1223" t="s">
        <v>3601</v>
      </c>
      <c r="X6" s="1223"/>
      <c r="Y6" s="1223"/>
      <c r="Z6" s="1223"/>
      <c r="AA6" s="1223"/>
      <c r="AB6" s="1223"/>
      <c r="AC6" s="1223"/>
      <c r="AD6" s="1223"/>
      <c r="AE6" s="1223"/>
      <c r="AF6" s="1223"/>
      <c r="AG6" s="1223"/>
      <c r="AH6" s="1223"/>
      <c r="AI6" s="1223"/>
      <c r="AJ6" s="1223"/>
      <c r="AK6" s="1223"/>
      <c r="AL6" s="1223"/>
      <c r="AM6" s="1223"/>
    </row>
    <row r="7" spans="1:40">
      <c r="A7" s="1226"/>
      <c r="B7" s="1596" t="s">
        <v>11</v>
      </c>
      <c r="C7" s="1513"/>
      <c r="D7" s="1513"/>
      <c r="E7" s="1513"/>
      <c r="F7" s="1513"/>
      <c r="G7" s="1513"/>
      <c r="H7" s="1513"/>
      <c r="I7" s="1513"/>
      <c r="J7" s="1513" t="s">
        <v>18</v>
      </c>
      <c r="K7" s="1513"/>
      <c r="L7" s="1513"/>
      <c r="M7" s="1513"/>
      <c r="N7" s="1513"/>
      <c r="O7" s="1513"/>
      <c r="P7" s="1513"/>
      <c r="Q7" s="1514"/>
      <c r="U7" s="16"/>
      <c r="V7" s="16"/>
      <c r="W7" s="1226"/>
      <c r="X7" s="1596" t="s">
        <v>11</v>
      </c>
      <c r="Y7" s="1513"/>
      <c r="Z7" s="1513"/>
      <c r="AA7" s="1513"/>
      <c r="AB7" s="1513"/>
      <c r="AC7" s="1513"/>
      <c r="AD7" s="1513"/>
      <c r="AE7" s="1513"/>
      <c r="AF7" s="1513" t="s">
        <v>18</v>
      </c>
      <c r="AG7" s="1513"/>
      <c r="AH7" s="1513"/>
      <c r="AI7" s="1513"/>
      <c r="AJ7" s="1513"/>
      <c r="AK7" s="1513"/>
      <c r="AL7" s="1513"/>
      <c r="AM7" s="1514"/>
    </row>
    <row r="8" spans="1:40" ht="300" customHeight="1" thickBot="1">
      <c r="A8" s="1226"/>
      <c r="B8" s="1597"/>
      <c r="C8" s="1598"/>
      <c r="D8" s="1598"/>
      <c r="E8" s="1598"/>
      <c r="F8" s="1598"/>
      <c r="G8" s="1598"/>
      <c r="H8" s="1598"/>
      <c r="I8" s="1598"/>
      <c r="J8" s="1598"/>
      <c r="K8" s="1598"/>
      <c r="L8" s="1598"/>
      <c r="M8" s="1598"/>
      <c r="N8" s="1598"/>
      <c r="O8" s="1598"/>
      <c r="P8" s="1598"/>
      <c r="Q8" s="1599"/>
      <c r="U8" s="83"/>
      <c r="V8" s="19"/>
      <c r="W8" s="1226"/>
      <c r="X8" s="1616" t="s">
        <v>3640</v>
      </c>
      <c r="Y8" s="1617"/>
      <c r="Z8" s="1617"/>
      <c r="AA8" s="1617"/>
      <c r="AB8" s="1617"/>
      <c r="AC8" s="1617"/>
      <c r="AD8" s="1617"/>
      <c r="AE8" s="1617"/>
      <c r="AF8" s="1617" t="s">
        <v>3726</v>
      </c>
      <c r="AG8" s="1617"/>
      <c r="AH8" s="1617"/>
      <c r="AI8" s="1617"/>
      <c r="AJ8" s="1617"/>
      <c r="AK8" s="1617"/>
      <c r="AL8" s="1617"/>
      <c r="AM8" s="1618"/>
    </row>
    <row r="9" spans="1:40" s="12" customFormat="1">
      <c r="T9" s="120"/>
      <c r="U9" s="16"/>
      <c r="V9" s="16"/>
    </row>
    <row r="10" spans="1:40">
      <c r="A10" s="86"/>
      <c r="U10" s="16"/>
      <c r="V10" s="16"/>
      <c r="W10" s="86"/>
    </row>
    <row r="11" spans="1:40">
      <c r="A11" s="15"/>
      <c r="U11" s="16"/>
      <c r="V11" s="16"/>
      <c r="W11" s="15"/>
    </row>
    <row r="12" spans="1:40">
      <c r="A12" s="15"/>
      <c r="U12" s="16"/>
      <c r="V12" s="16"/>
      <c r="W12" s="15"/>
    </row>
    <row r="15" spans="1:40">
      <c r="U15" s="31"/>
      <c r="V15" s="31"/>
    </row>
    <row r="16" spans="1:40">
      <c r="A16" s="12"/>
      <c r="U16" s="31"/>
      <c r="V16" s="31"/>
      <c r="W16" s="12"/>
    </row>
    <row r="17" spans="1:23">
      <c r="A17" s="12"/>
      <c r="W17" s="12"/>
    </row>
    <row r="18" spans="1:23">
      <c r="A18" s="12"/>
      <c r="U18" s="22"/>
      <c r="V18" s="22"/>
      <c r="W18" s="12"/>
    </row>
    <row r="19" spans="1:23">
      <c r="A19" s="12"/>
      <c r="U19" s="22"/>
      <c r="V19" s="22"/>
      <c r="W19" s="12"/>
    </row>
    <row r="20" spans="1:23">
      <c r="A20" s="12"/>
      <c r="U20" s="22"/>
      <c r="V20" s="22"/>
      <c r="W20" s="12"/>
    </row>
    <row r="21" spans="1:23">
      <c r="A21" s="12"/>
      <c r="U21" s="22"/>
      <c r="V21" s="22"/>
      <c r="W21" s="12"/>
    </row>
    <row r="22" spans="1:23">
      <c r="A22" s="12"/>
      <c r="U22" s="22"/>
      <c r="V22" s="22"/>
      <c r="W22" s="12"/>
    </row>
    <row r="23" spans="1:23">
      <c r="A23" s="12"/>
      <c r="U23" s="22"/>
      <c r="V23" s="22"/>
      <c r="W23" s="12"/>
    </row>
    <row r="24" spans="1:23">
      <c r="A24" s="12"/>
      <c r="W24" s="12"/>
    </row>
    <row r="25" spans="1:23">
      <c r="A25" s="12"/>
      <c r="W25" s="12"/>
    </row>
    <row r="26" spans="1:23">
      <c r="A26" s="12"/>
      <c r="W26" s="12"/>
    </row>
    <row r="27" spans="1:23">
      <c r="A27" s="15"/>
      <c r="W27" s="15"/>
    </row>
    <row r="28" spans="1:23">
      <c r="A28" s="15"/>
      <c r="W28" s="15"/>
    </row>
    <row r="29" spans="1:23">
      <c r="A29" s="15"/>
      <c r="W29" s="15"/>
    </row>
    <row r="30" spans="1:23">
      <c r="A30" s="15"/>
      <c r="U30" s="31"/>
      <c r="V30" s="31"/>
      <c r="W30" s="15"/>
    </row>
    <row r="31" spans="1:23">
      <c r="A31" s="12"/>
      <c r="W31" s="12"/>
    </row>
    <row r="32" spans="1:23">
      <c r="A32" s="12"/>
      <c r="W32" s="12"/>
    </row>
    <row r="34" spans="21:22">
      <c r="U34" s="31"/>
      <c r="V34" s="31"/>
    </row>
    <row r="35" spans="21:22">
      <c r="U35" s="19"/>
      <c r="V35" s="19"/>
    </row>
    <row r="36" spans="21:22">
      <c r="U36" s="16"/>
      <c r="V36" s="16"/>
    </row>
    <row r="37" spans="21:22">
      <c r="U37" s="16"/>
      <c r="V37" s="16"/>
    </row>
    <row r="38" spans="21:22">
      <c r="U38" s="16"/>
      <c r="V38" s="16"/>
    </row>
    <row r="39" spans="21:22">
      <c r="U39" s="16"/>
      <c r="V39" s="16"/>
    </row>
  </sheetData>
  <sheetProtection password="E7B8" sheet="1" formatCells="0"/>
  <mergeCells count="27">
    <mergeCell ref="W5:AM5"/>
    <mergeCell ref="W6:AM6"/>
    <mergeCell ref="W7:W8"/>
    <mergeCell ref="X7:AE7"/>
    <mergeCell ref="AF7:AM7"/>
    <mergeCell ref="X8:AE8"/>
    <mergeCell ref="AF8:AM8"/>
    <mergeCell ref="W1:AM1"/>
    <mergeCell ref="W2:AM2"/>
    <mergeCell ref="W3:W4"/>
    <mergeCell ref="X3:AE3"/>
    <mergeCell ref="AF3:AM3"/>
    <mergeCell ref="X4:AE4"/>
    <mergeCell ref="AF4:AM4"/>
    <mergeCell ref="A6:Q6"/>
    <mergeCell ref="A2:Q2"/>
    <mergeCell ref="A5:Q5"/>
    <mergeCell ref="A3:A4"/>
    <mergeCell ref="B3:I3"/>
    <mergeCell ref="J3:Q3"/>
    <mergeCell ref="B4:I4"/>
    <mergeCell ref="J4:Q4"/>
    <mergeCell ref="A7:A8"/>
    <mergeCell ref="B7:I7"/>
    <mergeCell ref="J7:Q7"/>
    <mergeCell ref="B8:I8"/>
    <mergeCell ref="J8:Q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17</xdr:col>
                    <xdr:colOff>152400</xdr:colOff>
                    <xdr:row>3</xdr:row>
                    <xdr:rowOff>381000</xdr:rowOff>
                  </from>
                  <to>
                    <xdr:col>17</xdr:col>
                    <xdr:colOff>533400</xdr:colOff>
                    <xdr:row>3</xdr:row>
                    <xdr:rowOff>723900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17</xdr:col>
                    <xdr:colOff>144780</xdr:colOff>
                    <xdr:row>3</xdr:row>
                    <xdr:rowOff>2118360</xdr:rowOff>
                  </from>
                  <to>
                    <xdr:col>17</xdr:col>
                    <xdr:colOff>525780</xdr:colOff>
                    <xdr:row>3</xdr:row>
                    <xdr:rowOff>2461260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17</xdr:col>
                    <xdr:colOff>144780</xdr:colOff>
                    <xdr:row>3</xdr:row>
                    <xdr:rowOff>1432560</xdr:rowOff>
                  </from>
                  <to>
                    <xdr:col>17</xdr:col>
                    <xdr:colOff>525780</xdr:colOff>
                    <xdr:row>3</xdr:row>
                    <xdr:rowOff>1775460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17</xdr:col>
                    <xdr:colOff>144780</xdr:colOff>
                    <xdr:row>3</xdr:row>
                    <xdr:rowOff>3246120</xdr:rowOff>
                  </from>
                  <to>
                    <xdr:col>17</xdr:col>
                    <xdr:colOff>525780</xdr:colOff>
                    <xdr:row>3</xdr:row>
                    <xdr:rowOff>3589020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17</xdr:col>
                    <xdr:colOff>129540</xdr:colOff>
                    <xdr:row>7</xdr:row>
                    <xdr:rowOff>205740</xdr:rowOff>
                  </from>
                  <to>
                    <xdr:col>17</xdr:col>
                    <xdr:colOff>510540</xdr:colOff>
                    <xdr:row>7</xdr:row>
                    <xdr:rowOff>548640</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17</xdr:col>
                    <xdr:colOff>137160</xdr:colOff>
                    <xdr:row>7</xdr:row>
                    <xdr:rowOff>1463040</xdr:rowOff>
                  </from>
                  <to>
                    <xdr:col>17</xdr:col>
                    <xdr:colOff>518160</xdr:colOff>
                    <xdr:row>7</xdr:row>
                    <xdr:rowOff>1805940</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17</xdr:col>
                    <xdr:colOff>137160</xdr:colOff>
                    <xdr:row>7</xdr:row>
                    <xdr:rowOff>868680</xdr:rowOff>
                  </from>
                  <to>
                    <xdr:col>17</xdr:col>
                    <xdr:colOff>518160</xdr:colOff>
                    <xdr:row>7</xdr:row>
                    <xdr:rowOff>1211580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17</xdr:col>
                    <xdr:colOff>137160</xdr:colOff>
                    <xdr:row>7</xdr:row>
                    <xdr:rowOff>2567940</xdr:rowOff>
                  </from>
                  <to>
                    <xdr:col>17</xdr:col>
                    <xdr:colOff>518160</xdr:colOff>
                    <xdr:row>7</xdr:row>
                    <xdr:rowOff>2910840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C2159"/>
  <sheetViews>
    <sheetView showGridLines="0" view="pageBreakPreview" zoomScaleNormal="85" zoomScaleSheetLayoutView="100" workbookViewId="0">
      <pane xSplit="14" ySplit="1" topLeftCell="O2" activePane="bottomRight" state="frozen"/>
      <selection activeCell="BE25" sqref="BE25"/>
      <selection pane="topRight" activeCell="BE25" sqref="BE25"/>
      <selection pane="bottomLeft" activeCell="BE25" sqref="BE25"/>
      <selection pane="bottomRight" activeCell="C4" sqref="C4:E4"/>
    </sheetView>
  </sheetViews>
  <sheetFormatPr defaultColWidth="9" defaultRowHeight="10.8" outlineLevelCol="1"/>
  <cols>
    <col min="1" max="1" width="2.21875" style="12" customWidth="1"/>
    <col min="2" max="7" width="5.33203125" style="12" customWidth="1"/>
    <col min="8" max="8" width="9.88671875" style="12" customWidth="1"/>
    <col min="9" max="12" width="5.33203125" style="12" customWidth="1"/>
    <col min="13" max="13" width="10" style="12" customWidth="1"/>
    <col min="14" max="14" width="12.77734375" style="12" customWidth="1"/>
    <col min="15" max="15" width="35.21875" style="52" customWidth="1"/>
    <col min="16" max="16" width="9" style="123" hidden="1" customWidth="1" outlineLevel="1"/>
    <col min="17" max="17" width="9" style="124" hidden="1" customWidth="1" outlineLevel="1"/>
    <col min="18" max="18" width="3.109375" style="14" customWidth="1" collapsed="1"/>
    <col min="19" max="19" width="1.21875" style="12" customWidth="1"/>
    <col min="20" max="20" width="4.77734375" style="12" customWidth="1"/>
    <col min="21" max="25" width="5.33203125" style="12" customWidth="1"/>
    <col min="26" max="26" width="9.88671875" style="12" customWidth="1"/>
    <col min="27" max="30" width="5.33203125" style="12" customWidth="1"/>
    <col min="31" max="31" width="10" style="12" customWidth="1"/>
    <col min="32" max="32" width="12.77734375" style="12" customWidth="1"/>
    <col min="33" max="33" width="5" style="52" customWidth="1"/>
    <col min="34" max="16384" width="9" style="52"/>
  </cols>
  <sheetData>
    <row r="1" spans="1:55" s="12" customFormat="1" ht="30" customHeight="1">
      <c r="A1" s="72" t="s">
        <v>49</v>
      </c>
      <c r="B1" s="72"/>
      <c r="C1" s="72"/>
      <c r="D1" s="72"/>
      <c r="E1" s="72"/>
      <c r="F1" s="72"/>
      <c r="G1" s="72"/>
      <c r="H1" s="72"/>
      <c r="I1" s="72"/>
      <c r="J1" s="72"/>
      <c r="K1" s="72"/>
      <c r="L1" s="72"/>
      <c r="M1" s="72"/>
      <c r="N1" s="75">
        <f>結果1面!$M$11</f>
        <v>0</v>
      </c>
      <c r="O1" s="113"/>
      <c r="P1" s="116" t="s">
        <v>3614</v>
      </c>
      <c r="Q1" s="114" t="s">
        <v>3608</v>
      </c>
      <c r="R1" s="13"/>
      <c r="S1" s="1400" t="s">
        <v>68</v>
      </c>
      <c r="T1" s="1400"/>
      <c r="U1" s="1400"/>
      <c r="V1" s="1400"/>
      <c r="W1" s="1400"/>
      <c r="X1" s="1400"/>
      <c r="Y1" s="1400"/>
      <c r="Z1" s="1400"/>
      <c r="AA1" s="1400"/>
      <c r="AB1" s="1400"/>
      <c r="AC1" s="1400"/>
      <c r="AD1" s="1400"/>
      <c r="AE1" s="1400"/>
      <c r="AF1" s="1400"/>
      <c r="BC1" s="12" t="s">
        <v>164</v>
      </c>
    </row>
    <row r="2" spans="1:55" s="12" customFormat="1" ht="20.100000000000001" customHeight="1" thickBot="1">
      <c r="A2" s="1223" t="s">
        <v>65</v>
      </c>
      <c r="B2" s="1223"/>
      <c r="C2" s="1223"/>
      <c r="D2" s="1223"/>
      <c r="E2" s="1223"/>
      <c r="F2" s="1223"/>
      <c r="G2" s="1223"/>
      <c r="H2" s="1223"/>
      <c r="I2" s="1223"/>
      <c r="J2" s="1223"/>
      <c r="K2" s="1223"/>
      <c r="L2" s="1223"/>
      <c r="M2" s="1223"/>
      <c r="N2" s="1223"/>
      <c r="O2" s="137" t="str">
        <f>結果1面!$Z$1</f>
        <v>2025ver5</v>
      </c>
      <c r="P2" s="15"/>
      <c r="Q2" s="120"/>
      <c r="R2" s="31"/>
      <c r="S2" s="1223" t="s">
        <v>380</v>
      </c>
      <c r="T2" s="1223"/>
      <c r="U2" s="1223"/>
      <c r="V2" s="1223"/>
      <c r="W2" s="1223"/>
      <c r="X2" s="1223"/>
      <c r="Y2" s="1223"/>
      <c r="Z2" s="1223"/>
      <c r="AA2" s="1223"/>
      <c r="AB2" s="1223"/>
      <c r="AC2" s="1223"/>
      <c r="AD2" s="1223"/>
      <c r="AE2" s="1223"/>
      <c r="AF2" s="1223"/>
      <c r="BC2" s="12" t="s">
        <v>165</v>
      </c>
    </row>
    <row r="3" spans="1:55" s="15" customFormat="1" ht="50.1" customHeight="1">
      <c r="A3" s="1600"/>
      <c r="B3" s="101" t="s">
        <v>381</v>
      </c>
      <c r="C3" s="1657" t="s">
        <v>19</v>
      </c>
      <c r="D3" s="1657"/>
      <c r="E3" s="1657"/>
      <c r="F3" s="1657" t="s">
        <v>9</v>
      </c>
      <c r="G3" s="1657"/>
      <c r="H3" s="1657"/>
      <c r="I3" s="1657"/>
      <c r="J3" s="1657"/>
      <c r="K3" s="1233" t="s">
        <v>6</v>
      </c>
      <c r="L3" s="1233"/>
      <c r="M3" s="1604" t="s">
        <v>66</v>
      </c>
      <c r="N3" s="1658"/>
      <c r="Q3" s="86"/>
      <c r="R3" s="115"/>
      <c r="S3" s="1600"/>
      <c r="T3" s="90" t="s">
        <v>382</v>
      </c>
      <c r="U3" s="1657" t="s">
        <v>19</v>
      </c>
      <c r="V3" s="1657"/>
      <c r="W3" s="1657"/>
      <c r="X3" s="1657" t="s">
        <v>9</v>
      </c>
      <c r="Y3" s="1657"/>
      <c r="Z3" s="1657"/>
      <c r="AA3" s="1657"/>
      <c r="AB3" s="1657"/>
      <c r="AC3" s="1233" t="s">
        <v>6</v>
      </c>
      <c r="AD3" s="1233"/>
      <c r="AE3" s="1604" t="s">
        <v>66</v>
      </c>
      <c r="AF3" s="1658"/>
    </row>
    <row r="4" spans="1:55" s="12" customFormat="1" ht="30" customHeight="1">
      <c r="A4" s="1600"/>
      <c r="B4" s="5"/>
      <c r="C4" s="1651"/>
      <c r="D4" s="1651"/>
      <c r="E4" s="1651"/>
      <c r="F4" s="1636" t="s">
        <v>3706</v>
      </c>
      <c r="G4" s="1636"/>
      <c r="H4" s="1636"/>
      <c r="I4" s="1636"/>
      <c r="J4" s="1636"/>
      <c r="K4" s="1637"/>
      <c r="L4" s="1637"/>
      <c r="M4" s="1652" t="str">
        <f t="shared" ref="M4:M13" si="0">IF(K4="","",VLOOKUP(K4,$B$32:$F$2159,5,FALSE))</f>
        <v/>
      </c>
      <c r="N4" s="1653"/>
      <c r="P4" s="15" t="str">
        <f>IF(AND(F4&lt;&gt;"",COUNTIF(F4,"神奈川県*")&lt;1),"NG","OK")</f>
        <v>OK</v>
      </c>
      <c r="Q4" s="120" t="s">
        <v>3624</v>
      </c>
      <c r="R4" s="16"/>
      <c r="S4" s="1600"/>
      <c r="T4" s="47" t="s">
        <v>165</v>
      </c>
      <c r="U4" s="1642" t="s">
        <v>383</v>
      </c>
      <c r="V4" s="1642"/>
      <c r="W4" s="1642"/>
      <c r="X4" s="1642" t="s">
        <v>384</v>
      </c>
      <c r="Y4" s="1642"/>
      <c r="Z4" s="1642"/>
      <c r="AA4" s="1642"/>
      <c r="AB4" s="1642"/>
      <c r="AC4" s="1648" t="s">
        <v>385</v>
      </c>
      <c r="AD4" s="1648"/>
      <c r="AE4" s="1649" t="s">
        <v>386</v>
      </c>
      <c r="AF4" s="1650"/>
    </row>
    <row r="5" spans="1:55" s="12" customFormat="1" ht="30" customHeight="1">
      <c r="A5" s="1600"/>
      <c r="B5" s="5"/>
      <c r="C5" s="1651"/>
      <c r="D5" s="1651"/>
      <c r="E5" s="1651"/>
      <c r="F5" s="1636"/>
      <c r="G5" s="1636"/>
      <c r="H5" s="1636"/>
      <c r="I5" s="1636"/>
      <c r="J5" s="1636"/>
      <c r="K5" s="1637"/>
      <c r="L5" s="1637"/>
      <c r="M5" s="1652" t="str">
        <f t="shared" si="0"/>
        <v/>
      </c>
      <c r="N5" s="1653"/>
      <c r="P5" s="15" t="str">
        <f t="shared" ref="P5:P13" si="1">IF(AND(F5&lt;&gt;"",COUNTIF(F5,"神奈川県*")&lt;1),"NG","OK")</f>
        <v>OK</v>
      </c>
      <c r="Q5" s="120"/>
      <c r="R5" s="14"/>
      <c r="S5" s="1600"/>
      <c r="T5" s="47"/>
      <c r="U5" s="1642"/>
      <c r="V5" s="1642"/>
      <c r="W5" s="1642"/>
      <c r="X5" s="1642"/>
      <c r="Y5" s="1642"/>
      <c r="Z5" s="1642"/>
      <c r="AA5" s="1642"/>
      <c r="AB5" s="1642"/>
      <c r="AC5" s="1648"/>
      <c r="AD5" s="1648"/>
      <c r="AE5" s="1649"/>
      <c r="AF5" s="1650"/>
    </row>
    <row r="6" spans="1:55" s="12" customFormat="1" ht="30" customHeight="1">
      <c r="A6" s="1600"/>
      <c r="B6" s="5"/>
      <c r="C6" s="1651"/>
      <c r="D6" s="1651"/>
      <c r="E6" s="1651"/>
      <c r="F6" s="1636"/>
      <c r="G6" s="1636"/>
      <c r="H6" s="1636"/>
      <c r="I6" s="1636"/>
      <c r="J6" s="1636"/>
      <c r="K6" s="1637"/>
      <c r="L6" s="1637"/>
      <c r="M6" s="1652" t="str">
        <f t="shared" si="0"/>
        <v/>
      </c>
      <c r="N6" s="1653"/>
      <c r="P6" s="15" t="str">
        <f t="shared" si="1"/>
        <v>OK</v>
      </c>
      <c r="Q6" s="120"/>
      <c r="S6" s="1600"/>
      <c r="T6" s="47"/>
      <c r="U6" s="1642"/>
      <c r="V6" s="1642"/>
      <c r="W6" s="1642"/>
      <c r="X6" s="1642"/>
      <c r="Y6" s="1642"/>
      <c r="Z6" s="1642"/>
      <c r="AA6" s="1642"/>
      <c r="AB6" s="1642"/>
      <c r="AC6" s="1648"/>
      <c r="AD6" s="1648"/>
      <c r="AE6" s="1649"/>
      <c r="AF6" s="1650"/>
    </row>
    <row r="7" spans="1:55" s="12" customFormat="1" ht="30" customHeight="1">
      <c r="A7" s="1600"/>
      <c r="B7" s="5"/>
      <c r="C7" s="1651"/>
      <c r="D7" s="1651"/>
      <c r="E7" s="1651"/>
      <c r="F7" s="1636"/>
      <c r="G7" s="1636"/>
      <c r="H7" s="1636"/>
      <c r="I7" s="1636"/>
      <c r="J7" s="1636"/>
      <c r="K7" s="1637"/>
      <c r="L7" s="1637"/>
      <c r="M7" s="1652" t="str">
        <f t="shared" si="0"/>
        <v/>
      </c>
      <c r="N7" s="1653"/>
      <c r="P7" s="15" t="str">
        <f t="shared" si="1"/>
        <v>OK</v>
      </c>
      <c r="Q7" s="120"/>
      <c r="R7" s="16"/>
      <c r="S7" s="1600"/>
      <c r="T7" s="47"/>
      <c r="U7" s="1642"/>
      <c r="V7" s="1642"/>
      <c r="W7" s="1642"/>
      <c r="X7" s="1642"/>
      <c r="Y7" s="1642"/>
      <c r="Z7" s="1642"/>
      <c r="AA7" s="1642"/>
      <c r="AB7" s="1642"/>
      <c r="AC7" s="1648"/>
      <c r="AD7" s="1648"/>
      <c r="AE7" s="1649"/>
      <c r="AF7" s="1650"/>
    </row>
    <row r="8" spans="1:55" s="12" customFormat="1" ht="30" customHeight="1">
      <c r="A8" s="1600"/>
      <c r="B8" s="5"/>
      <c r="C8" s="1651"/>
      <c r="D8" s="1651"/>
      <c r="E8" s="1651"/>
      <c r="F8" s="1636"/>
      <c r="G8" s="1636"/>
      <c r="H8" s="1636"/>
      <c r="I8" s="1636"/>
      <c r="J8" s="1636"/>
      <c r="K8" s="1637"/>
      <c r="L8" s="1637"/>
      <c r="M8" s="1638" t="str">
        <f t="shared" si="0"/>
        <v/>
      </c>
      <c r="N8" s="1654"/>
      <c r="P8" s="15" t="str">
        <f t="shared" si="1"/>
        <v>OK</v>
      </c>
      <c r="Q8" s="120"/>
      <c r="R8" s="16"/>
      <c r="S8" s="1600"/>
      <c r="T8" s="47"/>
      <c r="U8" s="1642"/>
      <c r="V8" s="1642"/>
      <c r="W8" s="1642"/>
      <c r="X8" s="1642"/>
      <c r="Y8" s="1642"/>
      <c r="Z8" s="1642"/>
      <c r="AA8" s="1642"/>
      <c r="AB8" s="1642"/>
      <c r="AC8" s="1648"/>
      <c r="AD8" s="1648"/>
      <c r="AE8" s="1649"/>
      <c r="AF8" s="1650"/>
    </row>
    <row r="9" spans="1:55" s="12" customFormat="1" ht="30" customHeight="1">
      <c r="A9" s="1600"/>
      <c r="B9" s="5"/>
      <c r="C9" s="1651"/>
      <c r="D9" s="1651"/>
      <c r="E9" s="1651"/>
      <c r="F9" s="1636"/>
      <c r="G9" s="1636"/>
      <c r="H9" s="1636"/>
      <c r="I9" s="1636"/>
      <c r="J9" s="1636"/>
      <c r="K9" s="1637"/>
      <c r="L9" s="1637"/>
      <c r="M9" s="1652" t="str">
        <f t="shared" si="0"/>
        <v/>
      </c>
      <c r="N9" s="1653"/>
      <c r="P9" s="15" t="str">
        <f t="shared" si="1"/>
        <v>OK</v>
      </c>
      <c r="Q9" s="120"/>
      <c r="R9" s="16"/>
      <c r="S9" s="1600"/>
      <c r="T9" s="47"/>
      <c r="U9" s="1642"/>
      <c r="V9" s="1642"/>
      <c r="W9" s="1642"/>
      <c r="X9" s="1642"/>
      <c r="Y9" s="1642"/>
      <c r="Z9" s="1642"/>
      <c r="AA9" s="1642"/>
      <c r="AB9" s="1642"/>
      <c r="AC9" s="1648"/>
      <c r="AD9" s="1648"/>
      <c r="AE9" s="1649"/>
      <c r="AF9" s="1650"/>
    </row>
    <row r="10" spans="1:55" s="12" customFormat="1" ht="30" customHeight="1">
      <c r="A10" s="1600"/>
      <c r="B10" s="5"/>
      <c r="C10" s="1651"/>
      <c r="D10" s="1651"/>
      <c r="E10" s="1651"/>
      <c r="F10" s="1636"/>
      <c r="G10" s="1636"/>
      <c r="H10" s="1636"/>
      <c r="I10" s="1636"/>
      <c r="J10" s="1636"/>
      <c r="K10" s="1637"/>
      <c r="L10" s="1637"/>
      <c r="M10" s="1652" t="str">
        <f t="shared" si="0"/>
        <v/>
      </c>
      <c r="N10" s="1653"/>
      <c r="P10" s="15" t="str">
        <f t="shared" si="1"/>
        <v>OK</v>
      </c>
      <c r="Q10" s="120"/>
      <c r="R10" s="16"/>
      <c r="S10" s="1600"/>
      <c r="T10" s="47"/>
      <c r="U10" s="1642"/>
      <c r="V10" s="1642"/>
      <c r="W10" s="1642"/>
      <c r="X10" s="1642"/>
      <c r="Y10" s="1642"/>
      <c r="Z10" s="1642"/>
      <c r="AA10" s="1642"/>
      <c r="AB10" s="1642"/>
      <c r="AC10" s="1648"/>
      <c r="AD10" s="1648"/>
      <c r="AE10" s="1649"/>
      <c r="AF10" s="1650"/>
    </row>
    <row r="11" spans="1:55" s="12" customFormat="1" ht="30" customHeight="1">
      <c r="A11" s="1600"/>
      <c r="B11" s="5"/>
      <c r="C11" s="1651"/>
      <c r="D11" s="1651"/>
      <c r="E11" s="1651"/>
      <c r="F11" s="1636"/>
      <c r="G11" s="1636"/>
      <c r="H11" s="1636"/>
      <c r="I11" s="1636"/>
      <c r="J11" s="1636"/>
      <c r="K11" s="1637"/>
      <c r="L11" s="1637"/>
      <c r="M11" s="1652" t="str">
        <f t="shared" si="0"/>
        <v/>
      </c>
      <c r="N11" s="1653"/>
      <c r="P11" s="15" t="str">
        <f t="shared" si="1"/>
        <v>OK</v>
      </c>
      <c r="Q11" s="120"/>
      <c r="R11" s="16"/>
      <c r="S11" s="1600"/>
      <c r="T11" s="47"/>
      <c r="U11" s="1642"/>
      <c r="V11" s="1642"/>
      <c r="W11" s="1642"/>
      <c r="X11" s="1642"/>
      <c r="Y11" s="1642"/>
      <c r="Z11" s="1642"/>
      <c r="AA11" s="1642"/>
      <c r="AB11" s="1642"/>
      <c r="AC11" s="1648"/>
      <c r="AD11" s="1648"/>
      <c r="AE11" s="1649"/>
      <c r="AF11" s="1650"/>
    </row>
    <row r="12" spans="1:55" s="12" customFormat="1" ht="30" customHeight="1">
      <c r="A12" s="1600"/>
      <c r="B12" s="5"/>
      <c r="C12" s="1651"/>
      <c r="D12" s="1651"/>
      <c r="E12" s="1651"/>
      <c r="F12" s="1636"/>
      <c r="G12" s="1636"/>
      <c r="H12" s="1636"/>
      <c r="I12" s="1636"/>
      <c r="J12" s="1636"/>
      <c r="K12" s="1637"/>
      <c r="L12" s="1637"/>
      <c r="M12" s="1652" t="str">
        <f t="shared" si="0"/>
        <v/>
      </c>
      <c r="N12" s="1653"/>
      <c r="P12" s="15" t="str">
        <f t="shared" si="1"/>
        <v>OK</v>
      </c>
      <c r="Q12" s="120"/>
      <c r="R12" s="16"/>
      <c r="S12" s="1600"/>
      <c r="T12" s="47"/>
      <c r="U12" s="1642"/>
      <c r="V12" s="1642"/>
      <c r="W12" s="1642"/>
      <c r="X12" s="1642"/>
      <c r="Y12" s="1642"/>
      <c r="Z12" s="1642"/>
      <c r="AA12" s="1642"/>
      <c r="AB12" s="1642"/>
      <c r="AC12" s="1648"/>
      <c r="AD12" s="1648"/>
      <c r="AE12" s="1649"/>
      <c r="AF12" s="1650"/>
    </row>
    <row r="13" spans="1:55" s="12" customFormat="1" ht="30" customHeight="1" thickBot="1">
      <c r="A13" s="1600"/>
      <c r="B13" s="6"/>
      <c r="C13" s="1651"/>
      <c r="D13" s="1651"/>
      <c r="E13" s="1651"/>
      <c r="F13" s="1636"/>
      <c r="G13" s="1636"/>
      <c r="H13" s="1636"/>
      <c r="I13" s="1636"/>
      <c r="J13" s="1636"/>
      <c r="K13" s="1637"/>
      <c r="L13" s="1637"/>
      <c r="M13" s="1652" t="str">
        <f t="shared" si="0"/>
        <v/>
      </c>
      <c r="N13" s="1653"/>
      <c r="P13" s="15" t="str">
        <f t="shared" si="1"/>
        <v>OK</v>
      </c>
      <c r="Q13" s="120"/>
      <c r="R13" s="17"/>
      <c r="S13" s="1600"/>
      <c r="T13" s="48"/>
      <c r="U13" s="1642"/>
      <c r="V13" s="1642"/>
      <c r="W13" s="1642"/>
      <c r="X13" s="1642"/>
      <c r="Y13" s="1642"/>
      <c r="Z13" s="1642"/>
      <c r="AA13" s="1642"/>
      <c r="AB13" s="1642"/>
      <c r="AC13" s="1648"/>
      <c r="AD13" s="1648"/>
      <c r="AE13" s="1649"/>
      <c r="AF13" s="1650"/>
    </row>
    <row r="14" spans="1:55" s="12" customFormat="1" ht="12.75" customHeight="1">
      <c r="A14" s="1600"/>
      <c r="B14" s="1516"/>
      <c r="C14" s="1516"/>
      <c r="D14" s="1516"/>
      <c r="E14" s="1516"/>
      <c r="F14" s="1516"/>
      <c r="G14" s="1516"/>
      <c r="H14" s="1516"/>
      <c r="I14" s="1516"/>
      <c r="J14" s="1516"/>
      <c r="K14" s="1516"/>
      <c r="L14" s="1516"/>
      <c r="M14" s="1516"/>
      <c r="N14" s="1516"/>
      <c r="P14" s="15"/>
      <c r="Q14" s="120"/>
      <c r="R14" s="14"/>
      <c r="S14" s="1600"/>
      <c r="T14" s="1516"/>
      <c r="U14" s="1516"/>
      <c r="V14" s="1516"/>
      <c r="W14" s="1516"/>
      <c r="X14" s="1516"/>
      <c r="Y14" s="1516"/>
      <c r="Z14" s="1516"/>
      <c r="AA14" s="1516"/>
      <c r="AB14" s="1516"/>
      <c r="AC14" s="1516"/>
      <c r="AD14" s="1516"/>
      <c r="AE14" s="1516"/>
      <c r="AF14" s="1516"/>
    </row>
    <row r="15" spans="1:55" s="12" customFormat="1" ht="24.75" customHeight="1" thickBot="1">
      <c r="A15" s="82" t="s">
        <v>2322</v>
      </c>
      <c r="B15" s="1643" t="s">
        <v>387</v>
      </c>
      <c r="C15" s="1644"/>
      <c r="D15" s="1644"/>
      <c r="E15" s="1644"/>
      <c r="F15" s="1644"/>
      <c r="G15" s="1644"/>
      <c r="H15" s="1644"/>
      <c r="I15" s="1644"/>
      <c r="J15" s="1644"/>
      <c r="K15" s="1644"/>
      <c r="L15" s="1644"/>
      <c r="M15" s="1644"/>
      <c r="N15" s="1644"/>
      <c r="P15" s="15"/>
      <c r="Q15" s="120"/>
      <c r="R15" s="54"/>
      <c r="S15" s="49" t="s">
        <v>388</v>
      </c>
      <c r="T15" s="1643" t="s">
        <v>387</v>
      </c>
      <c r="U15" s="1644"/>
      <c r="V15" s="1644"/>
      <c r="W15" s="1644"/>
      <c r="X15" s="1644"/>
      <c r="Y15" s="1644"/>
      <c r="Z15" s="1644"/>
      <c r="AA15" s="1644"/>
      <c r="AB15" s="1644"/>
      <c r="AC15" s="1644"/>
      <c r="AD15" s="1644"/>
      <c r="AE15" s="1644"/>
      <c r="AF15" s="1644"/>
    </row>
    <row r="16" spans="1:55" s="15" customFormat="1" ht="50.1" customHeight="1" thickBot="1">
      <c r="A16" s="1226"/>
      <c r="B16" s="1596" t="s">
        <v>10</v>
      </c>
      <c r="C16" s="1513"/>
      <c r="D16" s="1513"/>
      <c r="E16" s="1513" t="s">
        <v>9</v>
      </c>
      <c r="F16" s="1513"/>
      <c r="G16" s="1513"/>
      <c r="H16" s="1513"/>
      <c r="I16" s="1233" t="s">
        <v>6</v>
      </c>
      <c r="J16" s="1233"/>
      <c r="K16" s="1645" t="s">
        <v>66</v>
      </c>
      <c r="L16" s="1646"/>
      <c r="M16" s="1647"/>
      <c r="N16" s="76" t="s">
        <v>389</v>
      </c>
      <c r="Q16" s="86"/>
      <c r="R16" s="54"/>
      <c r="S16" s="1226"/>
      <c r="T16" s="1596" t="s">
        <v>10</v>
      </c>
      <c r="U16" s="1513"/>
      <c r="V16" s="1513"/>
      <c r="W16" s="1513" t="s">
        <v>9</v>
      </c>
      <c r="X16" s="1513"/>
      <c r="Y16" s="1513"/>
      <c r="Z16" s="1513"/>
      <c r="AA16" s="1233" t="s">
        <v>6</v>
      </c>
      <c r="AB16" s="1233"/>
      <c r="AC16" s="1645" t="s">
        <v>66</v>
      </c>
      <c r="AD16" s="1646"/>
      <c r="AE16" s="1647"/>
      <c r="AF16" s="76" t="s">
        <v>389</v>
      </c>
    </row>
    <row r="17" spans="1:32" s="15" customFormat="1" ht="30" customHeight="1">
      <c r="A17" s="1226"/>
      <c r="B17" s="1635"/>
      <c r="C17" s="1636"/>
      <c r="D17" s="1636"/>
      <c r="E17" s="1636" t="s">
        <v>3706</v>
      </c>
      <c r="F17" s="1636"/>
      <c r="G17" s="1636"/>
      <c r="H17" s="1636"/>
      <c r="I17" s="1637"/>
      <c r="J17" s="1637"/>
      <c r="K17" s="1638" t="str">
        <f t="shared" ref="K17:K26" si="2">IF(I17="","",VLOOKUP(I17,$B$32:$F$2159,5,FALSE))</f>
        <v/>
      </c>
      <c r="L17" s="1639"/>
      <c r="M17" s="1640"/>
      <c r="N17" s="7"/>
      <c r="P17" s="15" t="str">
        <f>IF(AND(E17&lt;&gt;"",COUNTIF(E17,"神奈川県*")&lt;1),"NG","OK")</f>
        <v>OK</v>
      </c>
      <c r="Q17" s="120" t="s">
        <v>3629</v>
      </c>
      <c r="R17" s="14"/>
      <c r="S17" s="1226"/>
      <c r="T17" s="1641" t="s">
        <v>390</v>
      </c>
      <c r="U17" s="1642"/>
      <c r="V17" s="1642"/>
      <c r="W17" s="1642" t="s">
        <v>391</v>
      </c>
      <c r="X17" s="1642"/>
      <c r="Y17" s="1642"/>
      <c r="Z17" s="1642"/>
      <c r="AA17" s="1619" t="s">
        <v>392</v>
      </c>
      <c r="AB17" s="1619"/>
      <c r="AC17" s="1620" t="s">
        <v>233</v>
      </c>
      <c r="AD17" s="1621"/>
      <c r="AE17" s="1622"/>
      <c r="AF17" s="50">
        <v>1152</v>
      </c>
    </row>
    <row r="18" spans="1:32" s="15" customFormat="1" ht="30" customHeight="1">
      <c r="A18" s="1226"/>
      <c r="B18" s="1635"/>
      <c r="C18" s="1636"/>
      <c r="D18" s="1636"/>
      <c r="E18" s="1636"/>
      <c r="F18" s="1636"/>
      <c r="G18" s="1636"/>
      <c r="H18" s="1636"/>
      <c r="I18" s="1637"/>
      <c r="J18" s="1637"/>
      <c r="K18" s="1638" t="str">
        <f t="shared" si="2"/>
        <v/>
      </c>
      <c r="L18" s="1639"/>
      <c r="M18" s="1640"/>
      <c r="N18" s="7"/>
      <c r="P18" s="15" t="str">
        <f t="shared" ref="P18:P26" si="3">IF(AND(E18&lt;&gt;"",COUNTIF(E18,"神奈川県*")&lt;1),"NG","OK")</f>
        <v>OK</v>
      </c>
      <c r="Q18" s="86"/>
      <c r="R18" s="14"/>
      <c r="S18" s="1226"/>
      <c r="T18" s="1641"/>
      <c r="U18" s="1642"/>
      <c r="V18" s="1642"/>
      <c r="W18" s="1642"/>
      <c r="X18" s="1642"/>
      <c r="Y18" s="1642"/>
      <c r="Z18" s="1642"/>
      <c r="AA18" s="1619"/>
      <c r="AB18" s="1619"/>
      <c r="AC18" s="1620"/>
      <c r="AD18" s="1621"/>
      <c r="AE18" s="1622"/>
      <c r="AF18" s="50"/>
    </row>
    <row r="19" spans="1:32" s="15" customFormat="1" ht="30" customHeight="1">
      <c r="A19" s="1226"/>
      <c r="B19" s="1635"/>
      <c r="C19" s="1636"/>
      <c r="D19" s="1636"/>
      <c r="E19" s="1636"/>
      <c r="F19" s="1636"/>
      <c r="G19" s="1636"/>
      <c r="H19" s="1636"/>
      <c r="I19" s="1637"/>
      <c r="J19" s="1637"/>
      <c r="K19" s="1638" t="str">
        <f t="shared" si="2"/>
        <v/>
      </c>
      <c r="L19" s="1639"/>
      <c r="M19" s="1640"/>
      <c r="N19" s="7"/>
      <c r="P19" s="15" t="str">
        <f t="shared" si="3"/>
        <v>OK</v>
      </c>
      <c r="Q19" s="86"/>
      <c r="R19" s="22"/>
      <c r="S19" s="1226"/>
      <c r="T19" s="1641"/>
      <c r="U19" s="1642"/>
      <c r="V19" s="1642"/>
      <c r="W19" s="1642"/>
      <c r="X19" s="1642"/>
      <c r="Y19" s="1642"/>
      <c r="Z19" s="1642"/>
      <c r="AA19" s="1619"/>
      <c r="AB19" s="1619"/>
      <c r="AC19" s="1620"/>
      <c r="AD19" s="1621"/>
      <c r="AE19" s="1622"/>
      <c r="AF19" s="50"/>
    </row>
    <row r="20" spans="1:32" s="15" customFormat="1" ht="30" customHeight="1">
      <c r="A20" s="1226"/>
      <c r="B20" s="1635"/>
      <c r="C20" s="1636"/>
      <c r="D20" s="1636"/>
      <c r="E20" s="1636"/>
      <c r="F20" s="1636"/>
      <c r="G20" s="1636"/>
      <c r="H20" s="1636"/>
      <c r="I20" s="1637"/>
      <c r="J20" s="1637"/>
      <c r="K20" s="1638" t="str">
        <f t="shared" si="2"/>
        <v/>
      </c>
      <c r="L20" s="1639"/>
      <c r="M20" s="1640"/>
      <c r="N20" s="7"/>
      <c r="P20" s="15" t="str">
        <f t="shared" si="3"/>
        <v>OK</v>
      </c>
      <c r="Q20" s="86"/>
      <c r="R20" s="22"/>
      <c r="S20" s="1226"/>
      <c r="T20" s="1641"/>
      <c r="U20" s="1642"/>
      <c r="V20" s="1642"/>
      <c r="W20" s="1642"/>
      <c r="X20" s="1642"/>
      <c r="Y20" s="1642"/>
      <c r="Z20" s="1642"/>
      <c r="AA20" s="1619"/>
      <c r="AB20" s="1619"/>
      <c r="AC20" s="1620"/>
      <c r="AD20" s="1621"/>
      <c r="AE20" s="1622"/>
      <c r="AF20" s="50"/>
    </row>
    <row r="21" spans="1:32" s="15" customFormat="1" ht="30" customHeight="1">
      <c r="A21" s="1226"/>
      <c r="B21" s="1635"/>
      <c r="C21" s="1636"/>
      <c r="D21" s="1636"/>
      <c r="E21" s="1636"/>
      <c r="F21" s="1636"/>
      <c r="G21" s="1636"/>
      <c r="H21" s="1636"/>
      <c r="I21" s="1637"/>
      <c r="J21" s="1637"/>
      <c r="K21" s="1638" t="str">
        <f t="shared" si="2"/>
        <v/>
      </c>
      <c r="L21" s="1639"/>
      <c r="M21" s="1640"/>
      <c r="N21" s="7"/>
      <c r="P21" s="15" t="str">
        <f t="shared" si="3"/>
        <v>OK</v>
      </c>
      <c r="Q21" s="86"/>
      <c r="R21" s="22"/>
      <c r="S21" s="1226"/>
      <c r="T21" s="1641"/>
      <c r="U21" s="1642"/>
      <c r="V21" s="1642"/>
      <c r="W21" s="1642"/>
      <c r="X21" s="1642"/>
      <c r="Y21" s="1642"/>
      <c r="Z21" s="1642"/>
      <c r="AA21" s="1619"/>
      <c r="AB21" s="1619"/>
      <c r="AC21" s="1620"/>
      <c r="AD21" s="1621"/>
      <c r="AE21" s="1622"/>
      <c r="AF21" s="50"/>
    </row>
    <row r="22" spans="1:32" s="15" customFormat="1" ht="30" customHeight="1">
      <c r="A22" s="1226"/>
      <c r="B22" s="1635"/>
      <c r="C22" s="1636"/>
      <c r="D22" s="1636"/>
      <c r="E22" s="1636"/>
      <c r="F22" s="1636"/>
      <c r="G22" s="1636"/>
      <c r="H22" s="1636"/>
      <c r="I22" s="1637"/>
      <c r="J22" s="1637"/>
      <c r="K22" s="1638" t="str">
        <f t="shared" si="2"/>
        <v/>
      </c>
      <c r="L22" s="1639"/>
      <c r="M22" s="1640"/>
      <c r="N22" s="7"/>
      <c r="P22" s="15" t="str">
        <f t="shared" si="3"/>
        <v>OK</v>
      </c>
      <c r="Q22" s="86"/>
      <c r="R22" s="22"/>
      <c r="S22" s="1226"/>
      <c r="T22" s="1641"/>
      <c r="U22" s="1642"/>
      <c r="V22" s="1642"/>
      <c r="W22" s="1642"/>
      <c r="X22" s="1642"/>
      <c r="Y22" s="1642"/>
      <c r="Z22" s="1642"/>
      <c r="AA22" s="1619"/>
      <c r="AB22" s="1619"/>
      <c r="AC22" s="1620"/>
      <c r="AD22" s="1621"/>
      <c r="AE22" s="1622"/>
      <c r="AF22" s="50"/>
    </row>
    <row r="23" spans="1:32" s="15" customFormat="1" ht="30" customHeight="1">
      <c r="A23" s="1226"/>
      <c r="B23" s="1635"/>
      <c r="C23" s="1636"/>
      <c r="D23" s="1636"/>
      <c r="E23" s="1636"/>
      <c r="F23" s="1636"/>
      <c r="G23" s="1636"/>
      <c r="H23" s="1636"/>
      <c r="I23" s="1637"/>
      <c r="J23" s="1637"/>
      <c r="K23" s="1638" t="str">
        <f t="shared" si="2"/>
        <v/>
      </c>
      <c r="L23" s="1639"/>
      <c r="M23" s="1640"/>
      <c r="N23" s="7"/>
      <c r="P23" s="15" t="str">
        <f t="shared" si="3"/>
        <v>OK</v>
      </c>
      <c r="Q23" s="86"/>
      <c r="R23" s="14"/>
      <c r="S23" s="1226"/>
      <c r="T23" s="1641"/>
      <c r="U23" s="1642"/>
      <c r="V23" s="1642"/>
      <c r="W23" s="1642"/>
      <c r="X23" s="1642"/>
      <c r="Y23" s="1642"/>
      <c r="Z23" s="1642"/>
      <c r="AA23" s="1619"/>
      <c r="AB23" s="1619"/>
      <c r="AC23" s="1620"/>
      <c r="AD23" s="1621"/>
      <c r="AE23" s="1622"/>
      <c r="AF23" s="50"/>
    </row>
    <row r="24" spans="1:32" s="15" customFormat="1" ht="30" customHeight="1">
      <c r="A24" s="1226"/>
      <c r="B24" s="1635"/>
      <c r="C24" s="1636"/>
      <c r="D24" s="1636"/>
      <c r="E24" s="1636"/>
      <c r="F24" s="1636"/>
      <c r="G24" s="1636"/>
      <c r="H24" s="1636"/>
      <c r="I24" s="1637"/>
      <c r="J24" s="1637"/>
      <c r="K24" s="1638" t="str">
        <f t="shared" si="2"/>
        <v/>
      </c>
      <c r="L24" s="1639"/>
      <c r="M24" s="1640"/>
      <c r="N24" s="7"/>
      <c r="P24" s="15" t="str">
        <f t="shared" si="3"/>
        <v>OK</v>
      </c>
      <c r="Q24" s="86"/>
      <c r="R24" s="14"/>
      <c r="S24" s="1226"/>
      <c r="T24" s="1641"/>
      <c r="U24" s="1642"/>
      <c r="V24" s="1642"/>
      <c r="W24" s="1642"/>
      <c r="X24" s="1642"/>
      <c r="Y24" s="1642"/>
      <c r="Z24" s="1642"/>
      <c r="AA24" s="1619"/>
      <c r="AB24" s="1619"/>
      <c r="AC24" s="1620"/>
      <c r="AD24" s="1621"/>
      <c r="AE24" s="1622"/>
      <c r="AF24" s="50"/>
    </row>
    <row r="25" spans="1:32" s="15" customFormat="1" ht="30" customHeight="1">
      <c r="A25" s="1226"/>
      <c r="B25" s="1635"/>
      <c r="C25" s="1636"/>
      <c r="D25" s="1636"/>
      <c r="E25" s="1636"/>
      <c r="F25" s="1636"/>
      <c r="G25" s="1636"/>
      <c r="H25" s="1636"/>
      <c r="I25" s="1637"/>
      <c r="J25" s="1637"/>
      <c r="K25" s="1638" t="str">
        <f t="shared" si="2"/>
        <v/>
      </c>
      <c r="L25" s="1639"/>
      <c r="M25" s="1640"/>
      <c r="N25" s="7"/>
      <c r="P25" s="15" t="str">
        <f t="shared" si="3"/>
        <v>OK</v>
      </c>
      <c r="Q25" s="86"/>
      <c r="R25" s="31"/>
      <c r="S25" s="1226"/>
      <c r="T25" s="1641"/>
      <c r="U25" s="1642"/>
      <c r="V25" s="1642"/>
      <c r="W25" s="1642"/>
      <c r="X25" s="1642"/>
      <c r="Y25" s="1642"/>
      <c r="Z25" s="1642"/>
      <c r="AA25" s="1619"/>
      <c r="AB25" s="1619"/>
      <c r="AC25" s="1620"/>
      <c r="AD25" s="1621"/>
      <c r="AE25" s="1622"/>
      <c r="AF25" s="50"/>
    </row>
    <row r="26" spans="1:32" s="15" customFormat="1" ht="30" customHeight="1" thickBot="1">
      <c r="A26" s="1226"/>
      <c r="B26" s="1623"/>
      <c r="C26" s="1624"/>
      <c r="D26" s="1624"/>
      <c r="E26" s="1624"/>
      <c r="F26" s="1624"/>
      <c r="G26" s="1624"/>
      <c r="H26" s="1624"/>
      <c r="I26" s="1625"/>
      <c r="J26" s="1625"/>
      <c r="K26" s="1626" t="str">
        <f t="shared" si="2"/>
        <v/>
      </c>
      <c r="L26" s="1627"/>
      <c r="M26" s="1628"/>
      <c r="N26" s="8"/>
      <c r="P26" s="15" t="str">
        <f t="shared" si="3"/>
        <v>OK</v>
      </c>
      <c r="Q26" s="86"/>
      <c r="R26" s="54"/>
      <c r="S26" s="1226"/>
      <c r="T26" s="1629"/>
      <c r="U26" s="1630"/>
      <c r="V26" s="1630"/>
      <c r="W26" s="1630"/>
      <c r="X26" s="1630"/>
      <c r="Y26" s="1630"/>
      <c r="Z26" s="1630"/>
      <c r="AA26" s="1631"/>
      <c r="AB26" s="1631"/>
      <c r="AC26" s="1632"/>
      <c r="AD26" s="1633"/>
      <c r="AE26" s="1634"/>
      <c r="AF26" s="51"/>
    </row>
    <row r="27" spans="1:32" ht="13.2">
      <c r="K27" s="1655"/>
      <c r="L27" s="1656"/>
      <c r="M27" s="1656"/>
    </row>
    <row r="30" spans="1:32">
      <c r="B30" s="77" t="s">
        <v>3712</v>
      </c>
    </row>
    <row r="31" spans="1:32">
      <c r="B31" s="78" t="s">
        <v>393</v>
      </c>
      <c r="C31" s="79" t="s">
        <v>394</v>
      </c>
      <c r="D31" s="79" t="s">
        <v>395</v>
      </c>
      <c r="E31" s="78" t="s">
        <v>396</v>
      </c>
      <c r="F31" s="78" t="s">
        <v>397</v>
      </c>
      <c r="I31" s="80"/>
    </row>
    <row r="32" spans="1:32">
      <c r="B32" s="78"/>
      <c r="C32" s="81" t="s">
        <v>398</v>
      </c>
      <c r="D32" s="81"/>
      <c r="E32" s="81"/>
      <c r="F32" s="81"/>
      <c r="I32" s="80"/>
    </row>
    <row r="33" spans="2:18">
      <c r="B33" s="78"/>
      <c r="C33" s="81"/>
      <c r="D33" s="81" t="s">
        <v>399</v>
      </c>
      <c r="E33" s="81"/>
      <c r="F33" s="81"/>
      <c r="I33" s="80"/>
    </row>
    <row r="34" spans="2:18">
      <c r="B34" s="78"/>
      <c r="C34" s="81"/>
      <c r="D34" s="81"/>
      <c r="E34" s="81" t="s">
        <v>400</v>
      </c>
      <c r="F34" s="81"/>
      <c r="I34" s="80"/>
    </row>
    <row r="35" spans="2:18">
      <c r="B35" s="78" t="s">
        <v>2470</v>
      </c>
      <c r="C35" s="81"/>
      <c r="D35" s="81"/>
      <c r="E35" s="81"/>
      <c r="F35" s="81" t="s">
        <v>401</v>
      </c>
      <c r="I35" s="80"/>
      <c r="R35" s="16"/>
    </row>
    <row r="36" spans="2:18">
      <c r="B36" s="78" t="s">
        <v>402</v>
      </c>
      <c r="C36" s="81"/>
      <c r="D36" s="81"/>
      <c r="E36" s="81"/>
      <c r="F36" s="81" t="s">
        <v>403</v>
      </c>
      <c r="I36" s="80"/>
      <c r="R36" s="16"/>
    </row>
    <row r="37" spans="2:18">
      <c r="B37" s="78"/>
      <c r="C37" s="81"/>
      <c r="D37" s="81"/>
      <c r="E37" s="81" t="s">
        <v>404</v>
      </c>
      <c r="F37" s="81"/>
      <c r="I37" s="80"/>
      <c r="R37" s="16"/>
    </row>
    <row r="38" spans="2:18">
      <c r="B38" s="78" t="s">
        <v>405</v>
      </c>
      <c r="C38" s="81"/>
      <c r="D38" s="81"/>
      <c r="E38" s="81"/>
      <c r="F38" s="81" t="s">
        <v>406</v>
      </c>
      <c r="I38" s="80"/>
      <c r="R38" s="16"/>
    </row>
    <row r="39" spans="2:18">
      <c r="B39" s="78" t="s">
        <v>407</v>
      </c>
      <c r="C39" s="81"/>
      <c r="D39" s="81"/>
      <c r="E39" s="81"/>
      <c r="F39" s="81" t="s">
        <v>408</v>
      </c>
      <c r="I39" s="80"/>
      <c r="R39" s="16"/>
    </row>
    <row r="40" spans="2:18">
      <c r="B40" s="78" t="s">
        <v>409</v>
      </c>
      <c r="C40" s="81"/>
      <c r="D40" s="81"/>
      <c r="E40" s="81"/>
      <c r="F40" s="81" t="s">
        <v>410</v>
      </c>
      <c r="I40" s="80"/>
    </row>
    <row r="41" spans="2:18">
      <c r="B41" s="78" t="s">
        <v>411</v>
      </c>
      <c r="C41" s="81"/>
      <c r="D41" s="81"/>
      <c r="E41" s="81"/>
      <c r="F41" s="81" t="s">
        <v>412</v>
      </c>
      <c r="I41" s="80"/>
    </row>
    <row r="42" spans="2:18">
      <c r="B42" s="78" t="s">
        <v>413</v>
      </c>
      <c r="C42" s="81"/>
      <c r="D42" s="81"/>
      <c r="E42" s="81"/>
      <c r="F42" s="81" t="s">
        <v>414</v>
      </c>
      <c r="I42" s="80"/>
    </row>
    <row r="43" spans="2:18">
      <c r="B43" s="78" t="s">
        <v>415</v>
      </c>
      <c r="C43" s="81"/>
      <c r="D43" s="81"/>
      <c r="E43" s="81"/>
      <c r="F43" s="81" t="s">
        <v>416</v>
      </c>
      <c r="I43" s="80"/>
    </row>
    <row r="44" spans="2:18">
      <c r="B44" s="78" t="s">
        <v>417</v>
      </c>
      <c r="C44" s="81"/>
      <c r="D44" s="81"/>
      <c r="E44" s="81"/>
      <c r="F44" s="81" t="s">
        <v>418</v>
      </c>
      <c r="I44" s="80"/>
    </row>
    <row r="45" spans="2:18">
      <c r="B45" s="78" t="s">
        <v>419</v>
      </c>
      <c r="C45" s="81"/>
      <c r="D45" s="81"/>
      <c r="E45" s="81"/>
      <c r="F45" s="81" t="s">
        <v>420</v>
      </c>
      <c r="I45" s="80"/>
    </row>
    <row r="46" spans="2:18">
      <c r="B46" s="78"/>
      <c r="C46" s="81"/>
      <c r="D46" s="81"/>
      <c r="E46" s="81" t="s">
        <v>421</v>
      </c>
      <c r="F46" s="81"/>
      <c r="I46" s="80"/>
    </row>
    <row r="47" spans="2:18">
      <c r="B47" s="78" t="s">
        <v>422</v>
      </c>
      <c r="C47" s="81"/>
      <c r="D47" s="81"/>
      <c r="E47" s="81"/>
      <c r="F47" s="81" t="s">
        <v>423</v>
      </c>
      <c r="I47" s="80"/>
    </row>
    <row r="48" spans="2:18">
      <c r="B48" s="78" t="s">
        <v>424</v>
      </c>
      <c r="C48" s="81"/>
      <c r="D48" s="81"/>
      <c r="E48" s="81"/>
      <c r="F48" s="81" t="s">
        <v>425</v>
      </c>
      <c r="I48" s="80"/>
    </row>
    <row r="49" spans="2:9">
      <c r="B49" s="78" t="s">
        <v>426</v>
      </c>
      <c r="C49" s="81"/>
      <c r="D49" s="81"/>
      <c r="E49" s="81"/>
      <c r="F49" s="81" t="s">
        <v>427</v>
      </c>
      <c r="I49" s="80"/>
    </row>
    <row r="50" spans="2:9">
      <c r="B50" s="78" t="s">
        <v>428</v>
      </c>
      <c r="C50" s="81"/>
      <c r="D50" s="81"/>
      <c r="E50" s="81"/>
      <c r="F50" s="81" t="s">
        <v>429</v>
      </c>
      <c r="I50" s="80"/>
    </row>
    <row r="51" spans="2:9">
      <c r="B51" s="78" t="s">
        <v>430</v>
      </c>
      <c r="C51" s="81"/>
      <c r="D51" s="81"/>
      <c r="E51" s="81"/>
      <c r="F51" s="81" t="s">
        <v>431</v>
      </c>
      <c r="I51" s="80"/>
    </row>
    <row r="52" spans="2:9">
      <c r="B52" s="78" t="s">
        <v>432</v>
      </c>
      <c r="C52" s="81"/>
      <c r="D52" s="81"/>
      <c r="E52" s="81"/>
      <c r="F52" s="81" t="s">
        <v>433</v>
      </c>
      <c r="I52" s="80"/>
    </row>
    <row r="53" spans="2:9">
      <c r="B53" s="78" t="s">
        <v>434</v>
      </c>
      <c r="C53" s="81"/>
      <c r="D53" s="81"/>
      <c r="E53" s="81"/>
      <c r="F53" s="81" t="s">
        <v>435</v>
      </c>
      <c r="I53" s="80"/>
    </row>
    <row r="54" spans="2:9">
      <c r="B54" s="78"/>
      <c r="C54" s="81"/>
      <c r="D54" s="81"/>
      <c r="E54" s="81" t="s">
        <v>436</v>
      </c>
      <c r="F54" s="81"/>
      <c r="I54" s="80"/>
    </row>
    <row r="55" spans="2:9">
      <c r="B55" s="78" t="s">
        <v>437</v>
      </c>
      <c r="C55" s="81"/>
      <c r="D55" s="81"/>
      <c r="E55" s="81"/>
      <c r="F55" s="81" t="s">
        <v>438</v>
      </c>
      <c r="I55" s="80"/>
    </row>
    <row r="56" spans="2:9">
      <c r="B56" s="78" t="s">
        <v>439</v>
      </c>
      <c r="C56" s="81"/>
      <c r="D56" s="81"/>
      <c r="E56" s="81"/>
      <c r="F56" s="81" t="s">
        <v>440</v>
      </c>
      <c r="I56" s="80"/>
    </row>
    <row r="57" spans="2:9">
      <c r="B57" s="78" t="s">
        <v>441</v>
      </c>
      <c r="C57" s="81"/>
      <c r="D57" s="81"/>
      <c r="E57" s="81"/>
      <c r="F57" s="81" t="s">
        <v>442</v>
      </c>
      <c r="I57" s="80"/>
    </row>
    <row r="58" spans="2:9">
      <c r="B58" s="78" t="s">
        <v>443</v>
      </c>
      <c r="C58" s="81"/>
      <c r="D58" s="81"/>
      <c r="E58" s="81"/>
      <c r="F58" s="81" t="s">
        <v>444</v>
      </c>
      <c r="I58" s="80"/>
    </row>
    <row r="59" spans="2:9">
      <c r="B59" s="78"/>
      <c r="C59" s="81"/>
      <c r="D59" s="81"/>
      <c r="E59" s="81" t="s">
        <v>445</v>
      </c>
      <c r="F59" s="81"/>
      <c r="I59" s="80"/>
    </row>
    <row r="60" spans="2:9">
      <c r="B60" s="78" t="s">
        <v>446</v>
      </c>
      <c r="C60" s="81"/>
      <c r="D60" s="81"/>
      <c r="E60" s="81"/>
      <c r="F60" s="81" t="s">
        <v>445</v>
      </c>
      <c r="I60" s="80"/>
    </row>
    <row r="61" spans="2:9">
      <c r="B61" s="78"/>
      <c r="C61" s="81"/>
      <c r="D61" s="81" t="s">
        <v>447</v>
      </c>
      <c r="E61" s="81"/>
      <c r="F61" s="81"/>
      <c r="I61" s="80"/>
    </row>
    <row r="62" spans="2:9">
      <c r="B62" s="78"/>
      <c r="C62" s="81"/>
      <c r="D62" s="81"/>
      <c r="E62" s="81" t="s">
        <v>448</v>
      </c>
      <c r="F62" s="81"/>
      <c r="I62" s="80"/>
    </row>
    <row r="63" spans="2:9">
      <c r="B63" s="78" t="s">
        <v>449</v>
      </c>
      <c r="C63" s="81"/>
      <c r="D63" s="81"/>
      <c r="E63" s="81"/>
      <c r="F63" s="81" t="s">
        <v>401</v>
      </c>
      <c r="I63" s="80"/>
    </row>
    <row r="64" spans="2:9">
      <c r="B64" s="78" t="s">
        <v>450</v>
      </c>
      <c r="C64" s="81"/>
      <c r="D64" s="81"/>
      <c r="E64" s="81"/>
      <c r="F64" s="81" t="s">
        <v>403</v>
      </c>
      <c r="I64" s="80"/>
    </row>
    <row r="65" spans="2:9">
      <c r="B65" s="78"/>
      <c r="C65" s="81"/>
      <c r="D65" s="81"/>
      <c r="E65" s="81" t="s">
        <v>451</v>
      </c>
      <c r="F65" s="81"/>
      <c r="I65" s="80"/>
    </row>
    <row r="66" spans="2:9">
      <c r="B66" s="78" t="s">
        <v>452</v>
      </c>
      <c r="C66" s="81"/>
      <c r="D66" s="81"/>
      <c r="E66" s="81"/>
      <c r="F66" s="81" t="s">
        <v>451</v>
      </c>
      <c r="I66" s="80"/>
    </row>
    <row r="67" spans="2:9">
      <c r="B67" s="78"/>
      <c r="C67" s="81"/>
      <c r="D67" s="81"/>
      <c r="E67" s="81" t="s">
        <v>453</v>
      </c>
      <c r="F67" s="81"/>
      <c r="I67" s="80"/>
    </row>
    <row r="68" spans="2:9">
      <c r="B68" s="78" t="s">
        <v>454</v>
      </c>
      <c r="C68" s="81"/>
      <c r="D68" s="81"/>
      <c r="E68" s="81"/>
      <c r="F68" s="81" t="s">
        <v>453</v>
      </c>
      <c r="I68" s="80"/>
    </row>
    <row r="69" spans="2:9">
      <c r="B69" s="78"/>
      <c r="C69" s="81"/>
      <c r="D69" s="81"/>
      <c r="E69" s="81" t="s">
        <v>455</v>
      </c>
      <c r="F69" s="81"/>
      <c r="I69" s="80"/>
    </row>
    <row r="70" spans="2:9">
      <c r="B70" s="78" t="s">
        <v>456</v>
      </c>
      <c r="C70" s="81"/>
      <c r="D70" s="81"/>
      <c r="E70" s="81"/>
      <c r="F70" s="81" t="s">
        <v>457</v>
      </c>
      <c r="I70" s="80"/>
    </row>
    <row r="71" spans="2:9">
      <c r="B71" s="78" t="s">
        <v>458</v>
      </c>
      <c r="C71" s="81"/>
      <c r="D71" s="81"/>
      <c r="E71" s="81"/>
      <c r="F71" s="81" t="s">
        <v>459</v>
      </c>
      <c r="I71" s="80"/>
    </row>
    <row r="72" spans="2:9">
      <c r="B72" s="78"/>
      <c r="C72" s="81"/>
      <c r="D72" s="81"/>
      <c r="E72" s="81" t="s">
        <v>460</v>
      </c>
      <c r="F72" s="81"/>
      <c r="I72" s="80"/>
    </row>
    <row r="73" spans="2:9">
      <c r="B73" s="78" t="s">
        <v>461</v>
      </c>
      <c r="C73" s="81"/>
      <c r="D73" s="81"/>
      <c r="E73" s="81"/>
      <c r="F73" s="81" t="s">
        <v>462</v>
      </c>
      <c r="I73" s="80"/>
    </row>
    <row r="74" spans="2:9">
      <c r="B74" s="78" t="s">
        <v>463</v>
      </c>
      <c r="C74" s="81"/>
      <c r="D74" s="81"/>
      <c r="E74" s="81"/>
      <c r="F74" s="81" t="s">
        <v>464</v>
      </c>
      <c r="I74" s="80"/>
    </row>
    <row r="75" spans="2:9">
      <c r="B75" s="78" t="s">
        <v>465</v>
      </c>
      <c r="C75" s="81"/>
      <c r="D75" s="81"/>
      <c r="E75" s="81"/>
      <c r="F75" s="81" t="s">
        <v>466</v>
      </c>
      <c r="I75" s="80"/>
    </row>
    <row r="76" spans="2:9">
      <c r="B76" s="78" t="s">
        <v>467</v>
      </c>
      <c r="C76" s="81"/>
      <c r="D76" s="81"/>
      <c r="E76" s="81"/>
      <c r="F76" s="81" t="s">
        <v>468</v>
      </c>
      <c r="I76" s="80"/>
    </row>
    <row r="77" spans="2:9">
      <c r="B77" s="78"/>
      <c r="C77" s="81"/>
      <c r="D77" s="81"/>
      <c r="E77" s="81" t="s">
        <v>469</v>
      </c>
      <c r="F77" s="81"/>
      <c r="I77" s="80"/>
    </row>
    <row r="78" spans="2:9">
      <c r="B78" s="78" t="s">
        <v>470</v>
      </c>
      <c r="C78" s="81"/>
      <c r="D78" s="81"/>
      <c r="E78" s="81"/>
      <c r="F78" s="81" t="s">
        <v>469</v>
      </c>
      <c r="I78" s="80"/>
    </row>
    <row r="79" spans="2:9">
      <c r="B79" s="78"/>
      <c r="C79" s="81" t="s">
        <v>471</v>
      </c>
      <c r="D79" s="81"/>
      <c r="E79" s="81"/>
      <c r="F79" s="81"/>
      <c r="I79" s="80"/>
    </row>
    <row r="80" spans="2:9">
      <c r="B80" s="78"/>
      <c r="C80" s="81"/>
      <c r="D80" s="81" t="s">
        <v>472</v>
      </c>
      <c r="E80" s="81"/>
      <c r="F80" s="81"/>
      <c r="I80" s="80"/>
    </row>
    <row r="81" spans="2:9">
      <c r="B81" s="78"/>
      <c r="C81" s="81"/>
      <c r="D81" s="81"/>
      <c r="E81" s="81" t="s">
        <v>473</v>
      </c>
      <c r="F81" s="81"/>
      <c r="I81" s="80"/>
    </row>
    <row r="82" spans="2:9">
      <c r="B82" s="78" t="s">
        <v>474</v>
      </c>
      <c r="C82" s="81"/>
      <c r="D82" s="81"/>
      <c r="E82" s="81"/>
      <c r="F82" s="81" t="s">
        <v>401</v>
      </c>
      <c r="I82" s="80"/>
    </row>
    <row r="83" spans="2:9">
      <c r="B83" s="78" t="s">
        <v>475</v>
      </c>
      <c r="C83" s="81"/>
      <c r="D83" s="81"/>
      <c r="E83" s="81"/>
      <c r="F83" s="81" t="s">
        <v>403</v>
      </c>
      <c r="I83" s="80"/>
    </row>
    <row r="84" spans="2:9">
      <c r="B84" s="78"/>
      <c r="C84" s="81"/>
      <c r="D84" s="81"/>
      <c r="E84" s="81" t="s">
        <v>476</v>
      </c>
      <c r="F84" s="81"/>
      <c r="I84" s="80"/>
    </row>
    <row r="85" spans="2:9">
      <c r="B85" s="78" t="s">
        <v>477</v>
      </c>
      <c r="C85" s="81"/>
      <c r="D85" s="81"/>
      <c r="E85" s="81"/>
      <c r="F85" s="81" t="s">
        <v>478</v>
      </c>
      <c r="I85" s="80"/>
    </row>
    <row r="86" spans="2:9">
      <c r="B86" s="78" t="s">
        <v>479</v>
      </c>
      <c r="C86" s="81"/>
      <c r="D86" s="81"/>
      <c r="E86" s="81"/>
      <c r="F86" s="81" t="s">
        <v>480</v>
      </c>
      <c r="I86" s="80"/>
    </row>
    <row r="87" spans="2:9">
      <c r="B87" s="78" t="s">
        <v>481</v>
      </c>
      <c r="C87" s="81"/>
      <c r="D87" s="81"/>
      <c r="E87" s="81"/>
      <c r="F87" s="81" t="s">
        <v>482</v>
      </c>
      <c r="I87" s="80"/>
    </row>
    <row r="88" spans="2:9">
      <c r="B88" s="78" t="s">
        <v>483</v>
      </c>
      <c r="C88" s="81"/>
      <c r="D88" s="81"/>
      <c r="E88" s="81"/>
      <c r="F88" s="81" t="s">
        <v>484</v>
      </c>
      <c r="I88" s="80"/>
    </row>
    <row r="89" spans="2:9">
      <c r="B89" s="78" t="s">
        <v>485</v>
      </c>
      <c r="C89" s="81"/>
      <c r="D89" s="81"/>
      <c r="E89" s="81"/>
      <c r="F89" s="81" t="s">
        <v>486</v>
      </c>
      <c r="I89" s="80"/>
    </row>
    <row r="90" spans="2:9">
      <c r="B90" s="78" t="s">
        <v>487</v>
      </c>
      <c r="C90" s="81"/>
      <c r="D90" s="81"/>
      <c r="E90" s="81"/>
      <c r="F90" s="81" t="s">
        <v>488</v>
      </c>
      <c r="I90" s="80"/>
    </row>
    <row r="91" spans="2:9">
      <c r="B91" s="78" t="s">
        <v>489</v>
      </c>
      <c r="C91" s="81"/>
      <c r="D91" s="81"/>
      <c r="E91" s="81"/>
      <c r="F91" s="81" t="s">
        <v>490</v>
      </c>
      <c r="I91" s="80"/>
    </row>
    <row r="92" spans="2:9">
      <c r="B92" s="78" t="s">
        <v>491</v>
      </c>
      <c r="C92" s="81"/>
      <c r="D92" s="81"/>
      <c r="E92" s="81"/>
      <c r="F92" s="81" t="s">
        <v>492</v>
      </c>
      <c r="I92" s="80"/>
    </row>
    <row r="93" spans="2:9">
      <c r="B93" s="78" t="s">
        <v>493</v>
      </c>
      <c r="C93" s="81"/>
      <c r="D93" s="81"/>
      <c r="E93" s="81"/>
      <c r="F93" s="81" t="s">
        <v>494</v>
      </c>
      <c r="I93" s="80"/>
    </row>
    <row r="94" spans="2:9">
      <c r="B94" s="78"/>
      <c r="C94" s="81"/>
      <c r="D94" s="81"/>
      <c r="E94" s="81" t="s">
        <v>495</v>
      </c>
      <c r="F94" s="81"/>
      <c r="I94" s="80"/>
    </row>
    <row r="95" spans="2:9">
      <c r="B95" s="78" t="s">
        <v>496</v>
      </c>
      <c r="C95" s="81"/>
      <c r="D95" s="81"/>
      <c r="E95" s="81"/>
      <c r="F95" s="81" t="s">
        <v>495</v>
      </c>
      <c r="I95" s="80"/>
    </row>
    <row r="96" spans="2:9">
      <c r="B96" s="78"/>
      <c r="C96" s="81"/>
      <c r="D96" s="81" t="s">
        <v>497</v>
      </c>
      <c r="E96" s="81"/>
      <c r="F96" s="81"/>
      <c r="I96" s="80"/>
    </row>
    <row r="97" spans="2:9">
      <c r="B97" s="78"/>
      <c r="C97" s="81"/>
      <c r="D97" s="81"/>
      <c r="E97" s="81" t="s">
        <v>498</v>
      </c>
      <c r="F97" s="81"/>
      <c r="I97" s="80"/>
    </row>
    <row r="98" spans="2:9">
      <c r="B98" s="78" t="s">
        <v>499</v>
      </c>
      <c r="C98" s="81"/>
      <c r="D98" s="81"/>
      <c r="E98" s="81"/>
      <c r="F98" s="81" t="s">
        <v>401</v>
      </c>
      <c r="I98" s="80"/>
    </row>
    <row r="99" spans="2:9">
      <c r="B99" s="78" t="s">
        <v>500</v>
      </c>
      <c r="C99" s="81"/>
      <c r="D99" s="81"/>
      <c r="E99" s="81"/>
      <c r="F99" s="81" t="s">
        <v>403</v>
      </c>
      <c r="I99" s="80"/>
    </row>
    <row r="100" spans="2:9">
      <c r="B100" s="78"/>
      <c r="C100" s="81"/>
      <c r="D100" s="81"/>
      <c r="E100" s="81" t="s">
        <v>501</v>
      </c>
      <c r="F100" s="81"/>
      <c r="I100" s="80"/>
    </row>
    <row r="101" spans="2:9">
      <c r="B101" s="78" t="s">
        <v>502</v>
      </c>
      <c r="C101" s="81"/>
      <c r="D101" s="81"/>
      <c r="E101" s="81"/>
      <c r="F101" s="81" t="s">
        <v>503</v>
      </c>
      <c r="I101" s="80"/>
    </row>
    <row r="102" spans="2:9">
      <c r="B102" s="78" t="s">
        <v>504</v>
      </c>
      <c r="C102" s="81"/>
      <c r="D102" s="81"/>
      <c r="E102" s="81"/>
      <c r="F102" s="81" t="s">
        <v>505</v>
      </c>
      <c r="I102" s="80"/>
    </row>
    <row r="103" spans="2:9">
      <c r="B103" s="78" t="s">
        <v>506</v>
      </c>
      <c r="C103" s="81"/>
      <c r="D103" s="81"/>
      <c r="E103" s="81"/>
      <c r="F103" s="81" t="s">
        <v>507</v>
      </c>
      <c r="I103" s="80"/>
    </row>
    <row r="104" spans="2:9">
      <c r="B104" s="78" t="s">
        <v>508</v>
      </c>
      <c r="C104" s="81"/>
      <c r="D104" s="81"/>
      <c r="E104" s="81"/>
      <c r="F104" s="81" t="s">
        <v>509</v>
      </c>
      <c r="I104" s="80"/>
    </row>
    <row r="105" spans="2:9">
      <c r="B105" s="78" t="s">
        <v>510</v>
      </c>
      <c r="C105" s="81"/>
      <c r="D105" s="81"/>
      <c r="E105" s="81"/>
      <c r="F105" s="81" t="s">
        <v>511</v>
      </c>
      <c r="I105" s="80"/>
    </row>
    <row r="106" spans="2:9">
      <c r="B106" s="78" t="s">
        <v>512</v>
      </c>
      <c r="C106" s="81"/>
      <c r="D106" s="81"/>
      <c r="E106" s="81"/>
      <c r="F106" s="81" t="s">
        <v>513</v>
      </c>
      <c r="I106" s="80"/>
    </row>
    <row r="107" spans="2:9">
      <c r="B107" s="78"/>
      <c r="C107" s="81"/>
      <c r="D107" s="81"/>
      <c r="E107" s="81" t="s">
        <v>514</v>
      </c>
      <c r="F107" s="81"/>
      <c r="I107" s="80"/>
    </row>
    <row r="108" spans="2:9">
      <c r="B108" s="78" t="s">
        <v>515</v>
      </c>
      <c r="C108" s="81"/>
      <c r="D108" s="81"/>
      <c r="E108" s="81"/>
      <c r="F108" s="81" t="s">
        <v>514</v>
      </c>
      <c r="I108" s="80"/>
    </row>
    <row r="109" spans="2:9">
      <c r="B109" s="78"/>
      <c r="C109" s="81" t="s">
        <v>516</v>
      </c>
      <c r="D109" s="81"/>
      <c r="E109" s="81"/>
      <c r="F109" s="81"/>
      <c r="I109" s="80"/>
    </row>
    <row r="110" spans="2:9">
      <c r="B110" s="78"/>
      <c r="C110" s="81"/>
      <c r="D110" s="81" t="s">
        <v>516</v>
      </c>
      <c r="E110" s="81"/>
      <c r="F110" s="81"/>
      <c r="I110" s="80"/>
    </row>
    <row r="111" spans="2:9">
      <c r="B111" s="78"/>
      <c r="C111" s="81"/>
      <c r="D111" s="81"/>
      <c r="E111" s="81" t="s">
        <v>517</v>
      </c>
      <c r="F111" s="81"/>
      <c r="I111" s="80"/>
    </row>
    <row r="112" spans="2:9">
      <c r="B112" s="78" t="s">
        <v>518</v>
      </c>
      <c r="C112" s="81"/>
      <c r="D112" s="81"/>
      <c r="E112" s="81"/>
      <c r="F112" s="81" t="s">
        <v>401</v>
      </c>
      <c r="I112" s="80"/>
    </row>
    <row r="113" spans="2:9">
      <c r="B113" s="78" t="s">
        <v>519</v>
      </c>
      <c r="C113" s="81"/>
      <c r="D113" s="81"/>
      <c r="E113" s="81"/>
      <c r="F113" s="81" t="s">
        <v>403</v>
      </c>
      <c r="I113" s="80"/>
    </row>
    <row r="114" spans="2:9">
      <c r="B114" s="78"/>
      <c r="C114" s="81"/>
      <c r="D114" s="81"/>
      <c r="E114" s="81" t="s">
        <v>520</v>
      </c>
      <c r="F114" s="81"/>
      <c r="I114" s="80"/>
    </row>
    <row r="115" spans="2:9">
      <c r="B115" s="78" t="s">
        <v>521</v>
      </c>
      <c r="C115" s="81"/>
      <c r="D115" s="81"/>
      <c r="E115" s="81"/>
      <c r="F115" s="81" t="s">
        <v>522</v>
      </c>
      <c r="I115" s="80"/>
    </row>
    <row r="116" spans="2:9">
      <c r="B116" s="78" t="s">
        <v>523</v>
      </c>
      <c r="C116" s="81"/>
      <c r="D116" s="81"/>
      <c r="E116" s="81"/>
      <c r="F116" s="81" t="s">
        <v>524</v>
      </c>
      <c r="I116" s="80"/>
    </row>
    <row r="117" spans="2:9">
      <c r="B117" s="78" t="s">
        <v>525</v>
      </c>
      <c r="C117" s="81"/>
      <c r="D117" s="81"/>
      <c r="E117" s="81"/>
      <c r="F117" s="81" t="s">
        <v>526</v>
      </c>
      <c r="I117" s="80"/>
    </row>
    <row r="118" spans="2:9">
      <c r="B118" s="78" t="s">
        <v>527</v>
      </c>
      <c r="C118" s="81"/>
      <c r="D118" s="81"/>
      <c r="E118" s="81"/>
      <c r="F118" s="81" t="s">
        <v>528</v>
      </c>
      <c r="I118" s="80"/>
    </row>
    <row r="119" spans="2:9">
      <c r="B119" s="78"/>
      <c r="C119" s="81"/>
      <c r="D119" s="81"/>
      <c r="E119" s="81" t="s">
        <v>529</v>
      </c>
      <c r="F119" s="81"/>
      <c r="I119" s="80"/>
    </row>
    <row r="120" spans="2:9">
      <c r="B120" s="78" t="s">
        <v>530</v>
      </c>
      <c r="C120" s="81"/>
      <c r="D120" s="81"/>
      <c r="E120" s="81"/>
      <c r="F120" s="81" t="s">
        <v>531</v>
      </c>
      <c r="I120" s="80"/>
    </row>
    <row r="121" spans="2:9">
      <c r="B121" s="78" t="s">
        <v>532</v>
      </c>
      <c r="C121" s="81"/>
      <c r="D121" s="81"/>
      <c r="E121" s="81"/>
      <c r="F121" s="81" t="s">
        <v>533</v>
      </c>
      <c r="I121" s="80"/>
    </row>
    <row r="122" spans="2:9">
      <c r="B122" s="78"/>
      <c r="C122" s="81"/>
      <c r="D122" s="81"/>
      <c r="E122" s="81" t="s">
        <v>534</v>
      </c>
      <c r="F122" s="81"/>
      <c r="I122" s="80"/>
    </row>
    <row r="123" spans="2:9">
      <c r="B123" s="78" t="s">
        <v>535</v>
      </c>
      <c r="C123" s="81"/>
      <c r="D123" s="81"/>
      <c r="E123" s="81"/>
      <c r="F123" s="81" t="s">
        <v>536</v>
      </c>
      <c r="I123" s="80"/>
    </row>
    <row r="124" spans="2:9">
      <c r="B124" s="78" t="s">
        <v>537</v>
      </c>
      <c r="C124" s="81"/>
      <c r="D124" s="81"/>
      <c r="E124" s="81"/>
      <c r="F124" s="81" t="s">
        <v>538</v>
      </c>
      <c r="I124" s="80"/>
    </row>
    <row r="125" spans="2:9">
      <c r="B125" s="78"/>
      <c r="C125" s="81"/>
      <c r="D125" s="81"/>
      <c r="E125" s="81" t="s">
        <v>539</v>
      </c>
      <c r="F125" s="81"/>
      <c r="I125" s="80"/>
    </row>
    <row r="126" spans="2:9">
      <c r="B126" s="78" t="s">
        <v>540</v>
      </c>
      <c r="C126" s="81"/>
      <c r="D126" s="81"/>
      <c r="E126" s="81"/>
      <c r="F126" s="81" t="s">
        <v>541</v>
      </c>
      <c r="I126" s="80"/>
    </row>
    <row r="127" spans="2:9">
      <c r="B127" s="78" t="s">
        <v>542</v>
      </c>
      <c r="C127" s="81"/>
      <c r="D127" s="81"/>
      <c r="E127" s="81"/>
      <c r="F127" s="81" t="s">
        <v>543</v>
      </c>
      <c r="I127" s="80"/>
    </row>
    <row r="128" spans="2:9">
      <c r="B128" s="78" t="s">
        <v>544</v>
      </c>
      <c r="C128" s="81"/>
      <c r="D128" s="81"/>
      <c r="E128" s="81"/>
      <c r="F128" s="81" t="s">
        <v>545</v>
      </c>
      <c r="I128" s="80"/>
    </row>
    <row r="129" spans="2:9">
      <c r="B129" s="78" t="s">
        <v>546</v>
      </c>
      <c r="C129" s="81"/>
      <c r="D129" s="81"/>
      <c r="E129" s="81"/>
      <c r="F129" s="81" t="s">
        <v>547</v>
      </c>
      <c r="I129" s="80"/>
    </row>
    <row r="130" spans="2:9">
      <c r="B130" s="78" t="s">
        <v>548</v>
      </c>
      <c r="C130" s="81"/>
      <c r="D130" s="81"/>
      <c r="E130" s="81"/>
      <c r="F130" s="81" t="s">
        <v>549</v>
      </c>
      <c r="I130" s="80"/>
    </row>
    <row r="131" spans="2:9">
      <c r="B131" s="78" t="s">
        <v>550</v>
      </c>
      <c r="C131" s="81"/>
      <c r="D131" s="81"/>
      <c r="E131" s="81"/>
      <c r="F131" s="81" t="s">
        <v>551</v>
      </c>
      <c r="I131" s="80"/>
    </row>
    <row r="132" spans="2:9">
      <c r="B132" s="78" t="s">
        <v>552</v>
      </c>
      <c r="C132" s="81"/>
      <c r="D132" s="81"/>
      <c r="E132" s="81"/>
      <c r="F132" s="81" t="s">
        <v>553</v>
      </c>
      <c r="I132" s="80"/>
    </row>
    <row r="133" spans="2:9">
      <c r="B133" s="78" t="s">
        <v>554</v>
      </c>
      <c r="C133" s="81"/>
      <c r="D133" s="81"/>
      <c r="E133" s="81"/>
      <c r="F133" s="81" t="s">
        <v>555</v>
      </c>
      <c r="I133" s="80"/>
    </row>
    <row r="134" spans="2:9">
      <c r="B134" s="78" t="s">
        <v>556</v>
      </c>
      <c r="C134" s="81"/>
      <c r="D134" s="81"/>
      <c r="E134" s="81"/>
      <c r="F134" s="81" t="s">
        <v>557</v>
      </c>
      <c r="I134" s="80"/>
    </row>
    <row r="135" spans="2:9">
      <c r="B135" s="78"/>
      <c r="C135" s="81"/>
      <c r="D135" s="81"/>
      <c r="E135" s="81" t="s">
        <v>558</v>
      </c>
      <c r="F135" s="81"/>
      <c r="I135" s="80"/>
    </row>
    <row r="136" spans="2:9">
      <c r="B136" s="78" t="s">
        <v>559</v>
      </c>
      <c r="C136" s="81"/>
      <c r="D136" s="81"/>
      <c r="E136" s="81"/>
      <c r="F136" s="81" t="s">
        <v>560</v>
      </c>
      <c r="I136" s="80"/>
    </row>
    <row r="137" spans="2:9">
      <c r="B137" s="78" t="s">
        <v>561</v>
      </c>
      <c r="C137" s="81"/>
      <c r="D137" s="81"/>
      <c r="E137" s="81"/>
      <c r="F137" s="81" t="s">
        <v>562</v>
      </c>
      <c r="I137" s="80"/>
    </row>
    <row r="138" spans="2:9">
      <c r="B138" s="78" t="s">
        <v>563</v>
      </c>
      <c r="C138" s="81"/>
      <c r="D138" s="81"/>
      <c r="E138" s="81"/>
      <c r="F138" s="81" t="s">
        <v>564</v>
      </c>
      <c r="I138" s="80"/>
    </row>
    <row r="139" spans="2:9">
      <c r="B139" s="78" t="s">
        <v>565</v>
      </c>
      <c r="C139" s="81"/>
      <c r="D139" s="81"/>
      <c r="E139" s="81"/>
      <c r="F139" s="81" t="s">
        <v>566</v>
      </c>
      <c r="I139" s="80"/>
    </row>
    <row r="140" spans="2:9">
      <c r="B140" s="78" t="s">
        <v>567</v>
      </c>
      <c r="C140" s="81"/>
      <c r="D140" s="81"/>
      <c r="E140" s="81"/>
      <c r="F140" s="81" t="s">
        <v>568</v>
      </c>
      <c r="I140" s="80"/>
    </row>
    <row r="141" spans="2:9">
      <c r="B141" s="78" t="s">
        <v>569</v>
      </c>
      <c r="C141" s="81"/>
      <c r="D141" s="81"/>
      <c r="E141" s="81"/>
      <c r="F141" s="81" t="s">
        <v>570</v>
      </c>
      <c r="I141" s="80"/>
    </row>
    <row r="142" spans="2:9">
      <c r="B142" s="78" t="s">
        <v>571</v>
      </c>
      <c r="C142" s="81"/>
      <c r="D142" s="81"/>
      <c r="E142" s="81"/>
      <c r="F142" s="81" t="s">
        <v>572</v>
      </c>
      <c r="I142" s="80"/>
    </row>
    <row r="143" spans="2:9">
      <c r="B143" s="78" t="s">
        <v>573</v>
      </c>
      <c r="C143" s="81"/>
      <c r="D143" s="81"/>
      <c r="E143" s="81"/>
      <c r="F143" s="81" t="s">
        <v>574</v>
      </c>
      <c r="I143" s="80"/>
    </row>
    <row r="144" spans="2:9">
      <c r="B144" s="78"/>
      <c r="C144" s="81"/>
      <c r="D144" s="81"/>
      <c r="E144" s="81" t="s">
        <v>575</v>
      </c>
      <c r="F144" s="81"/>
      <c r="I144" s="80"/>
    </row>
    <row r="145" spans="2:9">
      <c r="B145" s="78" t="s">
        <v>576</v>
      </c>
      <c r="C145" s="81"/>
      <c r="D145" s="81"/>
      <c r="E145" s="81"/>
      <c r="F145" s="81" t="s">
        <v>577</v>
      </c>
      <c r="I145" s="80"/>
    </row>
    <row r="146" spans="2:9">
      <c r="B146" s="78" t="s">
        <v>578</v>
      </c>
      <c r="C146" s="81"/>
      <c r="D146" s="81"/>
      <c r="E146" s="81"/>
      <c r="F146" s="81" t="s">
        <v>579</v>
      </c>
      <c r="I146" s="80"/>
    </row>
    <row r="147" spans="2:9">
      <c r="B147" s="78" t="s">
        <v>580</v>
      </c>
      <c r="C147" s="81"/>
      <c r="D147" s="81"/>
      <c r="E147" s="81"/>
      <c r="F147" s="81" t="s">
        <v>581</v>
      </c>
      <c r="I147" s="80"/>
    </row>
    <row r="148" spans="2:9">
      <c r="B148" s="78" t="s">
        <v>582</v>
      </c>
      <c r="C148" s="81"/>
      <c r="D148" s="81"/>
      <c r="E148" s="81"/>
      <c r="F148" s="81" t="s">
        <v>583</v>
      </c>
      <c r="I148" s="80"/>
    </row>
    <row r="149" spans="2:9">
      <c r="B149" s="78" t="s">
        <v>584</v>
      </c>
      <c r="C149" s="81"/>
      <c r="D149" s="81"/>
      <c r="E149" s="81"/>
      <c r="F149" s="81" t="s">
        <v>585</v>
      </c>
      <c r="I149" s="80"/>
    </row>
    <row r="150" spans="2:9">
      <c r="B150" s="78"/>
      <c r="C150" s="81" t="s">
        <v>586</v>
      </c>
      <c r="D150" s="81"/>
      <c r="E150" s="81"/>
      <c r="F150" s="81"/>
      <c r="I150" s="80"/>
    </row>
    <row r="151" spans="2:9">
      <c r="B151" s="78"/>
      <c r="C151" s="81"/>
      <c r="D151" s="81" t="s">
        <v>587</v>
      </c>
      <c r="E151" s="81"/>
      <c r="F151" s="81"/>
      <c r="I151" s="80"/>
    </row>
    <row r="152" spans="2:9">
      <c r="B152" s="78"/>
      <c r="C152" s="81"/>
      <c r="D152" s="81"/>
      <c r="E152" s="81" t="s">
        <v>588</v>
      </c>
      <c r="F152" s="81"/>
      <c r="I152" s="80"/>
    </row>
    <row r="153" spans="2:9">
      <c r="B153" s="78" t="s">
        <v>589</v>
      </c>
      <c r="C153" s="81"/>
      <c r="D153" s="81"/>
      <c r="E153" s="81"/>
      <c r="F153" s="81" t="s">
        <v>401</v>
      </c>
      <c r="I153" s="80"/>
    </row>
    <row r="154" spans="2:9">
      <c r="B154" s="78" t="s">
        <v>590</v>
      </c>
      <c r="C154" s="81"/>
      <c r="D154" s="81"/>
      <c r="E154" s="81"/>
      <c r="F154" s="81" t="s">
        <v>403</v>
      </c>
      <c r="I154" s="80"/>
    </row>
    <row r="155" spans="2:9">
      <c r="B155" s="78"/>
      <c r="C155" s="81"/>
      <c r="D155" s="81"/>
      <c r="E155" s="81" t="s">
        <v>591</v>
      </c>
      <c r="F155" s="81"/>
      <c r="I155" s="80"/>
    </row>
    <row r="156" spans="2:9">
      <c r="B156" s="78" t="s">
        <v>592</v>
      </c>
      <c r="C156" s="81"/>
      <c r="D156" s="81"/>
      <c r="E156" s="81"/>
      <c r="F156" s="81" t="s">
        <v>591</v>
      </c>
      <c r="I156" s="80"/>
    </row>
    <row r="157" spans="2:9">
      <c r="B157" s="78"/>
      <c r="C157" s="81"/>
      <c r="D157" s="81"/>
      <c r="E157" s="81" t="s">
        <v>593</v>
      </c>
      <c r="F157" s="81"/>
      <c r="I157" s="80"/>
    </row>
    <row r="158" spans="2:9">
      <c r="B158" s="78" t="s">
        <v>594</v>
      </c>
      <c r="C158" s="81"/>
      <c r="D158" s="81"/>
      <c r="E158" s="81"/>
      <c r="F158" s="81" t="s">
        <v>595</v>
      </c>
      <c r="I158" s="80"/>
    </row>
    <row r="159" spans="2:9">
      <c r="B159" s="78" t="s">
        <v>596</v>
      </c>
      <c r="C159" s="81"/>
      <c r="D159" s="81"/>
      <c r="E159" s="81"/>
      <c r="F159" s="81" t="s">
        <v>597</v>
      </c>
      <c r="I159" s="80"/>
    </row>
    <row r="160" spans="2:9">
      <c r="B160" s="78" t="s">
        <v>598</v>
      </c>
      <c r="C160" s="81"/>
      <c r="D160" s="81"/>
      <c r="E160" s="81"/>
      <c r="F160" s="81" t="s">
        <v>599</v>
      </c>
      <c r="I160" s="80"/>
    </row>
    <row r="161" spans="2:9">
      <c r="B161" s="78"/>
      <c r="C161" s="81"/>
      <c r="D161" s="81"/>
      <c r="E161" s="81" t="s">
        <v>600</v>
      </c>
      <c r="F161" s="81"/>
      <c r="I161" s="80"/>
    </row>
    <row r="162" spans="2:9">
      <c r="B162" s="78" t="s">
        <v>601</v>
      </c>
      <c r="C162" s="81"/>
      <c r="D162" s="81"/>
      <c r="E162" s="81"/>
      <c r="F162" s="81" t="s">
        <v>600</v>
      </c>
      <c r="I162" s="80"/>
    </row>
    <row r="163" spans="2:9">
      <c r="B163" s="78"/>
      <c r="C163" s="81"/>
      <c r="D163" s="81"/>
      <c r="E163" s="81" t="s">
        <v>602</v>
      </c>
      <c r="F163" s="81"/>
      <c r="I163" s="80"/>
    </row>
    <row r="164" spans="2:9">
      <c r="B164" s="78" t="s">
        <v>603</v>
      </c>
      <c r="C164" s="81"/>
      <c r="D164" s="81"/>
      <c r="E164" s="81"/>
      <c r="F164" s="81" t="s">
        <v>602</v>
      </c>
      <c r="I164" s="80"/>
    </row>
    <row r="165" spans="2:9">
      <c r="B165" s="78"/>
      <c r="C165" s="81"/>
      <c r="D165" s="81"/>
      <c r="E165" s="81" t="s">
        <v>604</v>
      </c>
      <c r="F165" s="81"/>
      <c r="I165" s="80"/>
    </row>
    <row r="166" spans="2:9">
      <c r="B166" s="78" t="s">
        <v>605</v>
      </c>
      <c r="C166" s="81"/>
      <c r="D166" s="81"/>
      <c r="E166" s="81"/>
      <c r="F166" s="81" t="s">
        <v>604</v>
      </c>
      <c r="I166" s="80"/>
    </row>
    <row r="167" spans="2:9">
      <c r="B167" s="78"/>
      <c r="C167" s="81"/>
      <c r="D167" s="81"/>
      <c r="E167" s="81" t="s">
        <v>606</v>
      </c>
      <c r="F167" s="81"/>
      <c r="I167" s="80"/>
    </row>
    <row r="168" spans="2:9">
      <c r="B168" s="78" t="s">
        <v>607</v>
      </c>
      <c r="C168" s="81"/>
      <c r="D168" s="81"/>
      <c r="E168" s="81"/>
      <c r="F168" s="81" t="s">
        <v>606</v>
      </c>
      <c r="I168" s="80"/>
    </row>
    <row r="169" spans="2:9">
      <c r="B169" s="78"/>
      <c r="C169" s="81"/>
      <c r="D169" s="81" t="s">
        <v>608</v>
      </c>
      <c r="E169" s="81"/>
      <c r="F169" s="81"/>
      <c r="I169" s="80"/>
    </row>
    <row r="170" spans="2:9">
      <c r="B170" s="78"/>
      <c r="C170" s="81"/>
      <c r="D170" s="81"/>
      <c r="E170" s="81" t="s">
        <v>609</v>
      </c>
      <c r="F170" s="81"/>
      <c r="I170" s="80"/>
    </row>
    <row r="171" spans="2:9">
      <c r="B171" s="78" t="s">
        <v>610</v>
      </c>
      <c r="C171" s="81"/>
      <c r="D171" s="81"/>
      <c r="E171" s="81"/>
      <c r="F171" s="81" t="s">
        <v>401</v>
      </c>
      <c r="I171" s="80"/>
    </row>
    <row r="172" spans="2:9">
      <c r="B172" s="78" t="s">
        <v>611</v>
      </c>
      <c r="C172" s="81"/>
      <c r="D172" s="81"/>
      <c r="E172" s="81"/>
      <c r="F172" s="81" t="s">
        <v>403</v>
      </c>
      <c r="I172" s="80"/>
    </row>
    <row r="173" spans="2:9">
      <c r="B173" s="78"/>
      <c r="C173" s="81"/>
      <c r="D173" s="81"/>
      <c r="E173" s="81" t="s">
        <v>612</v>
      </c>
      <c r="F173" s="81"/>
      <c r="I173" s="80"/>
    </row>
    <row r="174" spans="2:9">
      <c r="B174" s="78" t="s">
        <v>613</v>
      </c>
      <c r="C174" s="81"/>
      <c r="D174" s="81"/>
      <c r="E174" s="81"/>
      <c r="F174" s="81" t="s">
        <v>614</v>
      </c>
      <c r="I174" s="80"/>
    </row>
    <row r="175" spans="2:9">
      <c r="B175" s="78" t="s">
        <v>615</v>
      </c>
      <c r="C175" s="81"/>
      <c r="D175" s="81"/>
      <c r="E175" s="81"/>
      <c r="F175" s="81" t="s">
        <v>616</v>
      </c>
      <c r="I175" s="80"/>
    </row>
    <row r="176" spans="2:9">
      <c r="B176" s="78"/>
      <c r="C176" s="81"/>
      <c r="D176" s="81"/>
      <c r="E176" s="81" t="s">
        <v>617</v>
      </c>
      <c r="F176" s="81"/>
      <c r="I176" s="80"/>
    </row>
    <row r="177" spans="2:9">
      <c r="B177" s="78" t="s">
        <v>618</v>
      </c>
      <c r="C177" s="81"/>
      <c r="D177" s="81"/>
      <c r="E177" s="81"/>
      <c r="F177" s="81" t="s">
        <v>619</v>
      </c>
      <c r="I177" s="80"/>
    </row>
    <row r="178" spans="2:9">
      <c r="B178" s="78" t="s">
        <v>620</v>
      </c>
      <c r="C178" s="81"/>
      <c r="D178" s="81"/>
      <c r="E178" s="81"/>
      <c r="F178" s="81" t="s">
        <v>621</v>
      </c>
      <c r="I178" s="80"/>
    </row>
    <row r="179" spans="2:9">
      <c r="B179" s="78" t="s">
        <v>622</v>
      </c>
      <c r="C179" s="81"/>
      <c r="D179" s="81"/>
      <c r="E179" s="81"/>
      <c r="F179" s="81" t="s">
        <v>623</v>
      </c>
      <c r="I179" s="80"/>
    </row>
    <row r="180" spans="2:9">
      <c r="B180" s="78"/>
      <c r="C180" s="81"/>
      <c r="D180" s="81"/>
      <c r="E180" s="81" t="s">
        <v>624</v>
      </c>
      <c r="F180" s="81"/>
      <c r="I180" s="80"/>
    </row>
    <row r="181" spans="2:9">
      <c r="B181" s="78" t="s">
        <v>625</v>
      </c>
      <c r="C181" s="81"/>
      <c r="D181" s="81"/>
      <c r="E181" s="81"/>
      <c r="F181" s="81" t="s">
        <v>626</v>
      </c>
      <c r="I181" s="80"/>
    </row>
    <row r="182" spans="2:9">
      <c r="B182" s="78" t="s">
        <v>627</v>
      </c>
      <c r="C182" s="81"/>
      <c r="D182" s="81"/>
      <c r="E182" s="81"/>
      <c r="F182" s="81" t="s">
        <v>628</v>
      </c>
      <c r="I182" s="80"/>
    </row>
    <row r="183" spans="2:9">
      <c r="B183" s="78"/>
      <c r="C183" s="81"/>
      <c r="D183" s="81"/>
      <c r="E183" s="81" t="s">
        <v>629</v>
      </c>
      <c r="F183" s="81"/>
      <c r="I183" s="80"/>
    </row>
    <row r="184" spans="2:9">
      <c r="B184" s="78" t="s">
        <v>630</v>
      </c>
      <c r="C184" s="81"/>
      <c r="D184" s="81"/>
      <c r="E184" s="81"/>
      <c r="F184" s="81" t="s">
        <v>631</v>
      </c>
      <c r="I184" s="80"/>
    </row>
    <row r="185" spans="2:9">
      <c r="B185" s="78" t="s">
        <v>632</v>
      </c>
      <c r="C185" s="81"/>
      <c r="D185" s="81"/>
      <c r="E185" s="81"/>
      <c r="F185" s="81" t="s">
        <v>633</v>
      </c>
      <c r="I185" s="80"/>
    </row>
    <row r="186" spans="2:9">
      <c r="B186" s="78" t="s">
        <v>634</v>
      </c>
      <c r="C186" s="81"/>
      <c r="D186" s="81"/>
      <c r="E186" s="81"/>
      <c r="F186" s="81" t="s">
        <v>635</v>
      </c>
      <c r="I186" s="80"/>
    </row>
    <row r="187" spans="2:9">
      <c r="B187" s="78" t="s">
        <v>636</v>
      </c>
      <c r="C187" s="81"/>
      <c r="D187" s="81"/>
      <c r="E187" s="81"/>
      <c r="F187" s="81" t="s">
        <v>637</v>
      </c>
      <c r="I187" s="80"/>
    </row>
    <row r="188" spans="2:9">
      <c r="B188" s="78"/>
      <c r="C188" s="81"/>
      <c r="D188" s="81"/>
      <c r="E188" s="81" t="s">
        <v>638</v>
      </c>
      <c r="F188" s="81"/>
      <c r="I188" s="80"/>
    </row>
    <row r="189" spans="2:9">
      <c r="B189" s="78" t="s">
        <v>639</v>
      </c>
      <c r="C189" s="81"/>
      <c r="D189" s="81"/>
      <c r="E189" s="81"/>
      <c r="F189" s="81" t="s">
        <v>638</v>
      </c>
      <c r="I189" s="80"/>
    </row>
    <row r="190" spans="2:9">
      <c r="B190" s="78"/>
      <c r="C190" s="81"/>
      <c r="D190" s="81"/>
      <c r="E190" s="81" t="s">
        <v>640</v>
      </c>
      <c r="F190" s="81"/>
      <c r="I190" s="80"/>
    </row>
    <row r="191" spans="2:9">
      <c r="B191" s="78" t="s">
        <v>641</v>
      </c>
      <c r="C191" s="81"/>
      <c r="D191" s="81"/>
      <c r="E191" s="81"/>
      <c r="F191" s="81" t="s">
        <v>642</v>
      </c>
      <c r="I191" s="80"/>
    </row>
    <row r="192" spans="2:9">
      <c r="B192" s="78" t="s">
        <v>643</v>
      </c>
      <c r="C192" s="81"/>
      <c r="D192" s="81"/>
      <c r="E192" s="81"/>
      <c r="F192" s="81" t="s">
        <v>644</v>
      </c>
      <c r="I192" s="80"/>
    </row>
    <row r="193" spans="2:9">
      <c r="B193" s="78" t="s">
        <v>645</v>
      </c>
      <c r="C193" s="81"/>
      <c r="D193" s="81"/>
      <c r="E193" s="81"/>
      <c r="F193" s="81" t="s">
        <v>646</v>
      </c>
      <c r="I193" s="80"/>
    </row>
    <row r="194" spans="2:9">
      <c r="B194" s="78"/>
      <c r="C194" s="81"/>
      <c r="D194" s="81"/>
      <c r="E194" s="81" t="s">
        <v>647</v>
      </c>
      <c r="F194" s="81"/>
      <c r="I194" s="80"/>
    </row>
    <row r="195" spans="2:9">
      <c r="B195" s="78" t="s">
        <v>648</v>
      </c>
      <c r="C195" s="81"/>
      <c r="D195" s="81"/>
      <c r="E195" s="81"/>
      <c r="F195" s="81" t="s">
        <v>649</v>
      </c>
      <c r="I195" s="80"/>
    </row>
    <row r="196" spans="2:9">
      <c r="B196" s="78" t="s">
        <v>650</v>
      </c>
      <c r="C196" s="81"/>
      <c r="D196" s="81"/>
      <c r="E196" s="81"/>
      <c r="F196" s="81" t="s">
        <v>651</v>
      </c>
      <c r="I196" s="80"/>
    </row>
    <row r="197" spans="2:9">
      <c r="B197" s="78"/>
      <c r="C197" s="81"/>
      <c r="D197" s="81"/>
      <c r="E197" s="81" t="s">
        <v>652</v>
      </c>
      <c r="F197" s="81"/>
      <c r="I197" s="80"/>
    </row>
    <row r="198" spans="2:9">
      <c r="B198" s="78" t="s">
        <v>653</v>
      </c>
      <c r="C198" s="81"/>
      <c r="D198" s="81"/>
      <c r="E198" s="81"/>
      <c r="F198" s="81" t="s">
        <v>654</v>
      </c>
      <c r="I198" s="80"/>
    </row>
    <row r="199" spans="2:9">
      <c r="B199" s="78" t="s">
        <v>655</v>
      </c>
      <c r="C199" s="81"/>
      <c r="D199" s="81"/>
      <c r="E199" s="81"/>
      <c r="F199" s="81" t="s">
        <v>656</v>
      </c>
      <c r="I199" s="80"/>
    </row>
    <row r="200" spans="2:9">
      <c r="B200" s="78"/>
      <c r="C200" s="81"/>
      <c r="D200" s="81"/>
      <c r="E200" s="81" t="s">
        <v>657</v>
      </c>
      <c r="F200" s="81"/>
      <c r="I200" s="80"/>
    </row>
    <row r="201" spans="2:9">
      <c r="B201" s="78" t="s">
        <v>658</v>
      </c>
      <c r="C201" s="81"/>
      <c r="D201" s="81"/>
      <c r="E201" s="81"/>
      <c r="F201" s="81" t="s">
        <v>659</v>
      </c>
      <c r="I201" s="80"/>
    </row>
    <row r="202" spans="2:9">
      <c r="B202" s="78" t="s">
        <v>660</v>
      </c>
      <c r="C202" s="81"/>
      <c r="D202" s="81"/>
      <c r="E202" s="81"/>
      <c r="F202" s="81" t="s">
        <v>661</v>
      </c>
      <c r="I202" s="80"/>
    </row>
    <row r="203" spans="2:9">
      <c r="B203" s="78" t="s">
        <v>662</v>
      </c>
      <c r="C203" s="81"/>
      <c r="D203" s="81"/>
      <c r="E203" s="81"/>
      <c r="F203" s="81" t="s">
        <v>663</v>
      </c>
      <c r="I203" s="80"/>
    </row>
    <row r="204" spans="2:9">
      <c r="B204" s="78" t="s">
        <v>664</v>
      </c>
      <c r="C204" s="81"/>
      <c r="D204" s="81"/>
      <c r="E204" s="81"/>
      <c r="F204" s="81" t="s">
        <v>665</v>
      </c>
      <c r="I204" s="80"/>
    </row>
    <row r="205" spans="2:9">
      <c r="B205" s="78" t="s">
        <v>666</v>
      </c>
      <c r="C205" s="81"/>
      <c r="D205" s="81"/>
      <c r="E205" s="81"/>
      <c r="F205" s="81" t="s">
        <v>667</v>
      </c>
      <c r="I205" s="80"/>
    </row>
    <row r="206" spans="2:9">
      <c r="B206" s="78" t="s">
        <v>668</v>
      </c>
      <c r="C206" s="81"/>
      <c r="D206" s="81"/>
      <c r="E206" s="81"/>
      <c r="F206" s="149" t="s">
        <v>3642</v>
      </c>
      <c r="I206" s="80"/>
    </row>
    <row r="207" spans="2:9">
      <c r="B207" s="78" t="s">
        <v>669</v>
      </c>
      <c r="C207" s="81"/>
      <c r="D207" s="81"/>
      <c r="E207" s="81"/>
      <c r="F207" s="81" t="s">
        <v>670</v>
      </c>
      <c r="I207" s="80"/>
    </row>
    <row r="208" spans="2:9">
      <c r="B208" s="78"/>
      <c r="C208" s="81"/>
      <c r="D208" s="81" t="s">
        <v>671</v>
      </c>
      <c r="E208" s="81"/>
      <c r="F208" s="81"/>
      <c r="I208" s="80"/>
    </row>
    <row r="209" spans="2:9">
      <c r="B209" s="78"/>
      <c r="C209" s="81"/>
      <c r="D209" s="81"/>
      <c r="E209" s="81" t="s">
        <v>672</v>
      </c>
      <c r="F209" s="81"/>
      <c r="I209" s="80"/>
    </row>
    <row r="210" spans="2:9">
      <c r="B210" s="78" t="s">
        <v>673</v>
      </c>
      <c r="C210" s="81"/>
      <c r="D210" s="81"/>
      <c r="E210" s="81"/>
      <c r="F210" s="81" t="s">
        <v>401</v>
      </c>
      <c r="I210" s="80"/>
    </row>
    <row r="211" spans="2:9">
      <c r="B211" s="78" t="s">
        <v>674</v>
      </c>
      <c r="C211" s="81"/>
      <c r="D211" s="81"/>
      <c r="E211" s="81"/>
      <c r="F211" s="81" t="s">
        <v>403</v>
      </c>
      <c r="I211" s="80"/>
    </row>
    <row r="212" spans="2:9">
      <c r="B212" s="78"/>
      <c r="C212" s="81"/>
      <c r="D212" s="81"/>
      <c r="E212" s="81" t="s">
        <v>675</v>
      </c>
      <c r="F212" s="81"/>
      <c r="I212" s="80"/>
    </row>
    <row r="213" spans="2:9">
      <c r="B213" s="78" t="s">
        <v>676</v>
      </c>
      <c r="C213" s="81"/>
      <c r="D213" s="81"/>
      <c r="E213" s="81"/>
      <c r="F213" s="81" t="s">
        <v>677</v>
      </c>
      <c r="I213" s="80"/>
    </row>
    <row r="214" spans="2:9">
      <c r="B214" s="78" t="s">
        <v>678</v>
      </c>
      <c r="C214" s="81"/>
      <c r="D214" s="81"/>
      <c r="E214" s="81"/>
      <c r="F214" s="81" t="s">
        <v>679</v>
      </c>
      <c r="I214" s="80"/>
    </row>
    <row r="215" spans="2:9">
      <c r="B215" s="78"/>
      <c r="C215" s="81"/>
      <c r="D215" s="81"/>
      <c r="E215" s="81" t="s">
        <v>680</v>
      </c>
      <c r="F215" s="81"/>
    </row>
    <row r="216" spans="2:9">
      <c r="B216" s="78" t="s">
        <v>681</v>
      </c>
      <c r="C216" s="81"/>
      <c r="D216" s="81"/>
      <c r="E216" s="81"/>
      <c r="F216" s="81" t="s">
        <v>682</v>
      </c>
    </row>
    <row r="217" spans="2:9">
      <c r="B217" s="78" t="s">
        <v>683</v>
      </c>
      <c r="C217" s="81"/>
      <c r="D217" s="81"/>
      <c r="E217" s="81"/>
      <c r="F217" s="81" t="s">
        <v>684</v>
      </c>
    </row>
    <row r="218" spans="2:9">
      <c r="B218" s="78" t="s">
        <v>685</v>
      </c>
      <c r="C218" s="81"/>
      <c r="D218" s="81"/>
      <c r="E218" s="81"/>
      <c r="F218" s="81" t="s">
        <v>686</v>
      </c>
    </row>
    <row r="219" spans="2:9">
      <c r="B219" s="78"/>
      <c r="C219" s="81"/>
      <c r="D219" s="81"/>
      <c r="E219" s="81" t="s">
        <v>687</v>
      </c>
      <c r="F219" s="81"/>
    </row>
    <row r="220" spans="2:9">
      <c r="B220" s="78" t="s">
        <v>688</v>
      </c>
      <c r="C220" s="81"/>
      <c r="D220" s="81"/>
      <c r="E220" s="81"/>
      <c r="F220" s="81" t="s">
        <v>689</v>
      </c>
    </row>
    <row r="221" spans="2:9">
      <c r="B221" s="78" t="s">
        <v>690</v>
      </c>
      <c r="C221" s="81"/>
      <c r="D221" s="81"/>
      <c r="E221" s="81"/>
      <c r="F221" s="81" t="s">
        <v>691</v>
      </c>
    </row>
    <row r="222" spans="2:9">
      <c r="B222" s="78" t="s">
        <v>692</v>
      </c>
      <c r="C222" s="81"/>
      <c r="D222" s="81"/>
      <c r="E222" s="81"/>
      <c r="F222" s="81" t="s">
        <v>693</v>
      </c>
    </row>
    <row r="223" spans="2:9">
      <c r="B223" s="78" t="s">
        <v>694</v>
      </c>
      <c r="C223" s="81"/>
      <c r="D223" s="81"/>
      <c r="E223" s="81"/>
      <c r="F223" s="81" t="s">
        <v>695</v>
      </c>
    </row>
    <row r="224" spans="2:9">
      <c r="B224" s="78"/>
      <c r="C224" s="81"/>
      <c r="D224" s="81"/>
      <c r="E224" s="81" t="s">
        <v>696</v>
      </c>
      <c r="F224" s="81"/>
    </row>
    <row r="225" spans="2:6">
      <c r="B225" s="78" t="s">
        <v>697</v>
      </c>
      <c r="C225" s="81"/>
      <c r="D225" s="81"/>
      <c r="E225" s="81"/>
      <c r="F225" s="81" t="s">
        <v>698</v>
      </c>
    </row>
    <row r="226" spans="2:6">
      <c r="B226" s="78" t="s">
        <v>699</v>
      </c>
      <c r="C226" s="81"/>
      <c r="D226" s="81"/>
      <c r="E226" s="81"/>
      <c r="F226" s="81" t="s">
        <v>700</v>
      </c>
    </row>
    <row r="227" spans="2:6">
      <c r="B227" s="78"/>
      <c r="C227" s="81"/>
      <c r="D227" s="81"/>
      <c r="E227" s="81" t="s">
        <v>701</v>
      </c>
      <c r="F227" s="81"/>
    </row>
    <row r="228" spans="2:6">
      <c r="B228" s="78" t="s">
        <v>702</v>
      </c>
      <c r="C228" s="81"/>
      <c r="D228" s="81"/>
      <c r="E228" s="81"/>
      <c r="F228" s="81" t="s">
        <v>703</v>
      </c>
    </row>
    <row r="229" spans="2:6">
      <c r="B229" s="78" t="s">
        <v>704</v>
      </c>
      <c r="C229" s="81"/>
      <c r="D229" s="81"/>
      <c r="E229" s="81"/>
      <c r="F229" s="81" t="s">
        <v>705</v>
      </c>
    </row>
    <row r="230" spans="2:6">
      <c r="B230" s="78" t="s">
        <v>706</v>
      </c>
      <c r="C230" s="81"/>
      <c r="D230" s="81"/>
      <c r="E230" s="81"/>
      <c r="F230" s="81" t="s">
        <v>707</v>
      </c>
    </row>
    <row r="231" spans="2:6">
      <c r="B231" s="78" t="s">
        <v>708</v>
      </c>
      <c r="C231" s="81"/>
      <c r="D231" s="81"/>
      <c r="E231" s="81"/>
      <c r="F231" s="81" t="s">
        <v>709</v>
      </c>
    </row>
    <row r="232" spans="2:6">
      <c r="B232" s="78"/>
      <c r="C232" s="81" t="s">
        <v>710</v>
      </c>
      <c r="D232" s="81"/>
      <c r="E232" s="81"/>
      <c r="F232" s="81"/>
    </row>
    <row r="233" spans="2:6">
      <c r="B233" s="78"/>
      <c r="C233" s="81"/>
      <c r="D233" s="81" t="s">
        <v>711</v>
      </c>
      <c r="E233" s="81"/>
      <c r="F233" s="81"/>
    </row>
    <row r="234" spans="2:6">
      <c r="B234" s="78"/>
      <c r="C234" s="81"/>
      <c r="D234" s="81"/>
      <c r="E234" s="81" t="s">
        <v>712</v>
      </c>
      <c r="F234" s="81"/>
    </row>
    <row r="235" spans="2:6">
      <c r="B235" s="78" t="s">
        <v>713</v>
      </c>
      <c r="C235" s="81"/>
      <c r="D235" s="81"/>
      <c r="E235" s="81"/>
      <c r="F235" s="81" t="s">
        <v>401</v>
      </c>
    </row>
    <row r="236" spans="2:6">
      <c r="B236" s="78" t="s">
        <v>714</v>
      </c>
      <c r="C236" s="81"/>
      <c r="D236" s="81"/>
      <c r="E236" s="81"/>
      <c r="F236" s="81" t="s">
        <v>403</v>
      </c>
    </row>
    <row r="237" spans="2:6">
      <c r="B237" s="78"/>
      <c r="C237" s="81"/>
      <c r="D237" s="81"/>
      <c r="E237" s="81" t="s">
        <v>715</v>
      </c>
      <c r="F237" s="81"/>
    </row>
    <row r="238" spans="2:6">
      <c r="B238" s="78" t="s">
        <v>716</v>
      </c>
      <c r="C238" s="81"/>
      <c r="D238" s="81"/>
      <c r="E238" s="81"/>
      <c r="F238" s="81" t="s">
        <v>717</v>
      </c>
    </row>
    <row r="239" spans="2:6">
      <c r="B239" s="78" t="s">
        <v>718</v>
      </c>
      <c r="C239" s="81"/>
      <c r="D239" s="81"/>
      <c r="E239" s="81"/>
      <c r="F239" s="81" t="s">
        <v>719</v>
      </c>
    </row>
    <row r="240" spans="2:6">
      <c r="B240" s="78" t="s">
        <v>720</v>
      </c>
      <c r="C240" s="81"/>
      <c r="D240" s="81"/>
      <c r="E240" s="81"/>
      <c r="F240" s="81" t="s">
        <v>721</v>
      </c>
    </row>
    <row r="241" spans="2:6">
      <c r="B241" s="78" t="s">
        <v>722</v>
      </c>
      <c r="C241" s="81"/>
      <c r="D241" s="81"/>
      <c r="E241" s="81"/>
      <c r="F241" s="81" t="s">
        <v>723</v>
      </c>
    </row>
    <row r="242" spans="2:6">
      <c r="B242" s="78" t="s">
        <v>724</v>
      </c>
      <c r="C242" s="81"/>
      <c r="D242" s="81"/>
      <c r="E242" s="81"/>
      <c r="F242" s="81" t="s">
        <v>725</v>
      </c>
    </row>
    <row r="243" spans="2:6">
      <c r="B243" s="78"/>
      <c r="C243" s="81"/>
      <c r="D243" s="81"/>
      <c r="E243" s="81" t="s">
        <v>726</v>
      </c>
      <c r="F243" s="81"/>
    </row>
    <row r="244" spans="2:6">
      <c r="B244" s="78" t="s">
        <v>727</v>
      </c>
      <c r="C244" s="81"/>
      <c r="D244" s="81"/>
      <c r="E244" s="81"/>
      <c r="F244" s="81" t="s">
        <v>728</v>
      </c>
    </row>
    <row r="245" spans="2:6">
      <c r="B245" s="78" t="s">
        <v>729</v>
      </c>
      <c r="C245" s="81"/>
      <c r="D245" s="81"/>
      <c r="E245" s="81"/>
      <c r="F245" s="81" t="s">
        <v>730</v>
      </c>
    </row>
    <row r="246" spans="2:6">
      <c r="B246" s="78" t="s">
        <v>731</v>
      </c>
      <c r="C246" s="81"/>
      <c r="D246" s="81"/>
      <c r="E246" s="81"/>
      <c r="F246" s="81" t="s">
        <v>732</v>
      </c>
    </row>
    <row r="247" spans="2:6">
      <c r="B247" s="78" t="s">
        <v>733</v>
      </c>
      <c r="C247" s="81"/>
      <c r="D247" s="81"/>
      <c r="E247" s="81"/>
      <c r="F247" s="81" t="s">
        <v>734</v>
      </c>
    </row>
    <row r="248" spans="2:6">
      <c r="B248" s="78" t="s">
        <v>735</v>
      </c>
      <c r="C248" s="81"/>
      <c r="D248" s="81"/>
      <c r="E248" s="81"/>
      <c r="F248" s="81" t="s">
        <v>736</v>
      </c>
    </row>
    <row r="249" spans="2:6">
      <c r="B249" s="78" t="s">
        <v>737</v>
      </c>
      <c r="C249" s="81"/>
      <c r="D249" s="81"/>
      <c r="E249" s="81"/>
      <c r="F249" s="81" t="s">
        <v>738</v>
      </c>
    </row>
    <row r="250" spans="2:6">
      <c r="B250" s="78" t="s">
        <v>739</v>
      </c>
      <c r="C250" s="81"/>
      <c r="D250" s="81"/>
      <c r="E250" s="81"/>
      <c r="F250" s="81" t="s">
        <v>740</v>
      </c>
    </row>
    <row r="251" spans="2:6">
      <c r="B251" s="78"/>
      <c r="C251" s="81"/>
      <c r="D251" s="81"/>
      <c r="E251" s="81" t="s">
        <v>741</v>
      </c>
      <c r="F251" s="81"/>
    </row>
    <row r="252" spans="2:6">
      <c r="B252" s="78" t="s">
        <v>742</v>
      </c>
      <c r="C252" s="81"/>
      <c r="D252" s="81"/>
      <c r="E252" s="81"/>
      <c r="F252" s="81" t="s">
        <v>743</v>
      </c>
    </row>
    <row r="253" spans="2:6">
      <c r="B253" s="78" t="s">
        <v>744</v>
      </c>
      <c r="C253" s="81"/>
      <c r="D253" s="81"/>
      <c r="E253" s="81"/>
      <c r="F253" s="81" t="s">
        <v>745</v>
      </c>
    </row>
    <row r="254" spans="2:6">
      <c r="B254" s="78"/>
      <c r="C254" s="81"/>
      <c r="D254" s="81"/>
      <c r="E254" s="81" t="s">
        <v>746</v>
      </c>
      <c r="F254" s="81"/>
    </row>
    <row r="255" spans="2:6">
      <c r="B255" s="78" t="s">
        <v>747</v>
      </c>
      <c r="C255" s="81"/>
      <c r="D255" s="81"/>
      <c r="E255" s="81"/>
      <c r="F255" s="81" t="s">
        <v>748</v>
      </c>
    </row>
    <row r="256" spans="2:6">
      <c r="B256" s="78" t="s">
        <v>749</v>
      </c>
      <c r="C256" s="81"/>
      <c r="D256" s="81"/>
      <c r="E256" s="81"/>
      <c r="F256" s="81" t="s">
        <v>750</v>
      </c>
    </row>
    <row r="257" spans="2:6">
      <c r="B257" s="78" t="s">
        <v>751</v>
      </c>
      <c r="C257" s="81"/>
      <c r="D257" s="81"/>
      <c r="E257" s="81"/>
      <c r="F257" s="81" t="s">
        <v>752</v>
      </c>
    </row>
    <row r="258" spans="2:6">
      <c r="B258" s="78" t="s">
        <v>753</v>
      </c>
      <c r="C258" s="81"/>
      <c r="D258" s="81"/>
      <c r="E258" s="81"/>
      <c r="F258" s="81" t="s">
        <v>754</v>
      </c>
    </row>
    <row r="259" spans="2:6">
      <c r="B259" s="78" t="s">
        <v>755</v>
      </c>
      <c r="C259" s="81"/>
      <c r="D259" s="81"/>
      <c r="E259" s="81"/>
      <c r="F259" s="81" t="s">
        <v>756</v>
      </c>
    </row>
    <row r="260" spans="2:6">
      <c r="B260" s="78"/>
      <c r="C260" s="81"/>
      <c r="D260" s="81"/>
      <c r="E260" s="149" t="s">
        <v>3643</v>
      </c>
      <c r="F260" s="81"/>
    </row>
    <row r="261" spans="2:6">
      <c r="B261" s="78" t="s">
        <v>757</v>
      </c>
      <c r="C261" s="81"/>
      <c r="D261" s="81"/>
      <c r="E261" s="81"/>
      <c r="F261" s="81" t="s">
        <v>758</v>
      </c>
    </row>
    <row r="262" spans="2:6">
      <c r="B262" s="78" t="s">
        <v>759</v>
      </c>
      <c r="C262" s="81"/>
      <c r="D262" s="81"/>
      <c r="E262" s="81"/>
      <c r="F262" s="81" t="s">
        <v>760</v>
      </c>
    </row>
    <row r="263" spans="2:6">
      <c r="B263" s="78" t="s">
        <v>761</v>
      </c>
      <c r="C263" s="81"/>
      <c r="D263" s="81"/>
      <c r="E263" s="81"/>
      <c r="F263" s="149" t="s">
        <v>3644</v>
      </c>
    </row>
    <row r="264" spans="2:6">
      <c r="B264" s="78"/>
      <c r="C264" s="81"/>
      <c r="D264" s="81"/>
      <c r="E264" s="81" t="s">
        <v>762</v>
      </c>
      <c r="F264" s="81"/>
    </row>
    <row r="265" spans="2:6">
      <c r="B265" s="78" t="s">
        <v>763</v>
      </c>
      <c r="C265" s="81"/>
      <c r="D265" s="81"/>
      <c r="E265" s="81"/>
      <c r="F265" s="81" t="s">
        <v>764</v>
      </c>
    </row>
    <row r="266" spans="2:6">
      <c r="B266" s="78" t="s">
        <v>765</v>
      </c>
      <c r="C266" s="81"/>
      <c r="D266" s="81"/>
      <c r="E266" s="81"/>
      <c r="F266" s="81" t="s">
        <v>766</v>
      </c>
    </row>
    <row r="267" spans="2:6">
      <c r="B267" s="78" t="s">
        <v>767</v>
      </c>
      <c r="C267" s="81"/>
      <c r="D267" s="81"/>
      <c r="E267" s="81"/>
      <c r="F267" s="81" t="s">
        <v>768</v>
      </c>
    </row>
    <row r="268" spans="2:6">
      <c r="B268" s="78"/>
      <c r="C268" s="81"/>
      <c r="D268" s="81"/>
      <c r="E268" s="81" t="s">
        <v>769</v>
      </c>
      <c r="F268" s="81"/>
    </row>
    <row r="269" spans="2:6">
      <c r="B269" s="78" t="s">
        <v>770</v>
      </c>
      <c r="C269" s="81"/>
      <c r="D269" s="81"/>
      <c r="E269" s="81"/>
      <c r="F269" s="81" t="s">
        <v>771</v>
      </c>
    </row>
    <row r="270" spans="2:6">
      <c r="B270" s="78" t="s">
        <v>772</v>
      </c>
      <c r="C270" s="81"/>
      <c r="D270" s="81"/>
      <c r="E270" s="81"/>
      <c r="F270" s="81" t="s">
        <v>773</v>
      </c>
    </row>
    <row r="271" spans="2:6">
      <c r="B271" s="78" t="s">
        <v>774</v>
      </c>
      <c r="C271" s="81"/>
      <c r="D271" s="81"/>
      <c r="E271" s="81"/>
      <c r="F271" s="81" t="s">
        <v>775</v>
      </c>
    </row>
    <row r="272" spans="2:6">
      <c r="B272" s="78" t="s">
        <v>776</v>
      </c>
      <c r="C272" s="81"/>
      <c r="D272" s="81"/>
      <c r="E272" s="81"/>
      <c r="F272" s="81" t="s">
        <v>777</v>
      </c>
    </row>
    <row r="273" spans="2:6">
      <c r="B273" s="78" t="s">
        <v>778</v>
      </c>
      <c r="C273" s="81"/>
      <c r="D273" s="81"/>
      <c r="E273" s="81"/>
      <c r="F273" s="81" t="s">
        <v>779</v>
      </c>
    </row>
    <row r="274" spans="2:6">
      <c r="B274" s="78"/>
      <c r="C274" s="81"/>
      <c r="D274" s="81"/>
      <c r="E274" s="81" t="s">
        <v>780</v>
      </c>
      <c r="F274" s="81"/>
    </row>
    <row r="275" spans="2:6">
      <c r="B275" s="78" t="s">
        <v>781</v>
      </c>
      <c r="C275" s="81"/>
      <c r="D275" s="81"/>
      <c r="E275" s="81"/>
      <c r="F275" s="81" t="s">
        <v>782</v>
      </c>
    </row>
    <row r="276" spans="2:6">
      <c r="B276" s="78" t="s">
        <v>783</v>
      </c>
      <c r="C276" s="81"/>
      <c r="D276" s="81"/>
      <c r="E276" s="81"/>
      <c r="F276" s="81" t="s">
        <v>784</v>
      </c>
    </row>
    <row r="277" spans="2:6">
      <c r="B277" s="78"/>
      <c r="C277" s="81"/>
      <c r="D277" s="81"/>
      <c r="E277" s="81" t="s">
        <v>785</v>
      </c>
      <c r="F277" s="81"/>
    </row>
    <row r="278" spans="2:6">
      <c r="B278" s="78" t="s">
        <v>786</v>
      </c>
      <c r="C278" s="81"/>
      <c r="D278" s="81"/>
      <c r="E278" s="81"/>
      <c r="F278" s="81" t="s">
        <v>787</v>
      </c>
    </row>
    <row r="279" spans="2:6">
      <c r="B279" s="78" t="s">
        <v>788</v>
      </c>
      <c r="C279" s="81"/>
      <c r="D279" s="81"/>
      <c r="E279" s="81"/>
      <c r="F279" s="81" t="s">
        <v>789</v>
      </c>
    </row>
    <row r="280" spans="2:6">
      <c r="B280" s="78" t="s">
        <v>790</v>
      </c>
      <c r="C280" s="81"/>
      <c r="D280" s="81"/>
      <c r="E280" s="81"/>
      <c r="F280" s="81" t="s">
        <v>791</v>
      </c>
    </row>
    <row r="281" spans="2:6">
      <c r="B281" s="78" t="s">
        <v>792</v>
      </c>
      <c r="C281" s="81"/>
      <c r="D281" s="81"/>
      <c r="E281" s="81"/>
      <c r="F281" s="81" t="s">
        <v>793</v>
      </c>
    </row>
    <row r="282" spans="2:6">
      <c r="B282" s="78" t="s">
        <v>794</v>
      </c>
      <c r="C282" s="81"/>
      <c r="D282" s="81"/>
      <c r="E282" s="81"/>
      <c r="F282" s="81" t="s">
        <v>795</v>
      </c>
    </row>
    <row r="283" spans="2:6">
      <c r="B283" s="78" t="s">
        <v>796</v>
      </c>
      <c r="C283" s="81"/>
      <c r="D283" s="81"/>
      <c r="E283" s="81"/>
      <c r="F283" s="81" t="s">
        <v>797</v>
      </c>
    </row>
    <row r="284" spans="2:6">
      <c r="B284" s="78" t="s">
        <v>798</v>
      </c>
      <c r="C284" s="81"/>
      <c r="D284" s="81"/>
      <c r="E284" s="81"/>
      <c r="F284" s="81" t="s">
        <v>799</v>
      </c>
    </row>
    <row r="285" spans="2:6">
      <c r="B285" s="78" t="s">
        <v>800</v>
      </c>
      <c r="C285" s="81"/>
      <c r="D285" s="81"/>
      <c r="E285" s="81"/>
      <c r="F285" s="81" t="s">
        <v>801</v>
      </c>
    </row>
    <row r="286" spans="2:6">
      <c r="B286" s="78" t="s">
        <v>802</v>
      </c>
      <c r="C286" s="81"/>
      <c r="D286" s="81"/>
      <c r="E286" s="81"/>
      <c r="F286" s="81" t="s">
        <v>803</v>
      </c>
    </row>
    <row r="287" spans="2:6">
      <c r="B287" s="78"/>
      <c r="C287" s="81"/>
      <c r="D287" s="81" t="s">
        <v>804</v>
      </c>
      <c r="E287" s="81"/>
      <c r="F287" s="81"/>
    </row>
    <row r="288" spans="2:6">
      <c r="B288" s="78"/>
      <c r="C288" s="81"/>
      <c r="D288" s="81"/>
      <c r="E288" s="81" t="s">
        <v>805</v>
      </c>
      <c r="F288" s="81"/>
    </row>
    <row r="289" spans="2:6">
      <c r="B289" s="78" t="s">
        <v>2471</v>
      </c>
      <c r="C289" s="81"/>
      <c r="D289" s="81"/>
      <c r="E289" s="81"/>
      <c r="F289" s="81" t="s">
        <v>401</v>
      </c>
    </row>
    <row r="290" spans="2:6">
      <c r="B290" s="78" t="s">
        <v>2472</v>
      </c>
      <c r="C290" s="81"/>
      <c r="D290" s="81"/>
      <c r="E290" s="81"/>
      <c r="F290" s="81" t="s">
        <v>403</v>
      </c>
    </row>
    <row r="291" spans="2:6">
      <c r="B291" s="78"/>
      <c r="C291" s="81"/>
      <c r="D291" s="81"/>
      <c r="E291" s="81" t="s">
        <v>806</v>
      </c>
      <c r="F291" s="81"/>
    </row>
    <row r="292" spans="2:6">
      <c r="B292" s="78" t="s">
        <v>2473</v>
      </c>
      <c r="C292" s="81"/>
      <c r="D292" s="81"/>
      <c r="E292" s="81"/>
      <c r="F292" s="81" t="s">
        <v>806</v>
      </c>
    </row>
    <row r="293" spans="2:6">
      <c r="B293" s="78"/>
      <c r="C293" s="81"/>
      <c r="D293" s="81"/>
      <c r="E293" s="81" t="s">
        <v>807</v>
      </c>
      <c r="F293" s="81"/>
    </row>
    <row r="294" spans="2:6">
      <c r="B294" s="78" t="s">
        <v>2474</v>
      </c>
      <c r="C294" s="81"/>
      <c r="D294" s="81"/>
      <c r="E294" s="81"/>
      <c r="F294" s="81" t="s">
        <v>808</v>
      </c>
    </row>
    <row r="295" spans="2:6">
      <c r="B295" s="78" t="s">
        <v>2475</v>
      </c>
      <c r="C295" s="81"/>
      <c r="D295" s="81"/>
      <c r="E295" s="81"/>
      <c r="F295" s="149" t="s">
        <v>3645</v>
      </c>
    </row>
    <row r="296" spans="2:6">
      <c r="B296" s="78" t="s">
        <v>2476</v>
      </c>
      <c r="C296" s="81"/>
      <c r="D296" s="81"/>
      <c r="E296" s="81"/>
      <c r="F296" s="81" t="s">
        <v>809</v>
      </c>
    </row>
    <row r="297" spans="2:6">
      <c r="B297" s="150" t="s">
        <v>2477</v>
      </c>
      <c r="C297" s="81"/>
      <c r="D297" s="81"/>
      <c r="E297" s="81"/>
      <c r="F297" s="149" t="s">
        <v>3646</v>
      </c>
    </row>
    <row r="298" spans="2:6">
      <c r="B298" s="150" t="s">
        <v>3647</v>
      </c>
      <c r="C298" s="81"/>
      <c r="D298" s="81"/>
      <c r="E298" s="81"/>
      <c r="F298" s="149" t="s">
        <v>3648</v>
      </c>
    </row>
    <row r="299" spans="2:6">
      <c r="B299" s="150" t="s">
        <v>3649</v>
      </c>
      <c r="C299" s="81"/>
      <c r="D299" s="81"/>
      <c r="E299" s="81"/>
      <c r="F299" s="149" t="s">
        <v>3650</v>
      </c>
    </row>
    <row r="300" spans="2:6">
      <c r="B300" s="78"/>
      <c r="C300" s="81"/>
      <c r="D300" s="81"/>
      <c r="E300" s="81" t="s">
        <v>810</v>
      </c>
      <c r="F300" s="81"/>
    </row>
    <row r="301" spans="2:6">
      <c r="B301" s="78" t="s">
        <v>2478</v>
      </c>
      <c r="C301" s="81"/>
      <c r="D301" s="81"/>
      <c r="E301" s="81"/>
      <c r="F301" s="81" t="s">
        <v>811</v>
      </c>
    </row>
    <row r="302" spans="2:6">
      <c r="B302" s="78" t="s">
        <v>2479</v>
      </c>
      <c r="C302" s="81"/>
      <c r="D302" s="81"/>
      <c r="E302" s="81"/>
      <c r="F302" s="81" t="s">
        <v>812</v>
      </c>
    </row>
    <row r="303" spans="2:6">
      <c r="B303" s="78"/>
      <c r="C303" s="81"/>
      <c r="D303" s="81"/>
      <c r="E303" s="81" t="s">
        <v>813</v>
      </c>
      <c r="F303" s="81"/>
    </row>
    <row r="304" spans="2:6">
      <c r="B304" s="78" t="s">
        <v>2480</v>
      </c>
      <c r="C304" s="81"/>
      <c r="D304" s="81"/>
      <c r="E304" s="81"/>
      <c r="F304" s="81" t="s">
        <v>813</v>
      </c>
    </row>
    <row r="305" spans="2:6">
      <c r="B305" s="78"/>
      <c r="C305" s="81"/>
      <c r="D305" s="81"/>
      <c r="E305" s="81" t="s">
        <v>814</v>
      </c>
      <c r="F305" s="81"/>
    </row>
    <row r="306" spans="2:6">
      <c r="B306" s="78" t="s">
        <v>2481</v>
      </c>
      <c r="C306" s="81"/>
      <c r="D306" s="81"/>
      <c r="E306" s="81"/>
      <c r="F306" s="81" t="s">
        <v>815</v>
      </c>
    </row>
    <row r="307" spans="2:6">
      <c r="B307" s="78" t="s">
        <v>2482</v>
      </c>
      <c r="C307" s="81"/>
      <c r="D307" s="81"/>
      <c r="E307" s="81"/>
      <c r="F307" s="81" t="s">
        <v>816</v>
      </c>
    </row>
    <row r="308" spans="2:6">
      <c r="B308" s="78"/>
      <c r="C308" s="81"/>
      <c r="D308" s="81"/>
      <c r="E308" s="81" t="s">
        <v>817</v>
      </c>
      <c r="F308" s="81"/>
    </row>
    <row r="309" spans="2:6">
      <c r="B309" s="78" t="s">
        <v>2483</v>
      </c>
      <c r="C309" s="81"/>
      <c r="D309" s="81"/>
      <c r="E309" s="81"/>
      <c r="F309" s="81" t="s">
        <v>818</v>
      </c>
    </row>
    <row r="310" spans="2:6">
      <c r="B310" s="78" t="s">
        <v>2484</v>
      </c>
      <c r="C310" s="81"/>
      <c r="D310" s="81"/>
      <c r="E310" s="81"/>
      <c r="F310" s="81" t="s">
        <v>819</v>
      </c>
    </row>
    <row r="311" spans="2:6">
      <c r="B311" s="78" t="s">
        <v>2485</v>
      </c>
      <c r="C311" s="81"/>
      <c r="D311" s="81"/>
      <c r="E311" s="81"/>
      <c r="F311" s="81" t="s">
        <v>820</v>
      </c>
    </row>
    <row r="312" spans="2:6">
      <c r="B312" s="78"/>
      <c r="C312" s="81"/>
      <c r="D312" s="81" t="s">
        <v>821</v>
      </c>
      <c r="E312" s="81"/>
      <c r="F312" s="81"/>
    </row>
    <row r="313" spans="2:6">
      <c r="B313" s="78"/>
      <c r="C313" s="81"/>
      <c r="D313" s="81"/>
      <c r="E313" s="81" t="s">
        <v>822</v>
      </c>
      <c r="F313" s="81"/>
    </row>
    <row r="314" spans="2:6">
      <c r="B314" s="78" t="s">
        <v>2486</v>
      </c>
      <c r="C314" s="81"/>
      <c r="D314" s="81"/>
      <c r="E314" s="81"/>
      <c r="F314" s="81" t="s">
        <v>401</v>
      </c>
    </row>
    <row r="315" spans="2:6">
      <c r="B315" s="78" t="s">
        <v>2487</v>
      </c>
      <c r="C315" s="81"/>
      <c r="D315" s="81"/>
      <c r="E315" s="81"/>
      <c r="F315" s="81" t="s">
        <v>403</v>
      </c>
    </row>
    <row r="316" spans="2:6">
      <c r="B316" s="78"/>
      <c r="C316" s="81"/>
      <c r="D316" s="81"/>
      <c r="E316" s="81" t="s">
        <v>823</v>
      </c>
      <c r="F316" s="81"/>
    </row>
    <row r="317" spans="2:6">
      <c r="B317" s="78" t="s">
        <v>2488</v>
      </c>
      <c r="C317" s="81"/>
      <c r="D317" s="81"/>
      <c r="E317" s="81"/>
      <c r="F317" s="81" t="s">
        <v>824</v>
      </c>
    </row>
    <row r="318" spans="2:6">
      <c r="B318" s="78" t="s">
        <v>2489</v>
      </c>
      <c r="C318" s="81"/>
      <c r="D318" s="81"/>
      <c r="E318" s="81"/>
      <c r="F318" s="81" t="s">
        <v>825</v>
      </c>
    </row>
    <row r="319" spans="2:6">
      <c r="B319" s="78" t="s">
        <v>2490</v>
      </c>
      <c r="C319" s="81"/>
      <c r="D319" s="81"/>
      <c r="E319" s="81"/>
      <c r="F319" s="81" t="s">
        <v>826</v>
      </c>
    </row>
    <row r="320" spans="2:6">
      <c r="B320" s="78" t="s">
        <v>2491</v>
      </c>
      <c r="C320" s="81"/>
      <c r="D320" s="81"/>
      <c r="E320" s="81"/>
      <c r="F320" s="81" t="s">
        <v>827</v>
      </c>
    </row>
    <row r="321" spans="2:6">
      <c r="B321" s="78" t="s">
        <v>2492</v>
      </c>
      <c r="C321" s="81"/>
      <c r="D321" s="81"/>
      <c r="E321" s="81"/>
      <c r="F321" s="81" t="s">
        <v>828</v>
      </c>
    </row>
    <row r="322" spans="2:6">
      <c r="B322" s="78" t="s">
        <v>2493</v>
      </c>
      <c r="C322" s="81"/>
      <c r="D322" s="81"/>
      <c r="E322" s="81"/>
      <c r="F322" s="81" t="s">
        <v>829</v>
      </c>
    </row>
    <row r="323" spans="2:6">
      <c r="B323" s="78" t="s">
        <v>2494</v>
      </c>
      <c r="C323" s="81"/>
      <c r="D323" s="81"/>
      <c r="E323" s="81"/>
      <c r="F323" s="81" t="s">
        <v>830</v>
      </c>
    </row>
    <row r="324" spans="2:6">
      <c r="B324" s="78" t="s">
        <v>2495</v>
      </c>
      <c r="C324" s="81"/>
      <c r="D324" s="81"/>
      <c r="E324" s="81"/>
      <c r="F324" s="81" t="s">
        <v>831</v>
      </c>
    </row>
    <row r="325" spans="2:6">
      <c r="B325" s="78" t="s">
        <v>2325</v>
      </c>
      <c r="C325" s="81"/>
      <c r="D325" s="81"/>
      <c r="E325" s="81"/>
      <c r="F325" s="81" t="s">
        <v>832</v>
      </c>
    </row>
    <row r="326" spans="2:6">
      <c r="B326" s="78"/>
      <c r="C326" s="81"/>
      <c r="D326" s="81"/>
      <c r="E326" s="81" t="s">
        <v>833</v>
      </c>
      <c r="F326" s="81"/>
    </row>
    <row r="327" spans="2:6">
      <c r="B327" s="78" t="s">
        <v>2496</v>
      </c>
      <c r="C327" s="81"/>
      <c r="D327" s="81"/>
      <c r="E327" s="81"/>
      <c r="F327" s="81" t="s">
        <v>834</v>
      </c>
    </row>
    <row r="328" spans="2:6">
      <c r="B328" s="78" t="s">
        <v>2497</v>
      </c>
      <c r="C328" s="81"/>
      <c r="D328" s="81"/>
      <c r="E328" s="81"/>
      <c r="F328" s="81" t="s">
        <v>835</v>
      </c>
    </row>
    <row r="329" spans="2:6">
      <c r="B329" s="78" t="s">
        <v>2326</v>
      </c>
      <c r="C329" s="81"/>
      <c r="D329" s="81"/>
      <c r="E329" s="81"/>
      <c r="F329" s="81" t="s">
        <v>836</v>
      </c>
    </row>
    <row r="330" spans="2:6">
      <c r="B330" s="78" t="s">
        <v>2498</v>
      </c>
      <c r="C330" s="81"/>
      <c r="D330" s="81"/>
      <c r="E330" s="81"/>
      <c r="F330" s="81" t="s">
        <v>837</v>
      </c>
    </row>
    <row r="331" spans="2:6">
      <c r="B331" s="78" t="s">
        <v>2499</v>
      </c>
      <c r="C331" s="81"/>
      <c r="D331" s="81"/>
      <c r="E331" s="81"/>
      <c r="F331" s="81" t="s">
        <v>838</v>
      </c>
    </row>
    <row r="332" spans="2:6">
      <c r="B332" s="78" t="s">
        <v>2327</v>
      </c>
      <c r="C332" s="81"/>
      <c r="D332" s="81"/>
      <c r="E332" s="81"/>
      <c r="F332" s="81" t="s">
        <v>839</v>
      </c>
    </row>
    <row r="333" spans="2:6">
      <c r="B333" s="78"/>
      <c r="C333" s="81"/>
      <c r="D333" s="81"/>
      <c r="E333" s="81" t="s">
        <v>840</v>
      </c>
      <c r="F333" s="81"/>
    </row>
    <row r="334" spans="2:6">
      <c r="B334" s="78" t="s">
        <v>2500</v>
      </c>
      <c r="C334" s="81"/>
      <c r="D334" s="81"/>
      <c r="E334" s="81"/>
      <c r="F334" s="81" t="s">
        <v>841</v>
      </c>
    </row>
    <row r="335" spans="2:6">
      <c r="B335" s="78" t="s">
        <v>2501</v>
      </c>
      <c r="C335" s="81"/>
      <c r="D335" s="81"/>
      <c r="E335" s="81"/>
      <c r="F335" s="81" t="s">
        <v>842</v>
      </c>
    </row>
    <row r="336" spans="2:6">
      <c r="B336" s="78" t="s">
        <v>2502</v>
      </c>
      <c r="C336" s="81"/>
      <c r="D336" s="81"/>
      <c r="E336" s="81"/>
      <c r="F336" s="81" t="s">
        <v>843</v>
      </c>
    </row>
    <row r="337" spans="2:6">
      <c r="B337" s="78"/>
      <c r="C337" s="81"/>
      <c r="D337" s="81"/>
      <c r="E337" s="81" t="s">
        <v>844</v>
      </c>
      <c r="F337" s="81"/>
    </row>
    <row r="338" spans="2:6">
      <c r="B338" s="78" t="s">
        <v>2503</v>
      </c>
      <c r="C338" s="81"/>
      <c r="D338" s="81"/>
      <c r="E338" s="81"/>
      <c r="F338" s="81" t="s">
        <v>845</v>
      </c>
    </row>
    <row r="339" spans="2:6">
      <c r="B339" s="78" t="s">
        <v>2504</v>
      </c>
      <c r="C339" s="81"/>
      <c r="D339" s="81"/>
      <c r="E339" s="81"/>
      <c r="F339" s="81" t="s">
        <v>846</v>
      </c>
    </row>
    <row r="340" spans="2:6">
      <c r="B340" s="78" t="s">
        <v>2505</v>
      </c>
      <c r="C340" s="81"/>
      <c r="D340" s="81"/>
      <c r="E340" s="81"/>
      <c r="F340" s="81" t="s">
        <v>847</v>
      </c>
    </row>
    <row r="341" spans="2:6">
      <c r="B341" s="78" t="s">
        <v>2328</v>
      </c>
      <c r="C341" s="81"/>
      <c r="D341" s="81"/>
      <c r="E341" s="81"/>
      <c r="F341" s="81" t="s">
        <v>848</v>
      </c>
    </row>
    <row r="342" spans="2:6">
      <c r="B342" s="78" t="s">
        <v>2506</v>
      </c>
      <c r="C342" s="81"/>
      <c r="D342" s="81"/>
      <c r="E342" s="81"/>
      <c r="F342" s="81" t="s">
        <v>849</v>
      </c>
    </row>
    <row r="343" spans="2:6">
      <c r="B343" s="78" t="s">
        <v>2507</v>
      </c>
      <c r="C343" s="81"/>
      <c r="D343" s="81"/>
      <c r="E343" s="81"/>
      <c r="F343" s="81" t="s">
        <v>850</v>
      </c>
    </row>
    <row r="344" spans="2:6">
      <c r="B344" s="78" t="s">
        <v>2508</v>
      </c>
      <c r="C344" s="81"/>
      <c r="D344" s="81"/>
      <c r="E344" s="81"/>
      <c r="F344" s="81" t="s">
        <v>851</v>
      </c>
    </row>
    <row r="345" spans="2:6">
      <c r="B345" s="78" t="s">
        <v>2509</v>
      </c>
      <c r="C345" s="81"/>
      <c r="D345" s="81"/>
      <c r="E345" s="81"/>
      <c r="F345" s="81" t="s">
        <v>852</v>
      </c>
    </row>
    <row r="346" spans="2:6">
      <c r="B346" s="78"/>
      <c r="C346" s="81"/>
      <c r="D346" s="81"/>
      <c r="E346" s="81" t="s">
        <v>853</v>
      </c>
      <c r="F346" s="81"/>
    </row>
    <row r="347" spans="2:6">
      <c r="B347" s="78" t="s">
        <v>2510</v>
      </c>
      <c r="C347" s="81"/>
      <c r="D347" s="81"/>
      <c r="E347" s="81"/>
      <c r="F347" s="81" t="s">
        <v>854</v>
      </c>
    </row>
    <row r="348" spans="2:6">
      <c r="B348" s="78" t="s">
        <v>2511</v>
      </c>
      <c r="C348" s="81"/>
      <c r="D348" s="81"/>
      <c r="E348" s="81"/>
      <c r="F348" s="81" t="s">
        <v>855</v>
      </c>
    </row>
    <row r="349" spans="2:6">
      <c r="B349" s="78" t="s">
        <v>2512</v>
      </c>
      <c r="C349" s="81"/>
      <c r="D349" s="81"/>
      <c r="E349" s="81"/>
      <c r="F349" s="81" t="s">
        <v>856</v>
      </c>
    </row>
    <row r="350" spans="2:6">
      <c r="B350" s="78" t="s">
        <v>2513</v>
      </c>
      <c r="C350" s="81"/>
      <c r="D350" s="81"/>
      <c r="E350" s="81"/>
      <c r="F350" s="81" t="s">
        <v>857</v>
      </c>
    </row>
    <row r="351" spans="2:6">
      <c r="B351" s="78" t="s">
        <v>2514</v>
      </c>
      <c r="C351" s="81"/>
      <c r="D351" s="81"/>
      <c r="E351" s="81"/>
      <c r="F351" s="81" t="s">
        <v>858</v>
      </c>
    </row>
    <row r="352" spans="2:6">
      <c r="B352" s="78" t="s">
        <v>2515</v>
      </c>
      <c r="C352" s="81"/>
      <c r="D352" s="81"/>
      <c r="E352" s="81"/>
      <c r="F352" s="81" t="s">
        <v>859</v>
      </c>
    </row>
    <row r="353" spans="2:6">
      <c r="B353" s="78" t="s">
        <v>2329</v>
      </c>
      <c r="C353" s="81"/>
      <c r="D353" s="81"/>
      <c r="E353" s="81"/>
      <c r="F353" s="81" t="s">
        <v>860</v>
      </c>
    </row>
    <row r="354" spans="2:6">
      <c r="B354" s="78" t="s">
        <v>2516</v>
      </c>
      <c r="C354" s="81"/>
      <c r="D354" s="81"/>
      <c r="E354" s="81"/>
      <c r="F354" s="81" t="s">
        <v>861</v>
      </c>
    </row>
    <row r="355" spans="2:6">
      <c r="B355" s="78" t="s">
        <v>2517</v>
      </c>
      <c r="C355" s="81"/>
      <c r="D355" s="81"/>
      <c r="E355" s="81"/>
      <c r="F355" s="81" t="s">
        <v>862</v>
      </c>
    </row>
    <row r="356" spans="2:6">
      <c r="B356" s="78"/>
      <c r="C356" s="81"/>
      <c r="D356" s="81"/>
      <c r="E356" s="81" t="s">
        <v>863</v>
      </c>
      <c r="F356" s="81"/>
    </row>
    <row r="357" spans="2:6">
      <c r="B357" s="78" t="s">
        <v>2518</v>
      </c>
      <c r="C357" s="81"/>
      <c r="D357" s="81"/>
      <c r="E357" s="81"/>
      <c r="F357" s="81" t="s">
        <v>864</v>
      </c>
    </row>
    <row r="358" spans="2:6">
      <c r="B358" s="78" t="s">
        <v>2519</v>
      </c>
      <c r="C358" s="81"/>
      <c r="D358" s="81"/>
      <c r="E358" s="81"/>
      <c r="F358" s="81" t="s">
        <v>865</v>
      </c>
    </row>
    <row r="359" spans="2:6">
      <c r="B359" s="78" t="s">
        <v>2520</v>
      </c>
      <c r="C359" s="81"/>
      <c r="D359" s="81"/>
      <c r="E359" s="81"/>
      <c r="F359" s="81" t="s">
        <v>866</v>
      </c>
    </row>
    <row r="360" spans="2:6">
      <c r="B360" s="78" t="s">
        <v>2521</v>
      </c>
      <c r="C360" s="81"/>
      <c r="D360" s="81"/>
      <c r="E360" s="81"/>
      <c r="F360" s="81" t="s">
        <v>867</v>
      </c>
    </row>
    <row r="361" spans="2:6">
      <c r="B361" s="78" t="s">
        <v>2522</v>
      </c>
      <c r="C361" s="81"/>
      <c r="D361" s="81"/>
      <c r="E361" s="81"/>
      <c r="F361" s="81" t="s">
        <v>868</v>
      </c>
    </row>
    <row r="362" spans="2:6">
      <c r="B362" s="78" t="s">
        <v>2523</v>
      </c>
      <c r="C362" s="81"/>
      <c r="D362" s="81"/>
      <c r="E362" s="81"/>
      <c r="F362" s="149" t="s">
        <v>3651</v>
      </c>
    </row>
    <row r="363" spans="2:6">
      <c r="B363" s="78" t="s">
        <v>2524</v>
      </c>
      <c r="C363" s="81"/>
      <c r="D363" s="81"/>
      <c r="E363" s="81"/>
      <c r="F363" s="81" t="s">
        <v>869</v>
      </c>
    </row>
    <row r="364" spans="2:6">
      <c r="B364" s="78" t="s">
        <v>2525</v>
      </c>
      <c r="C364" s="81"/>
      <c r="D364" s="81"/>
      <c r="E364" s="81"/>
      <c r="F364" s="81" t="s">
        <v>870</v>
      </c>
    </row>
    <row r="365" spans="2:6">
      <c r="B365" s="78" t="s">
        <v>2526</v>
      </c>
      <c r="C365" s="81"/>
      <c r="D365" s="81"/>
      <c r="E365" s="81"/>
      <c r="F365" s="81" t="s">
        <v>871</v>
      </c>
    </row>
    <row r="366" spans="2:6">
      <c r="B366" s="78"/>
      <c r="C366" s="81"/>
      <c r="D366" s="81"/>
      <c r="E366" s="81" t="s">
        <v>872</v>
      </c>
      <c r="F366" s="81"/>
    </row>
    <row r="367" spans="2:6">
      <c r="B367" s="78" t="s">
        <v>2527</v>
      </c>
      <c r="C367" s="81"/>
      <c r="D367" s="81"/>
      <c r="E367" s="81"/>
      <c r="F367" s="81" t="s">
        <v>873</v>
      </c>
    </row>
    <row r="368" spans="2:6">
      <c r="B368" s="78" t="s">
        <v>2528</v>
      </c>
      <c r="C368" s="81"/>
      <c r="D368" s="81"/>
      <c r="E368" s="81"/>
      <c r="F368" s="81" t="s">
        <v>874</v>
      </c>
    </row>
    <row r="369" spans="2:6">
      <c r="B369" s="78" t="s">
        <v>2529</v>
      </c>
      <c r="C369" s="81"/>
      <c r="D369" s="81"/>
      <c r="E369" s="81"/>
      <c r="F369" s="81" t="s">
        <v>875</v>
      </c>
    </row>
    <row r="370" spans="2:6">
      <c r="B370" s="78" t="s">
        <v>2330</v>
      </c>
      <c r="C370" s="81"/>
      <c r="D370" s="81"/>
      <c r="E370" s="81"/>
      <c r="F370" s="81" t="s">
        <v>876</v>
      </c>
    </row>
    <row r="371" spans="2:6">
      <c r="B371" s="78"/>
      <c r="C371" s="81"/>
      <c r="D371" s="81"/>
      <c r="E371" s="81" t="s">
        <v>877</v>
      </c>
      <c r="F371" s="81"/>
    </row>
    <row r="372" spans="2:6">
      <c r="B372" s="78" t="s">
        <v>2530</v>
      </c>
      <c r="C372" s="81"/>
      <c r="D372" s="81"/>
      <c r="E372" s="81"/>
      <c r="F372" s="81" t="s">
        <v>878</v>
      </c>
    </row>
    <row r="373" spans="2:6">
      <c r="B373" s="78" t="s">
        <v>2531</v>
      </c>
      <c r="C373" s="81"/>
      <c r="D373" s="81"/>
      <c r="E373" s="81"/>
      <c r="F373" s="81" t="s">
        <v>879</v>
      </c>
    </row>
    <row r="374" spans="2:6">
      <c r="B374" s="78" t="s">
        <v>2532</v>
      </c>
      <c r="C374" s="81"/>
      <c r="D374" s="81"/>
      <c r="E374" s="81"/>
      <c r="F374" s="81" t="s">
        <v>880</v>
      </c>
    </row>
    <row r="375" spans="2:6">
      <c r="B375" s="78" t="s">
        <v>2331</v>
      </c>
      <c r="C375" s="81"/>
      <c r="D375" s="81"/>
      <c r="E375" s="81"/>
      <c r="F375" s="81" t="s">
        <v>881</v>
      </c>
    </row>
    <row r="376" spans="2:6">
      <c r="B376" s="78" t="s">
        <v>2533</v>
      </c>
      <c r="C376" s="81"/>
      <c r="D376" s="81"/>
      <c r="E376" s="81"/>
      <c r="F376" s="81" t="s">
        <v>882</v>
      </c>
    </row>
    <row r="377" spans="2:6">
      <c r="B377" s="78" t="s">
        <v>2534</v>
      </c>
      <c r="C377" s="81"/>
      <c r="D377" s="81"/>
      <c r="E377" s="81"/>
      <c r="F377" s="81" t="s">
        <v>883</v>
      </c>
    </row>
    <row r="378" spans="2:6">
      <c r="B378" s="78" t="s">
        <v>2535</v>
      </c>
      <c r="C378" s="81"/>
      <c r="D378" s="81"/>
      <c r="E378" s="81"/>
      <c r="F378" s="81" t="s">
        <v>884</v>
      </c>
    </row>
    <row r="379" spans="2:6">
      <c r="B379" s="78"/>
      <c r="C379" s="81"/>
      <c r="D379" s="81"/>
      <c r="E379" s="81" t="s">
        <v>885</v>
      </c>
      <c r="F379" s="81"/>
    </row>
    <row r="380" spans="2:6">
      <c r="B380" s="78" t="s">
        <v>2536</v>
      </c>
      <c r="C380" s="81"/>
      <c r="D380" s="81"/>
      <c r="E380" s="81"/>
      <c r="F380" s="81" t="s">
        <v>886</v>
      </c>
    </row>
    <row r="381" spans="2:6">
      <c r="B381" s="78" t="s">
        <v>2332</v>
      </c>
      <c r="C381" s="81"/>
      <c r="D381" s="81"/>
      <c r="E381" s="81"/>
      <c r="F381" s="81" t="s">
        <v>887</v>
      </c>
    </row>
    <row r="382" spans="2:6">
      <c r="B382" s="78" t="s">
        <v>2537</v>
      </c>
      <c r="C382" s="81"/>
      <c r="D382" s="81"/>
      <c r="E382" s="81"/>
      <c r="F382" s="81" t="s">
        <v>888</v>
      </c>
    </row>
    <row r="383" spans="2:6">
      <c r="B383" s="78" t="s">
        <v>2538</v>
      </c>
      <c r="C383" s="81"/>
      <c r="D383" s="81"/>
      <c r="E383" s="81"/>
      <c r="F383" s="81" t="s">
        <v>889</v>
      </c>
    </row>
    <row r="384" spans="2:6">
      <c r="B384" s="78" t="s">
        <v>2539</v>
      </c>
      <c r="C384" s="81"/>
      <c r="D384" s="81"/>
      <c r="E384" s="81"/>
      <c r="F384" s="81" t="s">
        <v>890</v>
      </c>
    </row>
    <row r="385" spans="2:6">
      <c r="B385" s="78" t="s">
        <v>2540</v>
      </c>
      <c r="C385" s="81"/>
      <c r="D385" s="81"/>
      <c r="E385" s="81"/>
      <c r="F385" s="81" t="s">
        <v>891</v>
      </c>
    </row>
    <row r="386" spans="2:6">
      <c r="B386" s="78" t="s">
        <v>2541</v>
      </c>
      <c r="C386" s="81"/>
      <c r="D386" s="81"/>
      <c r="E386" s="81"/>
      <c r="F386" s="81" t="s">
        <v>892</v>
      </c>
    </row>
    <row r="387" spans="2:6">
      <c r="B387" s="78" t="s">
        <v>2542</v>
      </c>
      <c r="C387" s="81"/>
      <c r="D387" s="81"/>
      <c r="E387" s="81"/>
      <c r="F387" s="81" t="s">
        <v>893</v>
      </c>
    </row>
    <row r="388" spans="2:6">
      <c r="B388" s="78" t="s">
        <v>2543</v>
      </c>
      <c r="C388" s="81"/>
      <c r="D388" s="81"/>
      <c r="E388" s="81"/>
      <c r="F388" s="81" t="s">
        <v>894</v>
      </c>
    </row>
    <row r="389" spans="2:6">
      <c r="B389" s="78"/>
      <c r="C389" s="81"/>
      <c r="D389" s="81" t="s">
        <v>895</v>
      </c>
      <c r="E389" s="81"/>
      <c r="F389" s="81"/>
    </row>
    <row r="390" spans="2:6">
      <c r="B390" s="78"/>
      <c r="C390" s="81"/>
      <c r="D390" s="81"/>
      <c r="E390" s="81" t="s">
        <v>896</v>
      </c>
      <c r="F390" s="81"/>
    </row>
    <row r="391" spans="2:6">
      <c r="B391" s="78" t="s">
        <v>2333</v>
      </c>
      <c r="C391" s="81"/>
      <c r="D391" s="81"/>
      <c r="E391" s="81"/>
      <c r="F391" s="81" t="s">
        <v>401</v>
      </c>
    </row>
    <row r="392" spans="2:6">
      <c r="B392" s="78" t="s">
        <v>2544</v>
      </c>
      <c r="C392" s="81"/>
      <c r="D392" s="81"/>
      <c r="E392" s="81"/>
      <c r="F392" s="81" t="s">
        <v>403</v>
      </c>
    </row>
    <row r="393" spans="2:6">
      <c r="B393" s="78"/>
      <c r="C393" s="81"/>
      <c r="D393" s="81"/>
      <c r="E393" s="81" t="s">
        <v>897</v>
      </c>
      <c r="F393" s="81"/>
    </row>
    <row r="394" spans="2:6">
      <c r="B394" s="78" t="s">
        <v>2545</v>
      </c>
      <c r="C394" s="81"/>
      <c r="D394" s="81"/>
      <c r="E394" s="81"/>
      <c r="F394" s="81" t="s">
        <v>898</v>
      </c>
    </row>
    <row r="395" spans="2:6">
      <c r="B395" s="78" t="s">
        <v>2334</v>
      </c>
      <c r="C395" s="81"/>
      <c r="D395" s="81"/>
      <c r="E395" s="81"/>
      <c r="F395" s="81" t="s">
        <v>899</v>
      </c>
    </row>
    <row r="396" spans="2:6">
      <c r="B396" s="78" t="s">
        <v>2546</v>
      </c>
      <c r="C396" s="81"/>
      <c r="D396" s="81"/>
      <c r="E396" s="81"/>
      <c r="F396" s="81" t="s">
        <v>900</v>
      </c>
    </row>
    <row r="397" spans="2:6">
      <c r="B397" s="78" t="s">
        <v>2547</v>
      </c>
      <c r="C397" s="81"/>
      <c r="D397" s="81"/>
      <c r="E397" s="81"/>
      <c r="F397" s="81" t="s">
        <v>901</v>
      </c>
    </row>
    <row r="398" spans="2:6">
      <c r="B398" s="78"/>
      <c r="C398" s="81"/>
      <c r="D398" s="81"/>
      <c r="E398" s="81" t="s">
        <v>902</v>
      </c>
      <c r="F398" s="81"/>
    </row>
    <row r="399" spans="2:6">
      <c r="B399" s="78" t="s">
        <v>2548</v>
      </c>
      <c r="C399" s="81"/>
      <c r="D399" s="81"/>
      <c r="E399" s="81"/>
      <c r="F399" s="81" t="s">
        <v>903</v>
      </c>
    </row>
    <row r="400" spans="2:6">
      <c r="B400" s="78" t="s">
        <v>2549</v>
      </c>
      <c r="C400" s="81"/>
      <c r="D400" s="81"/>
      <c r="E400" s="81"/>
      <c r="F400" s="81" t="s">
        <v>904</v>
      </c>
    </row>
    <row r="401" spans="2:6">
      <c r="B401" s="78" t="s">
        <v>2550</v>
      </c>
      <c r="C401" s="81"/>
      <c r="D401" s="81"/>
      <c r="E401" s="81"/>
      <c r="F401" s="81" t="s">
        <v>905</v>
      </c>
    </row>
    <row r="402" spans="2:6">
      <c r="B402" s="78" t="s">
        <v>2551</v>
      </c>
      <c r="C402" s="81"/>
      <c r="D402" s="81"/>
      <c r="E402" s="81"/>
      <c r="F402" s="81" t="s">
        <v>906</v>
      </c>
    </row>
    <row r="403" spans="2:6">
      <c r="B403" s="78" t="s">
        <v>2552</v>
      </c>
      <c r="C403" s="81"/>
      <c r="D403" s="81"/>
      <c r="E403" s="81"/>
      <c r="F403" s="81" t="s">
        <v>907</v>
      </c>
    </row>
    <row r="404" spans="2:6">
      <c r="B404" s="78" t="s">
        <v>2553</v>
      </c>
      <c r="C404" s="81"/>
      <c r="D404" s="81"/>
      <c r="E404" s="81"/>
      <c r="F404" s="81" t="s">
        <v>908</v>
      </c>
    </row>
    <row r="405" spans="2:6">
      <c r="B405" s="78" t="s">
        <v>2554</v>
      </c>
      <c r="C405" s="81"/>
      <c r="D405" s="81"/>
      <c r="E405" s="81"/>
      <c r="F405" s="81" t="s">
        <v>909</v>
      </c>
    </row>
    <row r="406" spans="2:6">
      <c r="B406" s="78" t="s">
        <v>2335</v>
      </c>
      <c r="C406" s="81"/>
      <c r="D406" s="81"/>
      <c r="E406" s="81"/>
      <c r="F406" s="81" t="s">
        <v>910</v>
      </c>
    </row>
    <row r="407" spans="2:6">
      <c r="B407" s="78"/>
      <c r="C407" s="81"/>
      <c r="D407" s="81"/>
      <c r="E407" s="81" t="s">
        <v>911</v>
      </c>
      <c r="F407" s="81"/>
    </row>
    <row r="408" spans="2:6">
      <c r="B408" s="78" t="s">
        <v>2555</v>
      </c>
      <c r="C408" s="81"/>
      <c r="D408" s="81"/>
      <c r="E408" s="81"/>
      <c r="F408" s="81" t="s">
        <v>912</v>
      </c>
    </row>
    <row r="409" spans="2:6">
      <c r="B409" s="78" t="s">
        <v>2556</v>
      </c>
      <c r="C409" s="81"/>
      <c r="D409" s="81"/>
      <c r="E409" s="81"/>
      <c r="F409" s="81" t="s">
        <v>913</v>
      </c>
    </row>
    <row r="410" spans="2:6">
      <c r="B410" s="78" t="s">
        <v>2557</v>
      </c>
      <c r="C410" s="81"/>
      <c r="D410" s="81"/>
      <c r="E410" s="81"/>
      <c r="F410" s="81" t="s">
        <v>914</v>
      </c>
    </row>
    <row r="411" spans="2:6">
      <c r="B411" s="78"/>
      <c r="C411" s="81"/>
      <c r="D411" s="81"/>
      <c r="E411" s="81" t="s">
        <v>915</v>
      </c>
      <c r="F411" s="81"/>
    </row>
    <row r="412" spans="2:6">
      <c r="B412" s="78" t="s">
        <v>2558</v>
      </c>
      <c r="C412" s="81"/>
      <c r="D412" s="81"/>
      <c r="E412" s="81"/>
      <c r="F412" s="81" t="s">
        <v>916</v>
      </c>
    </row>
    <row r="413" spans="2:6">
      <c r="B413" s="78" t="s">
        <v>2559</v>
      </c>
      <c r="C413" s="81"/>
      <c r="D413" s="81"/>
      <c r="E413" s="81"/>
      <c r="F413" s="81" t="s">
        <v>917</v>
      </c>
    </row>
    <row r="414" spans="2:6">
      <c r="B414" s="78" t="s">
        <v>2336</v>
      </c>
      <c r="C414" s="81"/>
      <c r="D414" s="81"/>
      <c r="E414" s="81"/>
      <c r="F414" s="81" t="s">
        <v>918</v>
      </c>
    </row>
    <row r="415" spans="2:6">
      <c r="B415" s="78"/>
      <c r="C415" s="81"/>
      <c r="D415" s="81" t="s">
        <v>919</v>
      </c>
      <c r="E415" s="81"/>
      <c r="F415" s="81"/>
    </row>
    <row r="416" spans="2:6">
      <c r="B416" s="78"/>
      <c r="C416" s="81"/>
      <c r="D416" s="81"/>
      <c r="E416" s="81" t="s">
        <v>920</v>
      </c>
      <c r="F416" s="81"/>
    </row>
    <row r="417" spans="2:6">
      <c r="B417" s="78" t="s">
        <v>2560</v>
      </c>
      <c r="C417" s="81"/>
      <c r="D417" s="81"/>
      <c r="E417" s="81"/>
      <c r="F417" s="81" t="s">
        <v>401</v>
      </c>
    </row>
    <row r="418" spans="2:6">
      <c r="B418" s="78" t="s">
        <v>2561</v>
      </c>
      <c r="C418" s="81"/>
      <c r="D418" s="81"/>
      <c r="E418" s="81"/>
      <c r="F418" s="81" t="s">
        <v>403</v>
      </c>
    </row>
    <row r="419" spans="2:6">
      <c r="B419" s="78"/>
      <c r="C419" s="81"/>
      <c r="D419" s="81"/>
      <c r="E419" s="81" t="s">
        <v>921</v>
      </c>
      <c r="F419" s="81"/>
    </row>
    <row r="420" spans="2:6">
      <c r="B420" s="78" t="s">
        <v>2562</v>
      </c>
      <c r="C420" s="81"/>
      <c r="D420" s="81"/>
      <c r="E420" s="81"/>
      <c r="F420" s="81" t="s">
        <v>922</v>
      </c>
    </row>
    <row r="421" spans="2:6">
      <c r="B421" s="78" t="s">
        <v>2337</v>
      </c>
      <c r="C421" s="81"/>
      <c r="D421" s="81"/>
      <c r="E421" s="81"/>
      <c r="F421" s="81" t="s">
        <v>923</v>
      </c>
    </row>
    <row r="422" spans="2:6">
      <c r="B422" s="78" t="s">
        <v>2563</v>
      </c>
      <c r="C422" s="81"/>
      <c r="D422" s="81"/>
      <c r="E422" s="81"/>
      <c r="F422" s="81" t="s">
        <v>924</v>
      </c>
    </row>
    <row r="423" spans="2:6">
      <c r="B423" s="78"/>
      <c r="C423" s="81"/>
      <c r="D423" s="81"/>
      <c r="E423" s="81" t="s">
        <v>925</v>
      </c>
      <c r="F423" s="81"/>
    </row>
    <row r="424" spans="2:6">
      <c r="B424" s="78" t="s">
        <v>2564</v>
      </c>
      <c r="C424" s="81"/>
      <c r="D424" s="81"/>
      <c r="E424" s="81"/>
      <c r="F424" s="81" t="s">
        <v>925</v>
      </c>
    </row>
    <row r="425" spans="2:6">
      <c r="B425" s="78"/>
      <c r="C425" s="81"/>
      <c r="D425" s="81"/>
      <c r="E425" s="81" t="s">
        <v>926</v>
      </c>
      <c r="F425" s="81"/>
    </row>
    <row r="426" spans="2:6">
      <c r="B426" s="78" t="s">
        <v>2565</v>
      </c>
      <c r="C426" s="81"/>
      <c r="D426" s="81"/>
      <c r="E426" s="81"/>
      <c r="F426" s="81" t="s">
        <v>926</v>
      </c>
    </row>
    <row r="427" spans="2:6">
      <c r="B427" s="78"/>
      <c r="C427" s="81"/>
      <c r="D427" s="81"/>
      <c r="E427" s="81" t="s">
        <v>927</v>
      </c>
      <c r="F427" s="81"/>
    </row>
    <row r="428" spans="2:6">
      <c r="B428" s="78" t="s">
        <v>2566</v>
      </c>
      <c r="C428" s="81"/>
      <c r="D428" s="81"/>
      <c r="E428" s="81"/>
      <c r="F428" s="81" t="s">
        <v>928</v>
      </c>
    </row>
    <row r="429" spans="2:6">
      <c r="B429" s="78" t="s">
        <v>2567</v>
      </c>
      <c r="C429" s="81"/>
      <c r="D429" s="81"/>
      <c r="E429" s="81"/>
      <c r="F429" s="81" t="s">
        <v>929</v>
      </c>
    </row>
    <row r="430" spans="2:6">
      <c r="B430" s="78" t="s">
        <v>2568</v>
      </c>
      <c r="C430" s="81"/>
      <c r="D430" s="81"/>
      <c r="E430" s="81"/>
      <c r="F430" s="81" t="s">
        <v>930</v>
      </c>
    </row>
    <row r="431" spans="2:6">
      <c r="B431" s="78" t="s">
        <v>2569</v>
      </c>
      <c r="C431" s="81"/>
      <c r="D431" s="81"/>
      <c r="E431" s="81"/>
      <c r="F431" s="81" t="s">
        <v>931</v>
      </c>
    </row>
    <row r="432" spans="2:6">
      <c r="B432" s="78"/>
      <c r="C432" s="81"/>
      <c r="D432" s="81" t="s">
        <v>932</v>
      </c>
      <c r="E432" s="81"/>
      <c r="F432" s="81"/>
    </row>
    <row r="433" spans="2:6">
      <c r="B433" s="78"/>
      <c r="C433" s="81"/>
      <c r="D433" s="81"/>
      <c r="E433" s="81" t="s">
        <v>933</v>
      </c>
      <c r="F433" s="81"/>
    </row>
    <row r="434" spans="2:6">
      <c r="B434" s="78" t="s">
        <v>2570</v>
      </c>
      <c r="C434" s="81"/>
      <c r="D434" s="81"/>
      <c r="E434" s="81"/>
      <c r="F434" s="81" t="s">
        <v>401</v>
      </c>
    </row>
    <row r="435" spans="2:6">
      <c r="B435" s="78" t="s">
        <v>2571</v>
      </c>
      <c r="C435" s="81"/>
      <c r="D435" s="81"/>
      <c r="E435" s="81"/>
      <c r="F435" s="81" t="s">
        <v>403</v>
      </c>
    </row>
    <row r="436" spans="2:6">
      <c r="B436" s="78"/>
      <c r="C436" s="81"/>
      <c r="D436" s="81"/>
      <c r="E436" s="81" t="s">
        <v>934</v>
      </c>
      <c r="F436" s="81"/>
    </row>
    <row r="437" spans="2:6">
      <c r="B437" s="78" t="s">
        <v>2572</v>
      </c>
      <c r="C437" s="81"/>
      <c r="D437" s="81"/>
      <c r="E437" s="81"/>
      <c r="F437" s="81" t="s">
        <v>934</v>
      </c>
    </row>
    <row r="438" spans="2:6">
      <c r="B438" s="78"/>
      <c r="C438" s="81"/>
      <c r="D438" s="81"/>
      <c r="E438" s="81" t="s">
        <v>935</v>
      </c>
      <c r="F438" s="81"/>
    </row>
    <row r="439" spans="2:6">
      <c r="B439" s="78" t="s">
        <v>2573</v>
      </c>
      <c r="C439" s="81"/>
      <c r="D439" s="81"/>
      <c r="E439" s="81"/>
      <c r="F439" s="81" t="s">
        <v>936</v>
      </c>
    </row>
    <row r="440" spans="2:6">
      <c r="B440" s="78" t="s">
        <v>2574</v>
      </c>
      <c r="C440" s="81"/>
      <c r="D440" s="81"/>
      <c r="E440" s="81"/>
      <c r="F440" s="81" t="s">
        <v>937</v>
      </c>
    </row>
    <row r="441" spans="2:6">
      <c r="B441" s="78" t="s">
        <v>2575</v>
      </c>
      <c r="C441" s="81"/>
      <c r="D441" s="81"/>
      <c r="E441" s="81"/>
      <c r="F441" s="81" t="s">
        <v>938</v>
      </c>
    </row>
    <row r="442" spans="2:6">
      <c r="B442" s="78" t="s">
        <v>2576</v>
      </c>
      <c r="C442" s="81"/>
      <c r="D442" s="81"/>
      <c r="E442" s="81"/>
      <c r="F442" s="81" t="s">
        <v>939</v>
      </c>
    </row>
    <row r="443" spans="2:6">
      <c r="B443" s="78"/>
      <c r="C443" s="81"/>
      <c r="D443" s="81"/>
      <c r="E443" s="81" t="s">
        <v>940</v>
      </c>
      <c r="F443" s="81"/>
    </row>
    <row r="444" spans="2:6">
      <c r="B444" s="78" t="s">
        <v>2577</v>
      </c>
      <c r="C444" s="81"/>
      <c r="D444" s="81"/>
      <c r="E444" s="81"/>
      <c r="F444" s="81" t="s">
        <v>941</v>
      </c>
    </row>
    <row r="445" spans="2:6">
      <c r="B445" s="78" t="s">
        <v>2578</v>
      </c>
      <c r="C445" s="81"/>
      <c r="D445" s="81"/>
      <c r="E445" s="81"/>
      <c r="F445" s="81" t="s">
        <v>942</v>
      </c>
    </row>
    <row r="446" spans="2:6">
      <c r="B446" s="78" t="s">
        <v>2579</v>
      </c>
      <c r="C446" s="81"/>
      <c r="D446" s="81"/>
      <c r="E446" s="81"/>
      <c r="F446" s="81" t="s">
        <v>943</v>
      </c>
    </row>
    <row r="447" spans="2:6">
      <c r="B447" s="78"/>
      <c r="C447" s="81"/>
      <c r="D447" s="81"/>
      <c r="E447" s="81" t="s">
        <v>944</v>
      </c>
      <c r="F447" s="81"/>
    </row>
    <row r="448" spans="2:6">
      <c r="B448" s="78" t="s">
        <v>2338</v>
      </c>
      <c r="C448" s="81"/>
      <c r="D448" s="81"/>
      <c r="E448" s="81"/>
      <c r="F448" s="81" t="s">
        <v>945</v>
      </c>
    </row>
    <row r="449" spans="2:6">
      <c r="B449" s="78" t="s">
        <v>2580</v>
      </c>
      <c r="C449" s="81"/>
      <c r="D449" s="81"/>
      <c r="E449" s="81"/>
      <c r="F449" s="81" t="s">
        <v>946</v>
      </c>
    </row>
    <row r="450" spans="2:6">
      <c r="B450" s="78" t="s">
        <v>2581</v>
      </c>
      <c r="C450" s="81"/>
      <c r="D450" s="81"/>
      <c r="E450" s="81"/>
      <c r="F450" s="81" t="s">
        <v>947</v>
      </c>
    </row>
    <row r="451" spans="2:6">
      <c r="B451" s="78"/>
      <c r="C451" s="81"/>
      <c r="D451" s="81"/>
      <c r="E451" s="81" t="s">
        <v>948</v>
      </c>
      <c r="F451" s="81"/>
    </row>
    <row r="452" spans="2:6">
      <c r="B452" s="78" t="s">
        <v>2582</v>
      </c>
      <c r="C452" s="81"/>
      <c r="D452" s="81"/>
      <c r="E452" s="81"/>
      <c r="F452" s="81" t="s">
        <v>949</v>
      </c>
    </row>
    <row r="453" spans="2:6">
      <c r="B453" s="78" t="s">
        <v>2583</v>
      </c>
      <c r="C453" s="81"/>
      <c r="D453" s="81"/>
      <c r="E453" s="81"/>
      <c r="F453" s="81" t="s">
        <v>950</v>
      </c>
    </row>
    <row r="454" spans="2:6">
      <c r="B454" s="78" t="s">
        <v>2584</v>
      </c>
      <c r="C454" s="81"/>
      <c r="D454" s="81"/>
      <c r="E454" s="81"/>
      <c r="F454" s="81" t="s">
        <v>951</v>
      </c>
    </row>
    <row r="455" spans="2:6">
      <c r="B455" s="78" t="s">
        <v>2339</v>
      </c>
      <c r="C455" s="81"/>
      <c r="D455" s="81"/>
      <c r="E455" s="81"/>
      <c r="F455" s="81" t="s">
        <v>952</v>
      </c>
    </row>
    <row r="456" spans="2:6">
      <c r="B456" s="78"/>
      <c r="C456" s="81"/>
      <c r="D456" s="81"/>
      <c r="E456" s="81" t="s">
        <v>953</v>
      </c>
      <c r="F456" s="81"/>
    </row>
    <row r="457" spans="2:6">
      <c r="B457" s="78" t="s">
        <v>2585</v>
      </c>
      <c r="C457" s="81"/>
      <c r="D457" s="81"/>
      <c r="E457" s="81"/>
      <c r="F457" s="81" t="s">
        <v>953</v>
      </c>
    </row>
    <row r="458" spans="2:6">
      <c r="B458" s="78"/>
      <c r="C458" s="81"/>
      <c r="D458" s="81" t="s">
        <v>954</v>
      </c>
      <c r="E458" s="81"/>
      <c r="F458" s="81"/>
    </row>
    <row r="459" spans="2:6">
      <c r="B459" s="78"/>
      <c r="C459" s="81"/>
      <c r="D459" s="81"/>
      <c r="E459" s="81" t="s">
        <v>955</v>
      </c>
      <c r="F459" s="81"/>
    </row>
    <row r="460" spans="2:6">
      <c r="B460" s="78" t="s">
        <v>2586</v>
      </c>
      <c r="C460" s="81"/>
      <c r="D460" s="81"/>
      <c r="E460" s="81"/>
      <c r="F460" s="81" t="s">
        <v>401</v>
      </c>
    </row>
    <row r="461" spans="2:6">
      <c r="B461" s="78" t="s">
        <v>2587</v>
      </c>
      <c r="C461" s="81"/>
      <c r="D461" s="81"/>
      <c r="E461" s="81"/>
      <c r="F461" s="81" t="s">
        <v>403</v>
      </c>
    </row>
    <row r="462" spans="2:6">
      <c r="B462" s="78"/>
      <c r="C462" s="81"/>
      <c r="D462" s="81"/>
      <c r="E462" s="81" t="s">
        <v>956</v>
      </c>
      <c r="F462" s="81"/>
    </row>
    <row r="463" spans="2:6">
      <c r="B463" s="78" t="s">
        <v>2588</v>
      </c>
      <c r="C463" s="81"/>
      <c r="D463" s="81"/>
      <c r="E463" s="81"/>
      <c r="F463" s="81" t="s">
        <v>957</v>
      </c>
    </row>
    <row r="464" spans="2:6">
      <c r="B464" s="78" t="s">
        <v>2589</v>
      </c>
      <c r="C464" s="81"/>
      <c r="D464" s="81"/>
      <c r="E464" s="81"/>
      <c r="F464" s="81" t="s">
        <v>958</v>
      </c>
    </row>
    <row r="465" spans="2:6">
      <c r="B465" s="78" t="s">
        <v>2590</v>
      </c>
      <c r="C465" s="81"/>
      <c r="D465" s="81"/>
      <c r="E465" s="81"/>
      <c r="F465" s="81" t="s">
        <v>959</v>
      </c>
    </row>
    <row r="466" spans="2:6">
      <c r="B466" s="78"/>
      <c r="C466" s="81"/>
      <c r="D466" s="81"/>
      <c r="E466" s="81" t="s">
        <v>960</v>
      </c>
      <c r="F466" s="81"/>
    </row>
    <row r="467" spans="2:6">
      <c r="B467" s="78" t="s">
        <v>2591</v>
      </c>
      <c r="C467" s="81"/>
      <c r="D467" s="81"/>
      <c r="E467" s="81"/>
      <c r="F467" s="81" t="s">
        <v>960</v>
      </c>
    </row>
    <row r="468" spans="2:6">
      <c r="B468" s="78"/>
      <c r="C468" s="81"/>
      <c r="D468" s="81"/>
      <c r="E468" s="81" t="s">
        <v>961</v>
      </c>
      <c r="F468" s="81"/>
    </row>
    <row r="469" spans="2:6">
      <c r="B469" s="78" t="s">
        <v>2592</v>
      </c>
      <c r="C469" s="81"/>
      <c r="D469" s="81"/>
      <c r="E469" s="81"/>
      <c r="F469" s="81" t="s">
        <v>962</v>
      </c>
    </row>
    <row r="470" spans="2:6">
      <c r="B470" s="78" t="s">
        <v>2593</v>
      </c>
      <c r="C470" s="81"/>
      <c r="D470" s="81"/>
      <c r="E470" s="81"/>
      <c r="F470" s="81" t="s">
        <v>963</v>
      </c>
    </row>
    <row r="471" spans="2:6">
      <c r="B471" s="78"/>
      <c r="C471" s="81"/>
      <c r="D471" s="81"/>
      <c r="E471" s="81" t="s">
        <v>964</v>
      </c>
      <c r="F471" s="81"/>
    </row>
    <row r="472" spans="2:6">
      <c r="B472" s="78" t="s">
        <v>2594</v>
      </c>
      <c r="C472" s="81"/>
      <c r="D472" s="81"/>
      <c r="E472" s="81"/>
      <c r="F472" s="81" t="s">
        <v>964</v>
      </c>
    </row>
    <row r="473" spans="2:6">
      <c r="B473" s="78"/>
      <c r="C473" s="81"/>
      <c r="D473" s="81" t="s">
        <v>965</v>
      </c>
      <c r="E473" s="81"/>
      <c r="F473" s="81"/>
    </row>
    <row r="474" spans="2:6">
      <c r="B474" s="78"/>
      <c r="C474" s="81"/>
      <c r="D474" s="81"/>
      <c r="E474" s="81" t="s">
        <v>966</v>
      </c>
      <c r="F474" s="81"/>
    </row>
    <row r="475" spans="2:6">
      <c r="B475" s="78" t="s">
        <v>2595</v>
      </c>
      <c r="C475" s="81"/>
      <c r="D475" s="81"/>
      <c r="E475" s="81"/>
      <c r="F475" s="81" t="s">
        <v>401</v>
      </c>
    </row>
    <row r="476" spans="2:6">
      <c r="B476" s="78" t="s">
        <v>2596</v>
      </c>
      <c r="C476" s="81"/>
      <c r="D476" s="81"/>
      <c r="E476" s="81"/>
      <c r="F476" s="81" t="s">
        <v>403</v>
      </c>
    </row>
    <row r="477" spans="2:6">
      <c r="B477" s="78"/>
      <c r="C477" s="81"/>
      <c r="D477" s="81"/>
      <c r="E477" s="81" t="s">
        <v>967</v>
      </c>
      <c r="F477" s="81"/>
    </row>
    <row r="478" spans="2:6">
      <c r="B478" s="78" t="s">
        <v>2597</v>
      </c>
      <c r="C478" s="81"/>
      <c r="D478" s="81"/>
      <c r="E478" s="81"/>
      <c r="F478" s="81" t="s">
        <v>968</v>
      </c>
    </row>
    <row r="479" spans="2:6">
      <c r="B479" s="78" t="s">
        <v>2598</v>
      </c>
      <c r="C479" s="81"/>
      <c r="D479" s="81"/>
      <c r="E479" s="81"/>
      <c r="F479" s="81" t="s">
        <v>969</v>
      </c>
    </row>
    <row r="480" spans="2:6">
      <c r="B480" s="78" t="s">
        <v>2599</v>
      </c>
      <c r="C480" s="81"/>
      <c r="D480" s="81"/>
      <c r="E480" s="81"/>
      <c r="F480" s="81" t="s">
        <v>970</v>
      </c>
    </row>
    <row r="481" spans="2:6">
      <c r="B481" s="78"/>
      <c r="C481" s="81"/>
      <c r="D481" s="81"/>
      <c r="E481" s="81" t="s">
        <v>971</v>
      </c>
      <c r="F481" s="81"/>
    </row>
    <row r="482" spans="2:6">
      <c r="B482" s="78" t="s">
        <v>2600</v>
      </c>
      <c r="C482" s="81"/>
      <c r="D482" s="81"/>
      <c r="E482" s="81"/>
      <c r="F482" s="81" t="s">
        <v>972</v>
      </c>
    </row>
    <row r="483" spans="2:6">
      <c r="B483" s="78" t="s">
        <v>2601</v>
      </c>
      <c r="C483" s="81"/>
      <c r="D483" s="81"/>
      <c r="E483" s="81"/>
      <c r="F483" s="81" t="s">
        <v>973</v>
      </c>
    </row>
    <row r="484" spans="2:6">
      <c r="B484" s="78" t="s">
        <v>2602</v>
      </c>
      <c r="C484" s="81"/>
      <c r="D484" s="81"/>
      <c r="E484" s="81"/>
      <c r="F484" s="81" t="s">
        <v>974</v>
      </c>
    </row>
    <row r="485" spans="2:6">
      <c r="B485" s="78" t="s">
        <v>2603</v>
      </c>
      <c r="C485" s="81"/>
      <c r="D485" s="81"/>
      <c r="E485" s="81"/>
      <c r="F485" s="81" t="s">
        <v>975</v>
      </c>
    </row>
    <row r="486" spans="2:6">
      <c r="B486" s="78" t="s">
        <v>2604</v>
      </c>
      <c r="C486" s="81"/>
      <c r="D486" s="81"/>
      <c r="E486" s="81"/>
      <c r="F486" s="81" t="s">
        <v>976</v>
      </c>
    </row>
    <row r="487" spans="2:6">
      <c r="B487" s="78"/>
      <c r="C487" s="81"/>
      <c r="D487" s="81"/>
      <c r="E487" s="81" t="s">
        <v>977</v>
      </c>
      <c r="F487" s="81"/>
    </row>
    <row r="488" spans="2:6">
      <c r="B488" s="78" t="s">
        <v>2605</v>
      </c>
      <c r="C488" s="81"/>
      <c r="D488" s="81"/>
      <c r="E488" s="81"/>
      <c r="F488" s="81" t="s">
        <v>978</v>
      </c>
    </row>
    <row r="489" spans="2:6">
      <c r="B489" s="78" t="s">
        <v>2606</v>
      </c>
      <c r="C489" s="81"/>
      <c r="D489" s="81"/>
      <c r="E489" s="81"/>
      <c r="F489" s="81" t="s">
        <v>979</v>
      </c>
    </row>
    <row r="490" spans="2:6">
      <c r="B490" s="78" t="s">
        <v>2607</v>
      </c>
      <c r="C490" s="81"/>
      <c r="D490" s="81"/>
      <c r="E490" s="81"/>
      <c r="F490" s="81" t="s">
        <v>980</v>
      </c>
    </row>
    <row r="491" spans="2:6">
      <c r="B491" s="78" t="s">
        <v>2608</v>
      </c>
      <c r="C491" s="81"/>
      <c r="D491" s="81"/>
      <c r="E491" s="81"/>
      <c r="F491" s="81" t="s">
        <v>981</v>
      </c>
    </row>
    <row r="492" spans="2:6">
      <c r="B492" s="78" t="s">
        <v>2609</v>
      </c>
      <c r="C492" s="81"/>
      <c r="D492" s="81"/>
      <c r="E492" s="81"/>
      <c r="F492" s="81" t="s">
        <v>982</v>
      </c>
    </row>
    <row r="493" spans="2:6">
      <c r="B493" s="78" t="s">
        <v>2610</v>
      </c>
      <c r="C493" s="81"/>
      <c r="D493" s="81"/>
      <c r="E493" s="81"/>
      <c r="F493" s="81" t="s">
        <v>983</v>
      </c>
    </row>
    <row r="494" spans="2:6">
      <c r="B494" s="78" t="s">
        <v>2611</v>
      </c>
      <c r="C494" s="81"/>
      <c r="D494" s="81"/>
      <c r="E494" s="81"/>
      <c r="F494" s="81" t="s">
        <v>984</v>
      </c>
    </row>
    <row r="495" spans="2:6">
      <c r="B495" s="78"/>
      <c r="C495" s="81"/>
      <c r="D495" s="81"/>
      <c r="E495" s="81" t="s">
        <v>985</v>
      </c>
      <c r="F495" s="81"/>
    </row>
    <row r="496" spans="2:6">
      <c r="B496" s="78" t="s">
        <v>2612</v>
      </c>
      <c r="C496" s="81"/>
      <c r="D496" s="81"/>
      <c r="E496" s="81"/>
      <c r="F496" s="81" t="s">
        <v>986</v>
      </c>
    </row>
    <row r="497" spans="2:6">
      <c r="B497" s="78" t="s">
        <v>2613</v>
      </c>
      <c r="C497" s="81"/>
      <c r="D497" s="81"/>
      <c r="E497" s="81"/>
      <c r="F497" s="81" t="s">
        <v>987</v>
      </c>
    </row>
    <row r="498" spans="2:6">
      <c r="B498" s="78" t="s">
        <v>2614</v>
      </c>
      <c r="C498" s="81"/>
      <c r="D498" s="81"/>
      <c r="E498" s="81"/>
      <c r="F498" s="81" t="s">
        <v>988</v>
      </c>
    </row>
    <row r="499" spans="2:6">
      <c r="B499" s="78" t="s">
        <v>2615</v>
      </c>
      <c r="C499" s="81"/>
      <c r="D499" s="81"/>
      <c r="E499" s="81"/>
      <c r="F499" s="81" t="s">
        <v>989</v>
      </c>
    </row>
    <row r="500" spans="2:6">
      <c r="B500" s="78" t="s">
        <v>2616</v>
      </c>
      <c r="C500" s="81"/>
      <c r="D500" s="81"/>
      <c r="E500" s="81"/>
      <c r="F500" s="81" t="s">
        <v>990</v>
      </c>
    </row>
    <row r="501" spans="2:6">
      <c r="B501" s="78" t="s">
        <v>2340</v>
      </c>
      <c r="C501" s="81"/>
      <c r="D501" s="81"/>
      <c r="E501" s="81"/>
      <c r="F501" s="81" t="s">
        <v>991</v>
      </c>
    </row>
    <row r="502" spans="2:6">
      <c r="B502" s="78" t="s">
        <v>2617</v>
      </c>
      <c r="C502" s="81"/>
      <c r="D502" s="81"/>
      <c r="E502" s="81"/>
      <c r="F502" s="81" t="s">
        <v>992</v>
      </c>
    </row>
    <row r="503" spans="2:6">
      <c r="B503" s="78"/>
      <c r="C503" s="81"/>
      <c r="D503" s="81"/>
      <c r="E503" s="81" t="s">
        <v>993</v>
      </c>
      <c r="F503" s="81"/>
    </row>
    <row r="504" spans="2:6">
      <c r="B504" s="78" t="s">
        <v>2618</v>
      </c>
      <c r="C504" s="81"/>
      <c r="D504" s="81"/>
      <c r="E504" s="81"/>
      <c r="F504" s="81" t="s">
        <v>994</v>
      </c>
    </row>
    <row r="505" spans="2:6">
      <c r="B505" s="78" t="s">
        <v>2619</v>
      </c>
      <c r="C505" s="81"/>
      <c r="D505" s="81"/>
      <c r="E505" s="81"/>
      <c r="F505" s="81" t="s">
        <v>995</v>
      </c>
    </row>
    <row r="506" spans="2:6">
      <c r="B506" s="78" t="s">
        <v>2341</v>
      </c>
      <c r="C506" s="81"/>
      <c r="D506" s="81"/>
      <c r="E506" s="81"/>
      <c r="F506" s="81" t="s">
        <v>996</v>
      </c>
    </row>
    <row r="507" spans="2:6">
      <c r="B507" s="78" t="s">
        <v>2620</v>
      </c>
      <c r="C507" s="81"/>
      <c r="D507" s="81"/>
      <c r="E507" s="81"/>
      <c r="F507" s="81" t="s">
        <v>997</v>
      </c>
    </row>
    <row r="508" spans="2:6">
      <c r="B508" s="78" t="s">
        <v>2621</v>
      </c>
      <c r="C508" s="81"/>
      <c r="D508" s="81"/>
      <c r="E508" s="81"/>
      <c r="F508" s="81" t="s">
        <v>998</v>
      </c>
    </row>
    <row r="509" spans="2:6">
      <c r="B509" s="78"/>
      <c r="C509" s="81"/>
      <c r="D509" s="81"/>
      <c r="E509" s="81" t="s">
        <v>999</v>
      </c>
      <c r="F509" s="81"/>
    </row>
    <row r="510" spans="2:6">
      <c r="B510" s="78" t="s">
        <v>2622</v>
      </c>
      <c r="C510" s="81"/>
      <c r="D510" s="81"/>
      <c r="E510" s="81"/>
      <c r="F510" s="81" t="s">
        <v>1000</v>
      </c>
    </row>
    <row r="511" spans="2:6">
      <c r="B511" s="78" t="s">
        <v>2623</v>
      </c>
      <c r="C511" s="81"/>
      <c r="D511" s="81"/>
      <c r="E511" s="81"/>
      <c r="F511" s="81" t="s">
        <v>1001</v>
      </c>
    </row>
    <row r="512" spans="2:6">
      <c r="B512" s="78" t="s">
        <v>2624</v>
      </c>
      <c r="C512" s="81"/>
      <c r="D512" s="81"/>
      <c r="E512" s="81"/>
      <c r="F512" s="81" t="s">
        <v>1002</v>
      </c>
    </row>
    <row r="513" spans="2:6">
      <c r="B513" s="78"/>
      <c r="C513" s="81"/>
      <c r="D513" s="81"/>
      <c r="E513" s="81" t="s">
        <v>1003</v>
      </c>
      <c r="F513" s="81"/>
    </row>
    <row r="514" spans="2:6">
      <c r="B514" s="78" t="s">
        <v>2625</v>
      </c>
      <c r="C514" s="81"/>
      <c r="D514" s="81"/>
      <c r="E514" s="81"/>
      <c r="F514" s="81" t="s">
        <v>1004</v>
      </c>
    </row>
    <row r="515" spans="2:6">
      <c r="B515" s="78" t="s">
        <v>2626</v>
      </c>
      <c r="C515" s="81"/>
      <c r="D515" s="81"/>
      <c r="E515" s="81"/>
      <c r="F515" s="81" t="s">
        <v>1005</v>
      </c>
    </row>
    <row r="516" spans="2:6">
      <c r="B516" s="78" t="s">
        <v>2627</v>
      </c>
      <c r="C516" s="81"/>
      <c r="D516" s="81"/>
      <c r="E516" s="81"/>
      <c r="F516" s="81" t="s">
        <v>1006</v>
      </c>
    </row>
    <row r="517" spans="2:6">
      <c r="B517" s="78" t="s">
        <v>2628</v>
      </c>
      <c r="C517" s="81"/>
      <c r="D517" s="81"/>
      <c r="E517" s="81"/>
      <c r="F517" s="81" t="s">
        <v>1007</v>
      </c>
    </row>
    <row r="518" spans="2:6">
      <c r="B518" s="78" t="s">
        <v>2629</v>
      </c>
      <c r="C518" s="81"/>
      <c r="D518" s="81"/>
      <c r="E518" s="81"/>
      <c r="F518" s="81" t="s">
        <v>1008</v>
      </c>
    </row>
    <row r="519" spans="2:6">
      <c r="B519" s="78" t="s">
        <v>2630</v>
      </c>
      <c r="C519" s="81"/>
      <c r="D519" s="81"/>
      <c r="E519" s="81"/>
      <c r="F519" s="81" t="s">
        <v>1009</v>
      </c>
    </row>
    <row r="520" spans="2:6">
      <c r="B520" s="78" t="s">
        <v>2631</v>
      </c>
      <c r="C520" s="81"/>
      <c r="D520" s="81"/>
      <c r="E520" s="81"/>
      <c r="F520" s="81" t="s">
        <v>1010</v>
      </c>
    </row>
    <row r="521" spans="2:6">
      <c r="B521" s="78" t="s">
        <v>2632</v>
      </c>
      <c r="C521" s="81"/>
      <c r="D521" s="81"/>
      <c r="E521" s="81"/>
      <c r="F521" s="81" t="s">
        <v>1011</v>
      </c>
    </row>
    <row r="522" spans="2:6">
      <c r="B522" s="78"/>
      <c r="C522" s="81"/>
      <c r="D522" s="81" t="s">
        <v>1012</v>
      </c>
      <c r="E522" s="81"/>
      <c r="F522" s="81"/>
    </row>
    <row r="523" spans="2:6">
      <c r="B523" s="78"/>
      <c r="C523" s="81"/>
      <c r="D523" s="81"/>
      <c r="E523" s="81" t="s">
        <v>1013</v>
      </c>
      <c r="F523" s="81"/>
    </row>
    <row r="524" spans="2:6">
      <c r="B524" s="78" t="s">
        <v>2633</v>
      </c>
      <c r="C524" s="81"/>
      <c r="D524" s="81"/>
      <c r="E524" s="81"/>
      <c r="F524" s="81" t="s">
        <v>401</v>
      </c>
    </row>
    <row r="525" spans="2:6">
      <c r="B525" s="78" t="s">
        <v>2634</v>
      </c>
      <c r="C525" s="81"/>
      <c r="D525" s="81"/>
      <c r="E525" s="81"/>
      <c r="F525" s="81" t="s">
        <v>403</v>
      </c>
    </row>
    <row r="526" spans="2:6">
      <c r="B526" s="78"/>
      <c r="C526" s="81"/>
      <c r="D526" s="81"/>
      <c r="E526" s="81" t="s">
        <v>1014</v>
      </c>
      <c r="F526" s="81"/>
    </row>
    <row r="527" spans="2:6">
      <c r="B527" s="78" t="s">
        <v>2635</v>
      </c>
      <c r="C527" s="81"/>
      <c r="D527" s="81"/>
      <c r="E527" s="81"/>
      <c r="F527" s="81" t="s">
        <v>1014</v>
      </c>
    </row>
    <row r="528" spans="2:6">
      <c r="B528" s="78"/>
      <c r="C528" s="81"/>
      <c r="D528" s="81"/>
      <c r="E528" s="149" t="s">
        <v>3652</v>
      </c>
      <c r="F528" s="81"/>
    </row>
    <row r="529" spans="2:6">
      <c r="B529" s="78" t="s">
        <v>2636</v>
      </c>
      <c r="C529" s="81"/>
      <c r="D529" s="81"/>
      <c r="E529" s="81"/>
      <c r="F529" s="149" t="s">
        <v>3652</v>
      </c>
    </row>
    <row r="530" spans="2:6">
      <c r="B530" s="78"/>
      <c r="C530" s="81"/>
      <c r="D530" s="81"/>
      <c r="E530" s="81" t="s">
        <v>1015</v>
      </c>
      <c r="F530" s="81"/>
    </row>
    <row r="531" spans="2:6">
      <c r="B531" s="78" t="s">
        <v>2637</v>
      </c>
      <c r="C531" s="81"/>
      <c r="D531" s="81"/>
      <c r="E531" s="81"/>
      <c r="F531" s="81" t="s">
        <v>1015</v>
      </c>
    </row>
    <row r="532" spans="2:6">
      <c r="B532" s="78"/>
      <c r="C532" s="81"/>
      <c r="D532" s="81"/>
      <c r="E532" s="81" t="s">
        <v>1016</v>
      </c>
      <c r="F532" s="81"/>
    </row>
    <row r="533" spans="2:6">
      <c r="B533" s="78" t="s">
        <v>2638</v>
      </c>
      <c r="C533" s="81"/>
      <c r="D533" s="81"/>
      <c r="E533" s="81"/>
      <c r="F533" s="81" t="s">
        <v>1016</v>
      </c>
    </row>
    <row r="534" spans="2:6">
      <c r="B534" s="78"/>
      <c r="C534" s="81"/>
      <c r="D534" s="81"/>
      <c r="E534" s="81" t="s">
        <v>1017</v>
      </c>
      <c r="F534" s="81"/>
    </row>
    <row r="535" spans="2:6">
      <c r="B535" s="78" t="s">
        <v>2639</v>
      </c>
      <c r="C535" s="81"/>
      <c r="D535" s="81"/>
      <c r="E535" s="81"/>
      <c r="F535" s="81" t="s">
        <v>1017</v>
      </c>
    </row>
    <row r="536" spans="2:6">
      <c r="B536" s="78"/>
      <c r="C536" s="81"/>
      <c r="D536" s="81" t="s">
        <v>1018</v>
      </c>
      <c r="E536" s="81"/>
      <c r="F536" s="81"/>
    </row>
    <row r="537" spans="2:6">
      <c r="B537" s="78"/>
      <c r="C537" s="81"/>
      <c r="D537" s="81"/>
      <c r="E537" s="81" t="s">
        <v>1019</v>
      </c>
      <c r="F537" s="81"/>
    </row>
    <row r="538" spans="2:6">
      <c r="B538" s="78" t="s">
        <v>2342</v>
      </c>
      <c r="C538" s="81"/>
      <c r="D538" s="81"/>
      <c r="E538" s="81"/>
      <c r="F538" s="81" t="s">
        <v>401</v>
      </c>
    </row>
    <row r="539" spans="2:6">
      <c r="B539" s="78" t="s">
        <v>2640</v>
      </c>
      <c r="C539" s="81"/>
      <c r="D539" s="81"/>
      <c r="E539" s="81"/>
      <c r="F539" s="81" t="s">
        <v>403</v>
      </c>
    </row>
    <row r="540" spans="2:6">
      <c r="B540" s="78"/>
      <c r="C540" s="81"/>
      <c r="D540" s="81"/>
      <c r="E540" s="81" t="s">
        <v>1020</v>
      </c>
      <c r="F540" s="81"/>
    </row>
    <row r="541" spans="2:6">
      <c r="B541" s="78" t="s">
        <v>2641</v>
      </c>
      <c r="C541" s="81"/>
      <c r="D541" s="81"/>
      <c r="E541" s="81"/>
      <c r="F541" s="81" t="s">
        <v>1021</v>
      </c>
    </row>
    <row r="542" spans="2:6">
      <c r="B542" s="78" t="s">
        <v>2642</v>
      </c>
      <c r="C542" s="81"/>
      <c r="D542" s="81"/>
      <c r="E542" s="81"/>
      <c r="F542" s="81" t="s">
        <v>1022</v>
      </c>
    </row>
    <row r="543" spans="2:6">
      <c r="B543" s="78" t="s">
        <v>2643</v>
      </c>
      <c r="C543" s="81"/>
      <c r="D543" s="81"/>
      <c r="E543" s="81"/>
      <c r="F543" s="81" t="s">
        <v>1023</v>
      </c>
    </row>
    <row r="544" spans="2:6">
      <c r="B544" s="78" t="s">
        <v>2644</v>
      </c>
      <c r="C544" s="81"/>
      <c r="D544" s="81"/>
      <c r="E544" s="81"/>
      <c r="F544" s="81" t="s">
        <v>1024</v>
      </c>
    </row>
    <row r="545" spans="2:6">
      <c r="B545" s="78" t="s">
        <v>2645</v>
      </c>
      <c r="C545" s="81"/>
      <c r="D545" s="81"/>
      <c r="E545" s="81"/>
      <c r="F545" s="81" t="s">
        <v>1025</v>
      </c>
    </row>
    <row r="546" spans="2:6">
      <c r="B546" s="78"/>
      <c r="C546" s="81"/>
      <c r="D546" s="81"/>
      <c r="E546" s="81" t="s">
        <v>1026</v>
      </c>
      <c r="F546" s="81"/>
    </row>
    <row r="547" spans="2:6">
      <c r="B547" s="78" t="s">
        <v>2646</v>
      </c>
      <c r="C547" s="81"/>
      <c r="D547" s="81"/>
      <c r="E547" s="81"/>
      <c r="F547" s="81" t="s">
        <v>1027</v>
      </c>
    </row>
    <row r="548" spans="2:6">
      <c r="B548" s="78" t="s">
        <v>2647</v>
      </c>
      <c r="C548" s="81"/>
      <c r="D548" s="81"/>
      <c r="E548" s="81"/>
      <c r="F548" s="81" t="s">
        <v>1028</v>
      </c>
    </row>
    <row r="549" spans="2:6">
      <c r="B549" s="78" t="s">
        <v>2648</v>
      </c>
      <c r="C549" s="81"/>
      <c r="D549" s="81"/>
      <c r="E549" s="81"/>
      <c r="F549" s="81" t="s">
        <v>1029</v>
      </c>
    </row>
    <row r="550" spans="2:6">
      <c r="B550" s="78" t="s">
        <v>2343</v>
      </c>
      <c r="C550" s="81"/>
      <c r="D550" s="81"/>
      <c r="E550" s="81"/>
      <c r="F550" s="81" t="s">
        <v>1030</v>
      </c>
    </row>
    <row r="551" spans="2:6">
      <c r="B551" s="78" t="s">
        <v>2649</v>
      </c>
      <c r="C551" s="81"/>
      <c r="D551" s="81"/>
      <c r="E551" s="81"/>
      <c r="F551" s="81" t="s">
        <v>1031</v>
      </c>
    </row>
    <row r="552" spans="2:6">
      <c r="B552" s="78"/>
      <c r="C552" s="81"/>
      <c r="D552" s="81"/>
      <c r="E552" s="81" t="s">
        <v>1032</v>
      </c>
      <c r="F552" s="81"/>
    </row>
    <row r="553" spans="2:6">
      <c r="B553" s="78" t="s">
        <v>385</v>
      </c>
      <c r="C553" s="81"/>
      <c r="D553" s="81"/>
      <c r="E553" s="81"/>
      <c r="F553" s="81" t="s">
        <v>1033</v>
      </c>
    </row>
    <row r="554" spans="2:6">
      <c r="B554" s="78" t="s">
        <v>2650</v>
      </c>
      <c r="C554" s="81"/>
      <c r="D554" s="81"/>
      <c r="E554" s="81"/>
      <c r="F554" s="81" t="s">
        <v>1034</v>
      </c>
    </row>
    <row r="555" spans="2:6">
      <c r="B555" s="78" t="s">
        <v>2344</v>
      </c>
      <c r="C555" s="81"/>
      <c r="D555" s="81"/>
      <c r="E555" s="81"/>
      <c r="F555" s="81" t="s">
        <v>1035</v>
      </c>
    </row>
    <row r="556" spans="2:6">
      <c r="B556" s="78" t="s">
        <v>2651</v>
      </c>
      <c r="C556" s="81"/>
      <c r="D556" s="81"/>
      <c r="E556" s="81"/>
      <c r="F556" s="81" t="s">
        <v>1036</v>
      </c>
    </row>
    <row r="557" spans="2:6">
      <c r="B557" s="78"/>
      <c r="C557" s="81"/>
      <c r="D557" s="81"/>
      <c r="E557" s="81" t="s">
        <v>1037</v>
      </c>
      <c r="F557" s="81"/>
    </row>
    <row r="558" spans="2:6">
      <c r="B558" s="78" t="s">
        <v>2652</v>
      </c>
      <c r="C558" s="81"/>
      <c r="D558" s="81"/>
      <c r="E558" s="81"/>
      <c r="F558" s="81" t="s">
        <v>1038</v>
      </c>
    </row>
    <row r="559" spans="2:6">
      <c r="B559" s="78" t="s">
        <v>2653</v>
      </c>
      <c r="C559" s="81"/>
      <c r="D559" s="81"/>
      <c r="E559" s="81"/>
      <c r="F559" s="81" t="s">
        <v>1039</v>
      </c>
    </row>
    <row r="560" spans="2:6">
      <c r="B560" s="78" t="s">
        <v>2654</v>
      </c>
      <c r="C560" s="81"/>
      <c r="D560" s="81"/>
      <c r="E560" s="81"/>
      <c r="F560" s="81" t="s">
        <v>1040</v>
      </c>
    </row>
    <row r="561" spans="2:6">
      <c r="B561" s="78" t="s">
        <v>2655</v>
      </c>
      <c r="C561" s="81"/>
      <c r="D561" s="81"/>
      <c r="E561" s="81"/>
      <c r="F561" s="81" t="s">
        <v>1041</v>
      </c>
    </row>
    <row r="562" spans="2:6">
      <c r="B562" s="78" t="s">
        <v>2345</v>
      </c>
      <c r="C562" s="81"/>
      <c r="D562" s="81"/>
      <c r="E562" s="81"/>
      <c r="F562" s="81" t="s">
        <v>1042</v>
      </c>
    </row>
    <row r="563" spans="2:6">
      <c r="B563" s="78"/>
      <c r="C563" s="81"/>
      <c r="D563" s="81"/>
      <c r="E563" s="81" t="s">
        <v>1043</v>
      </c>
      <c r="F563" s="81"/>
    </row>
    <row r="564" spans="2:6">
      <c r="B564" s="78" t="s">
        <v>2656</v>
      </c>
      <c r="C564" s="81"/>
      <c r="D564" s="81"/>
      <c r="E564" s="81"/>
      <c r="F564" s="81" t="s">
        <v>1044</v>
      </c>
    </row>
    <row r="565" spans="2:6">
      <c r="B565" s="78">
        <v>1852</v>
      </c>
      <c r="C565" s="81"/>
      <c r="D565" s="81"/>
      <c r="E565" s="81"/>
      <c r="F565" s="81" t="s">
        <v>1045</v>
      </c>
    </row>
    <row r="566" spans="2:6">
      <c r="B566" s="78"/>
      <c r="C566" s="81"/>
      <c r="D566" s="81"/>
      <c r="E566" s="81" t="s">
        <v>1046</v>
      </c>
      <c r="F566" s="81"/>
    </row>
    <row r="567" spans="2:6">
      <c r="B567" s="78" t="s">
        <v>2657</v>
      </c>
      <c r="C567" s="81"/>
      <c r="D567" s="81"/>
      <c r="E567" s="81"/>
      <c r="F567" s="81" t="s">
        <v>1047</v>
      </c>
    </row>
    <row r="568" spans="2:6">
      <c r="B568" s="78" t="s">
        <v>2658</v>
      </c>
      <c r="C568" s="81"/>
      <c r="D568" s="81"/>
      <c r="E568" s="81"/>
      <c r="F568" s="81" t="s">
        <v>1048</v>
      </c>
    </row>
    <row r="569" spans="2:6">
      <c r="B569" s="78" t="s">
        <v>2346</v>
      </c>
      <c r="C569" s="81"/>
      <c r="D569" s="81"/>
      <c r="E569" s="81"/>
      <c r="F569" s="81" t="s">
        <v>1049</v>
      </c>
    </row>
    <row r="570" spans="2:6">
      <c r="B570" s="78" t="s">
        <v>2659</v>
      </c>
      <c r="C570" s="81"/>
      <c r="D570" s="81"/>
      <c r="E570" s="81"/>
      <c r="F570" s="81" t="s">
        <v>1050</v>
      </c>
    </row>
    <row r="571" spans="2:6">
      <c r="B571" s="78"/>
      <c r="C571" s="81"/>
      <c r="D571" s="81" t="s">
        <v>1051</v>
      </c>
      <c r="E571" s="81"/>
      <c r="F571" s="81"/>
    </row>
    <row r="572" spans="2:6">
      <c r="B572" s="78"/>
      <c r="C572" s="81"/>
      <c r="D572" s="81"/>
      <c r="E572" s="81" t="s">
        <v>1052</v>
      </c>
      <c r="F572" s="81"/>
    </row>
    <row r="573" spans="2:6">
      <c r="B573" s="78" t="s">
        <v>2660</v>
      </c>
      <c r="C573" s="81"/>
      <c r="D573" s="81"/>
      <c r="E573" s="81"/>
      <c r="F573" s="81" t="s">
        <v>401</v>
      </c>
    </row>
    <row r="574" spans="2:6">
      <c r="B574" s="78" t="s">
        <v>2661</v>
      </c>
      <c r="C574" s="81"/>
      <c r="D574" s="81"/>
      <c r="E574" s="81"/>
      <c r="F574" s="81" t="s">
        <v>403</v>
      </c>
    </row>
    <row r="575" spans="2:6">
      <c r="B575" s="78"/>
      <c r="C575" s="81"/>
      <c r="D575" s="81"/>
      <c r="E575" s="81" t="s">
        <v>1053</v>
      </c>
      <c r="F575" s="81"/>
    </row>
    <row r="576" spans="2:6">
      <c r="B576" s="78" t="s">
        <v>2662</v>
      </c>
      <c r="C576" s="81"/>
      <c r="D576" s="81"/>
      <c r="E576" s="81"/>
      <c r="F576" s="81" t="s">
        <v>1054</v>
      </c>
    </row>
    <row r="577" spans="2:6">
      <c r="B577" s="78" t="s">
        <v>2347</v>
      </c>
      <c r="C577" s="81"/>
      <c r="D577" s="81"/>
      <c r="E577" s="81"/>
      <c r="F577" s="81" t="s">
        <v>1055</v>
      </c>
    </row>
    <row r="578" spans="2:6">
      <c r="B578" s="78"/>
      <c r="C578" s="81"/>
      <c r="D578" s="81"/>
      <c r="E578" s="81" t="s">
        <v>1056</v>
      </c>
      <c r="F578" s="81"/>
    </row>
    <row r="579" spans="2:6">
      <c r="B579" s="78" t="s">
        <v>2663</v>
      </c>
      <c r="C579" s="81"/>
      <c r="D579" s="81"/>
      <c r="E579" s="81"/>
      <c r="F579" s="81" t="s">
        <v>1057</v>
      </c>
    </row>
    <row r="580" spans="2:6">
      <c r="B580" s="78" t="s">
        <v>2664</v>
      </c>
      <c r="C580" s="81"/>
      <c r="D580" s="81"/>
      <c r="E580" s="81"/>
      <c r="F580" s="81" t="s">
        <v>1058</v>
      </c>
    </row>
    <row r="581" spans="2:6">
      <c r="B581" s="78"/>
      <c r="C581" s="81"/>
      <c r="D581" s="81"/>
      <c r="E581" s="81" t="s">
        <v>1059</v>
      </c>
      <c r="F581" s="81"/>
    </row>
    <row r="582" spans="2:6">
      <c r="B582" s="78" t="s">
        <v>2665</v>
      </c>
      <c r="C582" s="81"/>
      <c r="D582" s="81"/>
      <c r="E582" s="81"/>
      <c r="F582" s="81" t="s">
        <v>1060</v>
      </c>
    </row>
    <row r="583" spans="2:6">
      <c r="B583" s="78" t="s">
        <v>2666</v>
      </c>
      <c r="C583" s="81"/>
      <c r="D583" s="81"/>
      <c r="E583" s="81"/>
      <c r="F583" s="81" t="s">
        <v>1061</v>
      </c>
    </row>
    <row r="584" spans="2:6">
      <c r="B584" s="78" t="s">
        <v>2667</v>
      </c>
      <c r="C584" s="81"/>
      <c r="D584" s="81"/>
      <c r="E584" s="81"/>
      <c r="F584" s="81" t="s">
        <v>1062</v>
      </c>
    </row>
    <row r="585" spans="2:6">
      <c r="B585" s="78"/>
      <c r="C585" s="81"/>
      <c r="D585" s="81"/>
      <c r="E585" s="81" t="s">
        <v>1063</v>
      </c>
      <c r="F585" s="81"/>
    </row>
    <row r="586" spans="2:6">
      <c r="B586" s="78" t="s">
        <v>2668</v>
      </c>
      <c r="C586" s="81"/>
      <c r="D586" s="81"/>
      <c r="E586" s="81"/>
      <c r="F586" s="81" t="s">
        <v>1064</v>
      </c>
    </row>
    <row r="587" spans="2:6">
      <c r="B587" s="78" t="s">
        <v>2669</v>
      </c>
      <c r="C587" s="81"/>
      <c r="D587" s="81"/>
      <c r="E587" s="81"/>
      <c r="F587" s="81" t="s">
        <v>1065</v>
      </c>
    </row>
    <row r="588" spans="2:6">
      <c r="B588" s="78" t="s">
        <v>2670</v>
      </c>
      <c r="C588" s="81"/>
      <c r="D588" s="81"/>
      <c r="E588" s="81"/>
      <c r="F588" s="81" t="s">
        <v>1066</v>
      </c>
    </row>
    <row r="589" spans="2:6">
      <c r="B589" s="78" t="s">
        <v>2671</v>
      </c>
      <c r="C589" s="81"/>
      <c r="D589" s="81"/>
      <c r="E589" s="81"/>
      <c r="F589" s="81" t="s">
        <v>1067</v>
      </c>
    </row>
    <row r="590" spans="2:6">
      <c r="B590" s="78" t="s">
        <v>2672</v>
      </c>
      <c r="C590" s="81"/>
      <c r="D590" s="81"/>
      <c r="E590" s="81"/>
      <c r="F590" s="81" t="s">
        <v>1068</v>
      </c>
    </row>
    <row r="591" spans="2:6">
      <c r="B591" s="78" t="s">
        <v>2673</v>
      </c>
      <c r="C591" s="81"/>
      <c r="D591" s="81"/>
      <c r="E591" s="81"/>
      <c r="F591" s="81" t="s">
        <v>1069</v>
      </c>
    </row>
    <row r="592" spans="2:6">
      <c r="B592" s="78"/>
      <c r="C592" s="81"/>
      <c r="D592" s="81" t="s">
        <v>1070</v>
      </c>
      <c r="E592" s="81"/>
      <c r="F592" s="81"/>
    </row>
    <row r="593" spans="2:6">
      <c r="B593" s="78"/>
      <c r="C593" s="81"/>
      <c r="D593" s="81"/>
      <c r="E593" s="81" t="s">
        <v>1071</v>
      </c>
      <c r="F593" s="81"/>
    </row>
    <row r="594" spans="2:6">
      <c r="B594" s="78" t="s">
        <v>2674</v>
      </c>
      <c r="C594" s="81"/>
      <c r="D594" s="81"/>
      <c r="E594" s="81"/>
      <c r="F594" s="81" t="s">
        <v>401</v>
      </c>
    </row>
    <row r="595" spans="2:6">
      <c r="B595" s="78" t="s">
        <v>2675</v>
      </c>
      <c r="C595" s="81"/>
      <c r="D595" s="81"/>
      <c r="E595" s="81"/>
      <c r="F595" s="81" t="s">
        <v>403</v>
      </c>
    </row>
    <row r="596" spans="2:6">
      <c r="B596" s="78"/>
      <c r="C596" s="81"/>
      <c r="D596" s="81"/>
      <c r="E596" s="81" t="s">
        <v>1072</v>
      </c>
      <c r="F596" s="81"/>
    </row>
    <row r="597" spans="2:6">
      <c r="B597" s="78" t="s">
        <v>2676</v>
      </c>
      <c r="C597" s="81"/>
      <c r="D597" s="81"/>
      <c r="E597" s="81"/>
      <c r="F597" s="81" t="s">
        <v>1072</v>
      </c>
    </row>
    <row r="598" spans="2:6">
      <c r="B598" s="78"/>
      <c r="C598" s="81"/>
      <c r="D598" s="81"/>
      <c r="E598" s="81" t="s">
        <v>1073</v>
      </c>
      <c r="F598" s="81"/>
    </row>
    <row r="599" spans="2:6">
      <c r="B599" s="78" t="s">
        <v>2677</v>
      </c>
      <c r="C599" s="81"/>
      <c r="D599" s="81"/>
      <c r="E599" s="81"/>
      <c r="F599" s="81" t="s">
        <v>1073</v>
      </c>
    </row>
    <row r="600" spans="2:6">
      <c r="B600" s="78"/>
      <c r="C600" s="81"/>
      <c r="D600" s="81"/>
      <c r="E600" s="81" t="s">
        <v>1074</v>
      </c>
      <c r="F600" s="81"/>
    </row>
    <row r="601" spans="2:6">
      <c r="B601" s="78" t="s">
        <v>2678</v>
      </c>
      <c r="C601" s="81"/>
      <c r="D601" s="81"/>
      <c r="E601" s="81"/>
      <c r="F601" s="81" t="s">
        <v>1074</v>
      </c>
    </row>
    <row r="602" spans="2:6">
      <c r="B602" s="78"/>
      <c r="C602" s="81"/>
      <c r="D602" s="81"/>
      <c r="E602" s="81" t="s">
        <v>1075</v>
      </c>
      <c r="F602" s="81"/>
    </row>
    <row r="603" spans="2:6">
      <c r="B603" s="78" t="s">
        <v>2679</v>
      </c>
      <c r="C603" s="81"/>
      <c r="D603" s="81"/>
      <c r="E603" s="81"/>
      <c r="F603" s="81" t="s">
        <v>1075</v>
      </c>
    </row>
    <row r="604" spans="2:6">
      <c r="B604" s="78"/>
      <c r="C604" s="81"/>
      <c r="D604" s="81"/>
      <c r="E604" s="81" t="s">
        <v>1076</v>
      </c>
      <c r="F604" s="81"/>
    </row>
    <row r="605" spans="2:6">
      <c r="B605" s="78" t="s">
        <v>2680</v>
      </c>
      <c r="C605" s="81"/>
      <c r="D605" s="81"/>
      <c r="E605" s="81"/>
      <c r="F605" s="81" t="s">
        <v>1076</v>
      </c>
    </row>
    <row r="606" spans="2:6">
      <c r="B606" s="78"/>
      <c r="C606" s="81"/>
      <c r="D606" s="81"/>
      <c r="E606" s="81" t="s">
        <v>1077</v>
      </c>
      <c r="F606" s="81"/>
    </row>
    <row r="607" spans="2:6">
      <c r="B607" s="78" t="s">
        <v>2681</v>
      </c>
      <c r="C607" s="81"/>
      <c r="D607" s="81"/>
      <c r="E607" s="81"/>
      <c r="F607" s="81" t="s">
        <v>1077</v>
      </c>
    </row>
    <row r="608" spans="2:6">
      <c r="B608" s="78"/>
      <c r="C608" s="81"/>
      <c r="D608" s="81"/>
      <c r="E608" s="81" t="s">
        <v>1078</v>
      </c>
      <c r="F608" s="81"/>
    </row>
    <row r="609" spans="2:6">
      <c r="B609" s="78" t="s">
        <v>2682</v>
      </c>
      <c r="C609" s="81"/>
      <c r="D609" s="81"/>
      <c r="E609" s="81"/>
      <c r="F609" s="81" t="s">
        <v>1079</v>
      </c>
    </row>
    <row r="610" spans="2:6">
      <c r="B610" s="78" t="s">
        <v>2683</v>
      </c>
      <c r="C610" s="81"/>
      <c r="D610" s="81"/>
      <c r="E610" s="81"/>
      <c r="F610" s="81" t="s">
        <v>1080</v>
      </c>
    </row>
    <row r="611" spans="2:6">
      <c r="B611" s="78"/>
      <c r="C611" s="81"/>
      <c r="D611" s="81"/>
      <c r="E611" s="81" t="s">
        <v>1081</v>
      </c>
      <c r="F611" s="81"/>
    </row>
    <row r="612" spans="2:6">
      <c r="B612" s="78" t="s">
        <v>2684</v>
      </c>
      <c r="C612" s="81"/>
      <c r="D612" s="81"/>
      <c r="E612" s="81"/>
      <c r="F612" s="81" t="s">
        <v>1081</v>
      </c>
    </row>
    <row r="613" spans="2:6">
      <c r="B613" s="78"/>
      <c r="C613" s="81"/>
      <c r="D613" s="81"/>
      <c r="E613" s="81" t="s">
        <v>1082</v>
      </c>
      <c r="F613" s="81"/>
    </row>
    <row r="614" spans="2:6">
      <c r="B614" s="78" t="s">
        <v>2685</v>
      </c>
      <c r="C614" s="81"/>
      <c r="D614" s="81"/>
      <c r="E614" s="81"/>
      <c r="F614" s="81" t="s">
        <v>1082</v>
      </c>
    </row>
    <row r="615" spans="2:6">
      <c r="B615" s="78"/>
      <c r="C615" s="81"/>
      <c r="D615" s="81" t="s">
        <v>1083</v>
      </c>
      <c r="E615" s="81"/>
      <c r="F615" s="81"/>
    </row>
    <row r="616" spans="2:6">
      <c r="B616" s="78"/>
      <c r="C616" s="81"/>
      <c r="D616" s="81"/>
      <c r="E616" s="81" t="s">
        <v>1084</v>
      </c>
      <c r="F616" s="81"/>
    </row>
    <row r="617" spans="2:6">
      <c r="B617" s="78" t="s">
        <v>2686</v>
      </c>
      <c r="C617" s="81"/>
      <c r="D617" s="81"/>
      <c r="E617" s="81"/>
      <c r="F617" s="81" t="s">
        <v>401</v>
      </c>
    </row>
    <row r="618" spans="2:6">
      <c r="B618" s="78" t="s">
        <v>2687</v>
      </c>
      <c r="C618" s="81"/>
      <c r="D618" s="81"/>
      <c r="E618" s="81"/>
      <c r="F618" s="81" t="s">
        <v>403</v>
      </c>
    </row>
    <row r="619" spans="2:6">
      <c r="B619" s="78"/>
      <c r="C619" s="81"/>
      <c r="D619" s="81"/>
      <c r="E619" s="81" t="s">
        <v>1085</v>
      </c>
      <c r="F619" s="81"/>
    </row>
    <row r="620" spans="2:6">
      <c r="B620" s="78" t="s">
        <v>2688</v>
      </c>
      <c r="C620" s="81"/>
      <c r="D620" s="81"/>
      <c r="E620" s="81"/>
      <c r="F620" s="81" t="s">
        <v>1086</v>
      </c>
    </row>
    <row r="621" spans="2:6">
      <c r="B621" s="78" t="s">
        <v>2689</v>
      </c>
      <c r="C621" s="81"/>
      <c r="D621" s="81"/>
      <c r="E621" s="81"/>
      <c r="F621" s="81" t="s">
        <v>1087</v>
      </c>
    </row>
    <row r="622" spans="2:6">
      <c r="B622" s="78" t="s">
        <v>2690</v>
      </c>
      <c r="C622" s="81"/>
      <c r="D622" s="81"/>
      <c r="E622" s="81"/>
      <c r="F622" s="81" t="s">
        <v>1088</v>
      </c>
    </row>
    <row r="623" spans="2:6">
      <c r="B623" s="78" t="s">
        <v>2691</v>
      </c>
      <c r="C623" s="81"/>
      <c r="D623" s="81"/>
      <c r="E623" s="81"/>
      <c r="F623" s="81" t="s">
        <v>1089</v>
      </c>
    </row>
    <row r="624" spans="2:6">
      <c r="B624" s="78" t="s">
        <v>2692</v>
      </c>
      <c r="C624" s="81"/>
      <c r="D624" s="81"/>
      <c r="E624" s="81"/>
      <c r="F624" s="81" t="s">
        <v>1090</v>
      </c>
    </row>
    <row r="625" spans="2:6">
      <c r="B625" s="78" t="s">
        <v>2693</v>
      </c>
      <c r="C625" s="81"/>
      <c r="D625" s="81"/>
      <c r="E625" s="81"/>
      <c r="F625" s="81" t="s">
        <v>1091</v>
      </c>
    </row>
    <row r="626" spans="2:6">
      <c r="B626" s="78" t="s">
        <v>2348</v>
      </c>
      <c r="C626" s="81"/>
      <c r="D626" s="81"/>
      <c r="E626" s="81"/>
      <c r="F626" s="81" t="s">
        <v>1092</v>
      </c>
    </row>
    <row r="627" spans="2:6">
      <c r="B627" s="78" t="s">
        <v>2694</v>
      </c>
      <c r="C627" s="81"/>
      <c r="D627" s="81"/>
      <c r="E627" s="81"/>
      <c r="F627" s="81" t="s">
        <v>1093</v>
      </c>
    </row>
    <row r="628" spans="2:6">
      <c r="B628" s="78"/>
      <c r="C628" s="81"/>
      <c r="D628" s="81"/>
      <c r="E628" s="81" t="s">
        <v>1094</v>
      </c>
      <c r="F628" s="81"/>
    </row>
    <row r="629" spans="2:6">
      <c r="B629" s="78" t="s">
        <v>2695</v>
      </c>
      <c r="C629" s="81"/>
      <c r="D629" s="81"/>
      <c r="E629" s="81"/>
      <c r="F629" s="81" t="s">
        <v>1095</v>
      </c>
    </row>
    <row r="630" spans="2:6">
      <c r="B630" s="78" t="s">
        <v>2696</v>
      </c>
      <c r="C630" s="81"/>
      <c r="D630" s="81"/>
      <c r="E630" s="81"/>
      <c r="F630" s="81" t="s">
        <v>1096</v>
      </c>
    </row>
    <row r="631" spans="2:6">
      <c r="B631" s="78" t="s">
        <v>2697</v>
      </c>
      <c r="C631" s="81"/>
      <c r="D631" s="81"/>
      <c r="E631" s="81"/>
      <c r="F631" s="81" t="s">
        <v>1097</v>
      </c>
    </row>
    <row r="632" spans="2:6">
      <c r="B632" s="78" t="s">
        <v>2698</v>
      </c>
      <c r="C632" s="81"/>
      <c r="D632" s="81"/>
      <c r="E632" s="81"/>
      <c r="F632" s="81" t="s">
        <v>1098</v>
      </c>
    </row>
    <row r="633" spans="2:6">
      <c r="B633" s="78"/>
      <c r="C633" s="81"/>
      <c r="D633" s="81"/>
      <c r="E633" s="81" t="s">
        <v>1099</v>
      </c>
      <c r="F633" s="81"/>
    </row>
    <row r="634" spans="2:6">
      <c r="B634" s="78" t="s">
        <v>2699</v>
      </c>
      <c r="C634" s="81"/>
      <c r="D634" s="81"/>
      <c r="E634" s="81"/>
      <c r="F634" s="149" t="s">
        <v>3653</v>
      </c>
    </row>
    <row r="635" spans="2:6">
      <c r="B635" s="78" t="s">
        <v>2700</v>
      </c>
      <c r="C635" s="81"/>
      <c r="D635" s="81"/>
      <c r="E635" s="81"/>
      <c r="F635" s="81" t="s">
        <v>1100</v>
      </c>
    </row>
    <row r="636" spans="2:6">
      <c r="B636" s="78" t="s">
        <v>2701</v>
      </c>
      <c r="C636" s="81"/>
      <c r="D636" s="81"/>
      <c r="E636" s="81"/>
      <c r="F636" s="81" t="s">
        <v>1101</v>
      </c>
    </row>
    <row r="637" spans="2:6">
      <c r="B637" s="78"/>
      <c r="C637" s="81"/>
      <c r="D637" s="81"/>
      <c r="E637" s="81" t="s">
        <v>1102</v>
      </c>
      <c r="F637" s="81"/>
    </row>
    <row r="638" spans="2:6">
      <c r="B638" s="78" t="s">
        <v>2702</v>
      </c>
      <c r="C638" s="81"/>
      <c r="D638" s="81"/>
      <c r="E638" s="81"/>
      <c r="F638" s="81" t="s">
        <v>1103</v>
      </c>
    </row>
    <row r="639" spans="2:6">
      <c r="B639" s="78" t="s">
        <v>2703</v>
      </c>
      <c r="C639" s="81"/>
      <c r="D639" s="81"/>
      <c r="E639" s="81"/>
      <c r="F639" s="81" t="s">
        <v>1104</v>
      </c>
    </row>
    <row r="640" spans="2:6">
      <c r="B640" s="78" t="s">
        <v>2704</v>
      </c>
      <c r="C640" s="81"/>
      <c r="D640" s="81"/>
      <c r="E640" s="81"/>
      <c r="F640" s="81" t="s">
        <v>1105</v>
      </c>
    </row>
    <row r="641" spans="2:6">
      <c r="B641" s="78" t="s">
        <v>2705</v>
      </c>
      <c r="C641" s="81"/>
      <c r="D641" s="81"/>
      <c r="E641" s="81"/>
      <c r="F641" s="81" t="s">
        <v>1106</v>
      </c>
    </row>
    <row r="642" spans="2:6">
      <c r="B642" s="78" t="s">
        <v>2706</v>
      </c>
      <c r="C642" s="81"/>
      <c r="D642" s="81"/>
      <c r="E642" s="81"/>
      <c r="F642" s="81" t="s">
        <v>1107</v>
      </c>
    </row>
    <row r="643" spans="2:6">
      <c r="B643" s="78" t="s">
        <v>2707</v>
      </c>
      <c r="C643" s="81"/>
      <c r="D643" s="81"/>
      <c r="E643" s="81"/>
      <c r="F643" s="81" t="s">
        <v>1108</v>
      </c>
    </row>
    <row r="644" spans="2:6">
      <c r="B644" s="78" t="s">
        <v>2708</v>
      </c>
      <c r="C644" s="81"/>
      <c r="D644" s="81"/>
      <c r="E644" s="81"/>
      <c r="F644" s="81" t="s">
        <v>1109</v>
      </c>
    </row>
    <row r="645" spans="2:6">
      <c r="B645" s="78" t="s">
        <v>2709</v>
      </c>
      <c r="C645" s="81"/>
      <c r="D645" s="81"/>
      <c r="E645" s="81"/>
      <c r="F645" s="81" t="s">
        <v>1110</v>
      </c>
    </row>
    <row r="646" spans="2:6">
      <c r="B646" s="78" t="s">
        <v>2710</v>
      </c>
      <c r="C646" s="81"/>
      <c r="D646" s="81"/>
      <c r="E646" s="81"/>
      <c r="F646" s="81" t="s">
        <v>1111</v>
      </c>
    </row>
    <row r="647" spans="2:6">
      <c r="B647" s="78"/>
      <c r="C647" s="81"/>
      <c r="D647" s="81"/>
      <c r="E647" s="81" t="s">
        <v>1112</v>
      </c>
      <c r="F647" s="81"/>
    </row>
    <row r="648" spans="2:6">
      <c r="B648" s="78" t="s">
        <v>2711</v>
      </c>
      <c r="C648" s="81"/>
      <c r="D648" s="81"/>
      <c r="E648" s="81"/>
      <c r="F648" s="81" t="s">
        <v>1113</v>
      </c>
    </row>
    <row r="649" spans="2:6">
      <c r="B649" s="78" t="s">
        <v>2712</v>
      </c>
      <c r="C649" s="81"/>
      <c r="D649" s="81"/>
      <c r="E649" s="81"/>
      <c r="F649" s="81" t="s">
        <v>1114</v>
      </c>
    </row>
    <row r="650" spans="2:6">
      <c r="B650" s="78" t="s">
        <v>2713</v>
      </c>
      <c r="C650" s="81"/>
      <c r="D650" s="81"/>
      <c r="E650" s="81"/>
      <c r="F650" s="81" t="s">
        <v>1115</v>
      </c>
    </row>
    <row r="651" spans="2:6">
      <c r="B651" s="78"/>
      <c r="C651" s="81"/>
      <c r="D651" s="81"/>
      <c r="E651" s="81" t="s">
        <v>1116</v>
      </c>
      <c r="F651" s="81"/>
    </row>
    <row r="652" spans="2:6">
      <c r="B652" s="78" t="s">
        <v>2714</v>
      </c>
      <c r="C652" s="81"/>
      <c r="D652" s="81"/>
      <c r="E652" s="81"/>
      <c r="F652" s="81" t="s">
        <v>1117</v>
      </c>
    </row>
    <row r="653" spans="2:6">
      <c r="B653" s="78" t="s">
        <v>2715</v>
      </c>
      <c r="C653" s="81"/>
      <c r="D653" s="81"/>
      <c r="E653" s="81"/>
      <c r="F653" s="81" t="s">
        <v>1118</v>
      </c>
    </row>
    <row r="654" spans="2:6">
      <c r="B654" s="78"/>
      <c r="C654" s="81"/>
      <c r="D654" s="81"/>
      <c r="E654" s="81" t="s">
        <v>1119</v>
      </c>
      <c r="F654" s="81"/>
    </row>
    <row r="655" spans="2:6">
      <c r="B655" s="78" t="s">
        <v>2716</v>
      </c>
      <c r="C655" s="81"/>
      <c r="D655" s="81"/>
      <c r="E655" s="81"/>
      <c r="F655" s="81" t="s">
        <v>1120</v>
      </c>
    </row>
    <row r="656" spans="2:6">
      <c r="B656" s="78" t="s">
        <v>2349</v>
      </c>
      <c r="C656" s="81"/>
      <c r="D656" s="81"/>
      <c r="E656" s="81"/>
      <c r="F656" s="81" t="s">
        <v>1121</v>
      </c>
    </row>
    <row r="657" spans="2:6">
      <c r="B657" s="78" t="s">
        <v>2717</v>
      </c>
      <c r="C657" s="81"/>
      <c r="D657" s="81"/>
      <c r="E657" s="81"/>
      <c r="F657" s="81" t="s">
        <v>1122</v>
      </c>
    </row>
    <row r="658" spans="2:6">
      <c r="B658" s="78" t="s">
        <v>2718</v>
      </c>
      <c r="C658" s="81"/>
      <c r="D658" s="81"/>
      <c r="E658" s="81"/>
      <c r="F658" s="81" t="s">
        <v>1123</v>
      </c>
    </row>
    <row r="659" spans="2:6">
      <c r="B659" s="78"/>
      <c r="C659" s="81"/>
      <c r="D659" s="81"/>
      <c r="E659" s="81" t="s">
        <v>1124</v>
      </c>
      <c r="F659" s="81"/>
    </row>
    <row r="660" spans="2:6">
      <c r="B660" s="78" t="s">
        <v>2719</v>
      </c>
      <c r="C660" s="81"/>
      <c r="D660" s="81"/>
      <c r="E660" s="81"/>
      <c r="F660" s="81" t="s">
        <v>1125</v>
      </c>
    </row>
    <row r="661" spans="2:6">
      <c r="B661" s="78" t="s">
        <v>2720</v>
      </c>
      <c r="C661" s="81"/>
      <c r="D661" s="81"/>
      <c r="E661" s="81"/>
      <c r="F661" s="81" t="s">
        <v>1126</v>
      </c>
    </row>
    <row r="662" spans="2:6">
      <c r="B662" s="78" t="s">
        <v>2721</v>
      </c>
      <c r="C662" s="81"/>
      <c r="D662" s="81"/>
      <c r="E662" s="81"/>
      <c r="F662" s="81" t="s">
        <v>1127</v>
      </c>
    </row>
    <row r="663" spans="2:6">
      <c r="B663" s="78" t="s">
        <v>2722</v>
      </c>
      <c r="C663" s="81"/>
      <c r="D663" s="81"/>
      <c r="E663" s="81"/>
      <c r="F663" s="81" t="s">
        <v>1128</v>
      </c>
    </row>
    <row r="664" spans="2:6">
      <c r="B664" s="78" t="s">
        <v>2723</v>
      </c>
      <c r="C664" s="81"/>
      <c r="D664" s="81"/>
      <c r="E664" s="81"/>
      <c r="F664" s="81" t="s">
        <v>1129</v>
      </c>
    </row>
    <row r="665" spans="2:6">
      <c r="B665" s="78" t="s">
        <v>2724</v>
      </c>
      <c r="C665" s="81"/>
      <c r="D665" s="81"/>
      <c r="E665" s="81"/>
      <c r="F665" s="81" t="s">
        <v>1130</v>
      </c>
    </row>
    <row r="666" spans="2:6">
      <c r="B666" s="78"/>
      <c r="C666" s="81"/>
      <c r="D666" s="81"/>
      <c r="E666" s="81" t="s">
        <v>1131</v>
      </c>
      <c r="F666" s="81"/>
    </row>
    <row r="667" spans="2:6">
      <c r="B667" s="78" t="s">
        <v>2725</v>
      </c>
      <c r="C667" s="81"/>
      <c r="D667" s="81"/>
      <c r="E667" s="81"/>
      <c r="F667" s="81" t="s">
        <v>1132</v>
      </c>
    </row>
    <row r="668" spans="2:6">
      <c r="B668" s="78" t="s">
        <v>2726</v>
      </c>
      <c r="C668" s="81"/>
      <c r="D668" s="81"/>
      <c r="E668" s="81"/>
      <c r="F668" s="81" t="s">
        <v>1133</v>
      </c>
    </row>
    <row r="669" spans="2:6">
      <c r="B669" s="78" t="s">
        <v>2727</v>
      </c>
      <c r="C669" s="81"/>
      <c r="D669" s="81"/>
      <c r="E669" s="81"/>
      <c r="F669" s="81" t="s">
        <v>1134</v>
      </c>
    </row>
    <row r="670" spans="2:6">
      <c r="B670" s="78" t="s">
        <v>2728</v>
      </c>
      <c r="C670" s="81"/>
      <c r="D670" s="81"/>
      <c r="E670" s="81"/>
      <c r="F670" s="81" t="s">
        <v>1135</v>
      </c>
    </row>
    <row r="671" spans="2:6">
      <c r="B671" s="78" t="s">
        <v>2729</v>
      </c>
      <c r="C671" s="81"/>
      <c r="D671" s="81"/>
      <c r="E671" s="81"/>
      <c r="F671" s="81" t="s">
        <v>1136</v>
      </c>
    </row>
    <row r="672" spans="2:6">
      <c r="B672" s="78"/>
      <c r="C672" s="81"/>
      <c r="D672" s="81" t="s">
        <v>1137</v>
      </c>
      <c r="E672" s="81"/>
      <c r="F672" s="81"/>
    </row>
    <row r="673" spans="2:6">
      <c r="B673" s="78"/>
      <c r="C673" s="81"/>
      <c r="D673" s="81"/>
      <c r="E673" s="81" t="s">
        <v>1138</v>
      </c>
      <c r="F673" s="81"/>
    </row>
    <row r="674" spans="2:6">
      <c r="B674" s="78" t="s">
        <v>2730</v>
      </c>
      <c r="C674" s="81"/>
      <c r="D674" s="81"/>
      <c r="E674" s="81"/>
      <c r="F674" s="81" t="s">
        <v>401</v>
      </c>
    </row>
    <row r="675" spans="2:6">
      <c r="B675" s="78" t="s">
        <v>2731</v>
      </c>
      <c r="C675" s="81"/>
      <c r="D675" s="81"/>
      <c r="E675" s="81"/>
      <c r="F675" s="81" t="s">
        <v>403</v>
      </c>
    </row>
    <row r="676" spans="2:6">
      <c r="B676" s="78"/>
      <c r="C676" s="81"/>
      <c r="D676" s="81"/>
      <c r="E676" s="81" t="s">
        <v>1139</v>
      </c>
      <c r="F676" s="81"/>
    </row>
    <row r="677" spans="2:6">
      <c r="B677" s="78" t="s">
        <v>2732</v>
      </c>
      <c r="C677" s="81"/>
      <c r="D677" s="81"/>
      <c r="E677" s="81"/>
      <c r="F677" s="81" t="s">
        <v>1140</v>
      </c>
    </row>
    <row r="678" spans="2:6">
      <c r="B678" s="78" t="s">
        <v>2733</v>
      </c>
      <c r="C678" s="81"/>
      <c r="D678" s="81"/>
      <c r="E678" s="81"/>
      <c r="F678" s="81" t="s">
        <v>1141</v>
      </c>
    </row>
    <row r="679" spans="2:6">
      <c r="B679" s="78" t="s">
        <v>2734</v>
      </c>
      <c r="C679" s="81"/>
      <c r="D679" s="81"/>
      <c r="E679" s="81"/>
      <c r="F679" s="81" t="s">
        <v>1142</v>
      </c>
    </row>
    <row r="680" spans="2:6">
      <c r="B680" s="78"/>
      <c r="C680" s="81"/>
      <c r="D680" s="81"/>
      <c r="E680" s="81" t="s">
        <v>1143</v>
      </c>
      <c r="F680" s="81"/>
    </row>
    <row r="681" spans="2:6">
      <c r="B681" s="78" t="s">
        <v>2735</v>
      </c>
      <c r="C681" s="81"/>
      <c r="D681" s="81"/>
      <c r="E681" s="81"/>
      <c r="F681" s="81" t="s">
        <v>1143</v>
      </c>
    </row>
    <row r="682" spans="2:6">
      <c r="B682" s="78"/>
      <c r="C682" s="81"/>
      <c r="D682" s="81"/>
      <c r="E682" s="81" t="s">
        <v>1144</v>
      </c>
      <c r="F682" s="81"/>
    </row>
    <row r="683" spans="2:6">
      <c r="B683" s="78" t="s">
        <v>2736</v>
      </c>
      <c r="C683" s="81"/>
      <c r="D683" s="81"/>
      <c r="E683" s="81"/>
      <c r="F683" s="81" t="s">
        <v>1145</v>
      </c>
    </row>
    <row r="684" spans="2:6">
      <c r="B684" s="78" t="s">
        <v>2737</v>
      </c>
      <c r="C684" s="81"/>
      <c r="D684" s="81"/>
      <c r="E684" s="81"/>
      <c r="F684" s="81" t="s">
        <v>1146</v>
      </c>
    </row>
    <row r="685" spans="2:6">
      <c r="B685" s="78" t="s">
        <v>2738</v>
      </c>
      <c r="C685" s="81"/>
      <c r="D685" s="81"/>
      <c r="E685" s="81"/>
      <c r="F685" s="81" t="s">
        <v>1147</v>
      </c>
    </row>
    <row r="686" spans="2:6">
      <c r="B686" s="78" t="s">
        <v>2739</v>
      </c>
      <c r="C686" s="81"/>
      <c r="D686" s="81"/>
      <c r="E686" s="81"/>
      <c r="F686" s="81" t="s">
        <v>1148</v>
      </c>
    </row>
    <row r="687" spans="2:6">
      <c r="B687" s="78" t="s">
        <v>2740</v>
      </c>
      <c r="C687" s="81"/>
      <c r="D687" s="81"/>
      <c r="E687" s="81"/>
      <c r="F687" s="81" t="s">
        <v>1149</v>
      </c>
    </row>
    <row r="688" spans="2:6">
      <c r="B688" s="78" t="s">
        <v>2741</v>
      </c>
      <c r="C688" s="81"/>
      <c r="D688" s="81"/>
      <c r="E688" s="81"/>
      <c r="F688" s="81" t="s">
        <v>1150</v>
      </c>
    </row>
    <row r="689" spans="2:6">
      <c r="B689" s="78" t="s">
        <v>2742</v>
      </c>
      <c r="C689" s="81"/>
      <c r="D689" s="81"/>
      <c r="E689" s="81"/>
      <c r="F689" s="81" t="s">
        <v>1151</v>
      </c>
    </row>
    <row r="690" spans="2:6">
      <c r="B690" s="78" t="s">
        <v>2743</v>
      </c>
      <c r="C690" s="81"/>
      <c r="D690" s="81"/>
      <c r="E690" s="81"/>
      <c r="F690" s="81" t="s">
        <v>1152</v>
      </c>
    </row>
    <row r="691" spans="2:6">
      <c r="B691" s="78" t="s">
        <v>2744</v>
      </c>
      <c r="C691" s="81"/>
      <c r="D691" s="81"/>
      <c r="E691" s="81"/>
      <c r="F691" s="81" t="s">
        <v>1153</v>
      </c>
    </row>
    <row r="692" spans="2:6">
      <c r="B692" s="78"/>
      <c r="C692" s="81"/>
      <c r="D692" s="81"/>
      <c r="E692" s="81" t="s">
        <v>1154</v>
      </c>
      <c r="F692" s="81"/>
    </row>
    <row r="693" spans="2:6">
      <c r="B693" s="78" t="s">
        <v>2745</v>
      </c>
      <c r="C693" s="81"/>
      <c r="D693" s="81"/>
      <c r="E693" s="81"/>
      <c r="F693" s="81" t="s">
        <v>1155</v>
      </c>
    </row>
    <row r="694" spans="2:6">
      <c r="B694" s="78" t="s">
        <v>2746</v>
      </c>
      <c r="C694" s="81"/>
      <c r="D694" s="81"/>
      <c r="E694" s="81"/>
      <c r="F694" s="81" t="s">
        <v>1156</v>
      </c>
    </row>
    <row r="695" spans="2:6">
      <c r="B695" s="78"/>
      <c r="C695" s="81"/>
      <c r="D695" s="81"/>
      <c r="E695" s="81" t="s">
        <v>1157</v>
      </c>
      <c r="F695" s="81"/>
    </row>
    <row r="696" spans="2:6">
      <c r="B696" s="78" t="s">
        <v>2747</v>
      </c>
      <c r="C696" s="81"/>
      <c r="D696" s="81"/>
      <c r="E696" s="81"/>
      <c r="F696" s="81" t="s">
        <v>1158</v>
      </c>
    </row>
    <row r="697" spans="2:6">
      <c r="B697" s="78" t="s">
        <v>2748</v>
      </c>
      <c r="C697" s="81"/>
      <c r="D697" s="81"/>
      <c r="E697" s="81"/>
      <c r="F697" s="81" t="s">
        <v>1159</v>
      </c>
    </row>
    <row r="698" spans="2:6">
      <c r="B698" s="78" t="s">
        <v>2749</v>
      </c>
      <c r="C698" s="81"/>
      <c r="D698" s="81"/>
      <c r="E698" s="81"/>
      <c r="F698" s="81" t="s">
        <v>1160</v>
      </c>
    </row>
    <row r="699" spans="2:6">
      <c r="B699" s="78" t="s">
        <v>2750</v>
      </c>
      <c r="C699" s="81"/>
      <c r="D699" s="81"/>
      <c r="E699" s="81"/>
      <c r="F699" s="81" t="s">
        <v>1161</v>
      </c>
    </row>
    <row r="700" spans="2:6">
      <c r="B700" s="78" t="s">
        <v>2751</v>
      </c>
      <c r="C700" s="81"/>
      <c r="D700" s="81"/>
      <c r="E700" s="81"/>
      <c r="F700" s="81" t="s">
        <v>1162</v>
      </c>
    </row>
    <row r="701" spans="2:6">
      <c r="B701" s="78"/>
      <c r="C701" s="81"/>
      <c r="D701" s="81"/>
      <c r="E701" s="81" t="s">
        <v>1163</v>
      </c>
      <c r="F701" s="81"/>
    </row>
    <row r="702" spans="2:6">
      <c r="B702" s="78" t="s">
        <v>2752</v>
      </c>
      <c r="C702" s="81"/>
      <c r="D702" s="81"/>
      <c r="E702" s="81"/>
      <c r="F702" s="81" t="s">
        <v>1164</v>
      </c>
    </row>
    <row r="703" spans="2:6">
      <c r="B703" s="78" t="s">
        <v>2753</v>
      </c>
      <c r="C703" s="81"/>
      <c r="D703" s="81"/>
      <c r="E703" s="81"/>
      <c r="F703" s="81" t="s">
        <v>1165</v>
      </c>
    </row>
    <row r="704" spans="2:6">
      <c r="B704" s="78" t="s">
        <v>2754</v>
      </c>
      <c r="C704" s="81"/>
      <c r="D704" s="81"/>
      <c r="E704" s="81"/>
      <c r="F704" s="81" t="s">
        <v>1166</v>
      </c>
    </row>
    <row r="705" spans="2:6">
      <c r="B705" s="78" t="s">
        <v>2755</v>
      </c>
      <c r="C705" s="81"/>
      <c r="D705" s="81"/>
      <c r="E705" s="81"/>
      <c r="F705" s="81" t="s">
        <v>1167</v>
      </c>
    </row>
    <row r="706" spans="2:6">
      <c r="B706" s="78"/>
      <c r="C706" s="81"/>
      <c r="D706" s="81" t="s">
        <v>1168</v>
      </c>
      <c r="E706" s="81"/>
      <c r="F706" s="81"/>
    </row>
    <row r="707" spans="2:6">
      <c r="B707" s="78"/>
      <c r="C707" s="81"/>
      <c r="D707" s="81"/>
      <c r="E707" s="81" t="s">
        <v>1169</v>
      </c>
      <c r="F707" s="81"/>
    </row>
    <row r="708" spans="2:6">
      <c r="B708" s="78" t="s">
        <v>2756</v>
      </c>
      <c r="C708" s="81"/>
      <c r="D708" s="81"/>
      <c r="E708" s="81"/>
      <c r="F708" s="81" t="s">
        <v>401</v>
      </c>
    </row>
    <row r="709" spans="2:6">
      <c r="B709" s="78" t="s">
        <v>2757</v>
      </c>
      <c r="C709" s="81"/>
      <c r="D709" s="81"/>
      <c r="E709" s="81"/>
      <c r="F709" s="81" t="s">
        <v>403</v>
      </c>
    </row>
    <row r="710" spans="2:6">
      <c r="B710" s="78"/>
      <c r="C710" s="81"/>
      <c r="D710" s="81"/>
      <c r="E710" s="81" t="s">
        <v>1170</v>
      </c>
      <c r="F710" s="81"/>
    </row>
    <row r="711" spans="2:6">
      <c r="B711" s="78" t="s">
        <v>2758</v>
      </c>
      <c r="C711" s="81"/>
      <c r="D711" s="81"/>
      <c r="E711" s="81"/>
      <c r="F711" s="81" t="s">
        <v>1171</v>
      </c>
    </row>
    <row r="712" spans="2:6">
      <c r="B712" s="78" t="s">
        <v>2759</v>
      </c>
      <c r="C712" s="81"/>
      <c r="D712" s="81"/>
      <c r="E712" s="81"/>
      <c r="F712" s="81" t="s">
        <v>1172</v>
      </c>
    </row>
    <row r="713" spans="2:6">
      <c r="B713" s="78" t="s">
        <v>2350</v>
      </c>
      <c r="C713" s="81"/>
      <c r="D713" s="81"/>
      <c r="E713" s="81"/>
      <c r="F713" s="81" t="s">
        <v>1173</v>
      </c>
    </row>
    <row r="714" spans="2:6">
      <c r="B714" s="78"/>
      <c r="C714" s="81"/>
      <c r="D714" s="81"/>
      <c r="E714" s="81" t="s">
        <v>1174</v>
      </c>
      <c r="F714" s="81"/>
    </row>
    <row r="715" spans="2:6">
      <c r="B715" s="78" t="s">
        <v>2760</v>
      </c>
      <c r="C715" s="81"/>
      <c r="D715" s="81"/>
      <c r="E715" s="81"/>
      <c r="F715" s="81" t="s">
        <v>1175</v>
      </c>
    </row>
    <row r="716" spans="2:6">
      <c r="B716" s="78" t="s">
        <v>2761</v>
      </c>
      <c r="C716" s="81"/>
      <c r="D716" s="81"/>
      <c r="E716" s="81"/>
      <c r="F716" s="81" t="s">
        <v>1176</v>
      </c>
    </row>
    <row r="717" spans="2:6">
      <c r="B717" s="78" t="s">
        <v>2762</v>
      </c>
      <c r="C717" s="81"/>
      <c r="D717" s="81"/>
      <c r="E717" s="81"/>
      <c r="F717" s="81" t="s">
        <v>1177</v>
      </c>
    </row>
    <row r="718" spans="2:6">
      <c r="B718" s="78"/>
      <c r="C718" s="81"/>
      <c r="D718" s="81"/>
      <c r="E718" s="81" t="s">
        <v>1178</v>
      </c>
      <c r="F718" s="81"/>
    </row>
    <row r="719" spans="2:6">
      <c r="B719" s="78" t="s">
        <v>2763</v>
      </c>
      <c r="C719" s="81"/>
      <c r="D719" s="81"/>
      <c r="E719" s="81"/>
      <c r="F719" s="81" t="s">
        <v>1179</v>
      </c>
    </row>
    <row r="720" spans="2:6">
      <c r="B720" s="78" t="s">
        <v>2764</v>
      </c>
      <c r="C720" s="81"/>
      <c r="D720" s="81"/>
      <c r="E720" s="81"/>
      <c r="F720" s="81" t="s">
        <v>1180</v>
      </c>
    </row>
    <row r="721" spans="2:6">
      <c r="B721" s="78" t="s">
        <v>2765</v>
      </c>
      <c r="C721" s="81"/>
      <c r="D721" s="81"/>
      <c r="E721" s="81"/>
      <c r="F721" s="81" t="s">
        <v>1181</v>
      </c>
    </row>
    <row r="722" spans="2:6">
      <c r="B722" s="78"/>
      <c r="C722" s="81"/>
      <c r="D722" s="81"/>
      <c r="E722" s="81" t="s">
        <v>1182</v>
      </c>
      <c r="F722" s="81"/>
    </row>
    <row r="723" spans="2:6">
      <c r="B723" s="78" t="s">
        <v>2766</v>
      </c>
      <c r="C723" s="81"/>
      <c r="D723" s="81"/>
      <c r="E723" s="81"/>
      <c r="F723" s="81" t="s">
        <v>1183</v>
      </c>
    </row>
    <row r="724" spans="2:6">
      <c r="B724" s="78" t="s">
        <v>2767</v>
      </c>
      <c r="C724" s="81"/>
      <c r="D724" s="81"/>
      <c r="E724" s="81"/>
      <c r="F724" s="81" t="s">
        <v>1184</v>
      </c>
    </row>
    <row r="725" spans="2:6">
      <c r="B725" s="78"/>
      <c r="C725" s="81"/>
      <c r="D725" s="81"/>
      <c r="E725" s="81" t="s">
        <v>1185</v>
      </c>
      <c r="F725" s="81"/>
    </row>
    <row r="726" spans="2:6">
      <c r="B726" s="78" t="s">
        <v>2768</v>
      </c>
      <c r="C726" s="81"/>
      <c r="D726" s="81"/>
      <c r="E726" s="81"/>
      <c r="F726" s="81" t="s">
        <v>1186</v>
      </c>
    </row>
    <row r="727" spans="2:6">
      <c r="B727" s="78" t="s">
        <v>2769</v>
      </c>
      <c r="C727" s="81"/>
      <c r="D727" s="81"/>
      <c r="E727" s="81"/>
      <c r="F727" s="81" t="s">
        <v>1187</v>
      </c>
    </row>
    <row r="728" spans="2:6">
      <c r="B728" s="78" t="s">
        <v>2770</v>
      </c>
      <c r="C728" s="81"/>
      <c r="D728" s="81"/>
      <c r="E728" s="81"/>
      <c r="F728" s="81" t="s">
        <v>1188</v>
      </c>
    </row>
    <row r="729" spans="2:6">
      <c r="B729" s="78" t="s">
        <v>2771</v>
      </c>
      <c r="C729" s="81"/>
      <c r="D729" s="81"/>
      <c r="E729" s="81"/>
      <c r="F729" s="81" t="s">
        <v>1189</v>
      </c>
    </row>
    <row r="730" spans="2:6">
      <c r="B730" s="78" t="s">
        <v>2772</v>
      </c>
      <c r="C730" s="81"/>
      <c r="D730" s="81"/>
      <c r="E730" s="81"/>
      <c r="F730" s="81" t="s">
        <v>1190</v>
      </c>
    </row>
    <row r="731" spans="2:6">
      <c r="B731" s="78"/>
      <c r="C731" s="81"/>
      <c r="D731" s="81"/>
      <c r="E731" s="81" t="s">
        <v>1191</v>
      </c>
      <c r="F731" s="81"/>
    </row>
    <row r="732" spans="2:6">
      <c r="B732" s="78" t="s">
        <v>2773</v>
      </c>
      <c r="C732" s="81"/>
      <c r="D732" s="81"/>
      <c r="E732" s="81"/>
      <c r="F732" s="81" t="s">
        <v>1192</v>
      </c>
    </row>
    <row r="733" spans="2:6">
      <c r="B733" s="78" t="s">
        <v>2774</v>
      </c>
      <c r="C733" s="81"/>
      <c r="D733" s="81"/>
      <c r="E733" s="81"/>
      <c r="F733" s="81" t="s">
        <v>1193</v>
      </c>
    </row>
    <row r="734" spans="2:6">
      <c r="B734" s="78"/>
      <c r="C734" s="81"/>
      <c r="D734" s="81" t="s">
        <v>1194</v>
      </c>
      <c r="E734" s="81"/>
      <c r="F734" s="81"/>
    </row>
    <row r="735" spans="2:6">
      <c r="B735" s="78"/>
      <c r="C735" s="81"/>
      <c r="D735" s="81"/>
      <c r="E735" s="81" t="s">
        <v>1195</v>
      </c>
      <c r="F735" s="81"/>
    </row>
    <row r="736" spans="2:6">
      <c r="B736" s="78" t="s">
        <v>2775</v>
      </c>
      <c r="C736" s="81"/>
      <c r="D736" s="81"/>
      <c r="E736" s="81"/>
      <c r="F736" s="81" t="s">
        <v>401</v>
      </c>
    </row>
    <row r="737" spans="2:6">
      <c r="B737" s="78" t="s">
        <v>2776</v>
      </c>
      <c r="C737" s="81"/>
      <c r="D737" s="81"/>
      <c r="E737" s="81"/>
      <c r="F737" s="81" t="s">
        <v>403</v>
      </c>
    </row>
    <row r="738" spans="2:6">
      <c r="B738" s="78"/>
      <c r="C738" s="81"/>
      <c r="D738" s="81"/>
      <c r="E738" s="81" t="s">
        <v>1196</v>
      </c>
      <c r="F738" s="81"/>
    </row>
    <row r="739" spans="2:6">
      <c r="B739" s="78" t="s">
        <v>2777</v>
      </c>
      <c r="C739" s="81"/>
      <c r="D739" s="81"/>
      <c r="E739" s="81"/>
      <c r="F739" s="81" t="s">
        <v>1196</v>
      </c>
    </row>
    <row r="740" spans="2:6">
      <c r="B740" s="78"/>
      <c r="C740" s="81"/>
      <c r="D740" s="81"/>
      <c r="E740" s="81" t="s">
        <v>1197</v>
      </c>
      <c r="F740" s="81"/>
    </row>
    <row r="741" spans="2:6">
      <c r="B741" s="78" t="s">
        <v>2778</v>
      </c>
      <c r="C741" s="81"/>
      <c r="D741" s="81"/>
      <c r="E741" s="81"/>
      <c r="F741" s="81" t="s">
        <v>1198</v>
      </c>
    </row>
    <row r="742" spans="2:6">
      <c r="B742" s="78" t="s">
        <v>2779</v>
      </c>
      <c r="C742" s="81"/>
      <c r="D742" s="81"/>
      <c r="E742" s="81"/>
      <c r="F742" s="81" t="s">
        <v>1199</v>
      </c>
    </row>
    <row r="743" spans="2:6">
      <c r="B743" s="78" t="s">
        <v>2780</v>
      </c>
      <c r="C743" s="81"/>
      <c r="D743" s="81"/>
      <c r="E743" s="81"/>
      <c r="F743" s="81" t="s">
        <v>1200</v>
      </c>
    </row>
    <row r="744" spans="2:6">
      <c r="B744" s="78" t="s">
        <v>2781</v>
      </c>
      <c r="C744" s="81"/>
      <c r="D744" s="81"/>
      <c r="E744" s="81"/>
      <c r="F744" s="81" t="s">
        <v>1201</v>
      </c>
    </row>
    <row r="745" spans="2:6">
      <c r="B745" s="78" t="s">
        <v>2782</v>
      </c>
      <c r="C745" s="81"/>
      <c r="D745" s="81"/>
      <c r="E745" s="81"/>
      <c r="F745" s="81" t="s">
        <v>1202</v>
      </c>
    </row>
    <row r="746" spans="2:6">
      <c r="B746" s="78" t="s">
        <v>2783</v>
      </c>
      <c r="C746" s="81"/>
      <c r="D746" s="81"/>
      <c r="E746" s="81"/>
      <c r="F746" s="81" t="s">
        <v>1203</v>
      </c>
    </row>
    <row r="747" spans="2:6">
      <c r="B747" s="78" t="s">
        <v>2784</v>
      </c>
      <c r="C747" s="81"/>
      <c r="D747" s="81"/>
      <c r="E747" s="81"/>
      <c r="F747" s="81" t="s">
        <v>1204</v>
      </c>
    </row>
    <row r="748" spans="2:6">
      <c r="B748" s="78"/>
      <c r="C748" s="81"/>
      <c r="D748" s="81"/>
      <c r="E748" s="81" t="s">
        <v>1205</v>
      </c>
      <c r="F748" s="81"/>
    </row>
    <row r="749" spans="2:6">
      <c r="B749" s="78" t="s">
        <v>2785</v>
      </c>
      <c r="C749" s="81"/>
      <c r="D749" s="81"/>
      <c r="E749" s="81"/>
      <c r="F749" s="81" t="s">
        <v>1206</v>
      </c>
    </row>
    <row r="750" spans="2:6">
      <c r="B750" s="78" t="s">
        <v>2786</v>
      </c>
      <c r="C750" s="81"/>
      <c r="D750" s="81"/>
      <c r="E750" s="81"/>
      <c r="F750" s="81" t="s">
        <v>1207</v>
      </c>
    </row>
    <row r="751" spans="2:6">
      <c r="B751" s="78" t="s">
        <v>2787</v>
      </c>
      <c r="C751" s="81"/>
      <c r="D751" s="81"/>
      <c r="E751" s="81"/>
      <c r="F751" s="81" t="s">
        <v>1208</v>
      </c>
    </row>
    <row r="752" spans="2:6">
      <c r="B752" s="78" t="s">
        <v>2788</v>
      </c>
      <c r="C752" s="81"/>
      <c r="D752" s="81"/>
      <c r="E752" s="81"/>
      <c r="F752" s="81" t="s">
        <v>1209</v>
      </c>
    </row>
    <row r="753" spans="2:6">
      <c r="B753" s="78"/>
      <c r="C753" s="81"/>
      <c r="D753" s="81"/>
      <c r="E753" s="81" t="s">
        <v>1210</v>
      </c>
      <c r="F753" s="81"/>
    </row>
    <row r="754" spans="2:6">
      <c r="B754" s="78" t="s">
        <v>2789</v>
      </c>
      <c r="C754" s="81"/>
      <c r="D754" s="81"/>
      <c r="E754" s="81"/>
      <c r="F754" s="81" t="s">
        <v>1211</v>
      </c>
    </row>
    <row r="755" spans="2:6">
      <c r="B755" s="78" t="s">
        <v>2790</v>
      </c>
      <c r="C755" s="81"/>
      <c r="D755" s="81"/>
      <c r="E755" s="81"/>
      <c r="F755" s="81" t="s">
        <v>1212</v>
      </c>
    </row>
    <row r="756" spans="2:6">
      <c r="B756" s="78" t="s">
        <v>2791</v>
      </c>
      <c r="C756" s="81"/>
      <c r="D756" s="81"/>
      <c r="E756" s="81"/>
      <c r="F756" s="81" t="s">
        <v>1213</v>
      </c>
    </row>
    <row r="757" spans="2:6">
      <c r="B757" s="78" t="s">
        <v>2792</v>
      </c>
      <c r="C757" s="81"/>
      <c r="D757" s="81"/>
      <c r="E757" s="81"/>
      <c r="F757" s="81" t="s">
        <v>1214</v>
      </c>
    </row>
    <row r="758" spans="2:6">
      <c r="B758" s="78" t="s">
        <v>2793</v>
      </c>
      <c r="C758" s="81"/>
      <c r="D758" s="81"/>
      <c r="E758" s="81"/>
      <c r="F758" s="81" t="s">
        <v>1215</v>
      </c>
    </row>
    <row r="759" spans="2:6">
      <c r="B759" s="78" t="s">
        <v>2794</v>
      </c>
      <c r="C759" s="81"/>
      <c r="D759" s="81"/>
      <c r="E759" s="81"/>
      <c r="F759" s="81" t="s">
        <v>1216</v>
      </c>
    </row>
    <row r="760" spans="2:6">
      <c r="B760" s="78"/>
      <c r="C760" s="81"/>
      <c r="D760" s="81"/>
      <c r="E760" s="81" t="s">
        <v>1217</v>
      </c>
      <c r="F760" s="81"/>
    </row>
    <row r="761" spans="2:6">
      <c r="B761" s="78" t="s">
        <v>2795</v>
      </c>
      <c r="C761" s="81"/>
      <c r="D761" s="81"/>
      <c r="E761" s="81"/>
      <c r="F761" s="81" t="s">
        <v>1218</v>
      </c>
    </row>
    <row r="762" spans="2:6">
      <c r="B762" s="78" t="s">
        <v>2796</v>
      </c>
      <c r="C762" s="81"/>
      <c r="D762" s="81"/>
      <c r="E762" s="81"/>
      <c r="F762" s="81" t="s">
        <v>1219</v>
      </c>
    </row>
    <row r="763" spans="2:6">
      <c r="B763" s="78" t="s">
        <v>2797</v>
      </c>
      <c r="C763" s="81"/>
      <c r="D763" s="81"/>
      <c r="E763" s="81"/>
      <c r="F763" s="81" t="s">
        <v>1220</v>
      </c>
    </row>
    <row r="764" spans="2:6">
      <c r="B764" s="78"/>
      <c r="C764" s="81"/>
      <c r="D764" s="81"/>
      <c r="E764" s="81" t="s">
        <v>1221</v>
      </c>
      <c r="F764" s="81"/>
    </row>
    <row r="765" spans="2:6">
      <c r="B765" s="78" t="s">
        <v>2798</v>
      </c>
      <c r="C765" s="81"/>
      <c r="D765" s="81"/>
      <c r="E765" s="81"/>
      <c r="F765" s="81" t="s">
        <v>1222</v>
      </c>
    </row>
    <row r="766" spans="2:6">
      <c r="B766" s="78" t="s">
        <v>2799</v>
      </c>
      <c r="C766" s="81"/>
      <c r="D766" s="81"/>
      <c r="E766" s="81"/>
      <c r="F766" s="81" t="s">
        <v>1223</v>
      </c>
    </row>
    <row r="767" spans="2:6">
      <c r="B767" s="78" t="s">
        <v>2800</v>
      </c>
      <c r="C767" s="81"/>
      <c r="D767" s="81"/>
      <c r="E767" s="81"/>
      <c r="F767" s="81" t="s">
        <v>1224</v>
      </c>
    </row>
    <row r="768" spans="2:6">
      <c r="B768" s="78" t="s">
        <v>2801</v>
      </c>
      <c r="C768" s="81"/>
      <c r="D768" s="81"/>
      <c r="E768" s="81"/>
      <c r="F768" s="81" t="s">
        <v>1225</v>
      </c>
    </row>
    <row r="769" spans="2:6">
      <c r="B769" s="78" t="s">
        <v>2802</v>
      </c>
      <c r="C769" s="81"/>
      <c r="D769" s="81"/>
      <c r="E769" s="81"/>
      <c r="F769" s="81" t="s">
        <v>1226</v>
      </c>
    </row>
    <row r="770" spans="2:6">
      <c r="B770" s="78" t="s">
        <v>2803</v>
      </c>
      <c r="C770" s="81"/>
      <c r="D770" s="81"/>
      <c r="E770" s="81"/>
      <c r="F770" s="81" t="s">
        <v>1227</v>
      </c>
    </row>
    <row r="771" spans="2:6">
      <c r="B771" s="78"/>
      <c r="C771" s="81"/>
      <c r="D771" s="81"/>
      <c r="E771" s="81" t="s">
        <v>1228</v>
      </c>
      <c r="F771" s="81"/>
    </row>
    <row r="772" spans="2:6">
      <c r="B772" s="78" t="s">
        <v>2804</v>
      </c>
      <c r="C772" s="81"/>
      <c r="D772" s="81"/>
      <c r="E772" s="81"/>
      <c r="F772" s="81" t="s">
        <v>1229</v>
      </c>
    </row>
    <row r="773" spans="2:6">
      <c r="B773" s="78" t="s">
        <v>2805</v>
      </c>
      <c r="C773" s="81"/>
      <c r="D773" s="81"/>
      <c r="E773" s="81"/>
      <c r="F773" s="81" t="s">
        <v>1230</v>
      </c>
    </row>
    <row r="774" spans="2:6">
      <c r="B774" s="78"/>
      <c r="C774" s="81"/>
      <c r="D774" s="81"/>
      <c r="E774" s="81" t="s">
        <v>1231</v>
      </c>
      <c r="F774" s="81"/>
    </row>
    <row r="775" spans="2:6">
      <c r="B775" s="78" t="s">
        <v>2806</v>
      </c>
      <c r="C775" s="81"/>
      <c r="D775" s="81"/>
      <c r="E775" s="81"/>
      <c r="F775" s="81" t="s">
        <v>1231</v>
      </c>
    </row>
    <row r="776" spans="2:6">
      <c r="B776" s="78"/>
      <c r="C776" s="81"/>
      <c r="D776" s="81"/>
      <c r="E776" s="81" t="s">
        <v>1232</v>
      </c>
      <c r="F776" s="81"/>
    </row>
    <row r="777" spans="2:6">
      <c r="B777" s="78" t="s">
        <v>2807</v>
      </c>
      <c r="C777" s="81"/>
      <c r="D777" s="81"/>
      <c r="E777" s="81"/>
      <c r="F777" s="81" t="s">
        <v>1233</v>
      </c>
    </row>
    <row r="778" spans="2:6">
      <c r="B778" s="78" t="s">
        <v>2808</v>
      </c>
      <c r="C778" s="81"/>
      <c r="D778" s="81"/>
      <c r="E778" s="81"/>
      <c r="F778" s="81" t="s">
        <v>1234</v>
      </c>
    </row>
    <row r="779" spans="2:6">
      <c r="B779" s="78" t="s">
        <v>2809</v>
      </c>
      <c r="C779" s="81"/>
      <c r="D779" s="81"/>
      <c r="E779" s="81"/>
      <c r="F779" s="81" t="s">
        <v>1235</v>
      </c>
    </row>
    <row r="780" spans="2:6">
      <c r="B780" s="78"/>
      <c r="C780" s="81"/>
      <c r="D780" s="81" t="s">
        <v>1236</v>
      </c>
      <c r="E780" s="81"/>
      <c r="F780" s="81"/>
    </row>
    <row r="781" spans="2:6">
      <c r="B781" s="78"/>
      <c r="C781" s="81"/>
      <c r="D781" s="81"/>
      <c r="E781" s="81" t="s">
        <v>1237</v>
      </c>
      <c r="F781" s="81"/>
    </row>
    <row r="782" spans="2:6">
      <c r="B782" s="78" t="s">
        <v>2810</v>
      </c>
      <c r="C782" s="81"/>
      <c r="D782" s="81"/>
      <c r="E782" s="81"/>
      <c r="F782" s="81" t="s">
        <v>401</v>
      </c>
    </row>
    <row r="783" spans="2:6">
      <c r="B783" s="78" t="s">
        <v>2811</v>
      </c>
      <c r="C783" s="81"/>
      <c r="D783" s="81"/>
      <c r="E783" s="81"/>
      <c r="F783" s="81" t="s">
        <v>403</v>
      </c>
    </row>
    <row r="784" spans="2:6">
      <c r="B784" s="78"/>
      <c r="C784" s="81"/>
      <c r="D784" s="81"/>
      <c r="E784" s="81" t="s">
        <v>1238</v>
      </c>
      <c r="F784" s="81"/>
    </row>
    <row r="785" spans="2:6">
      <c r="B785" s="78" t="s">
        <v>2812</v>
      </c>
      <c r="C785" s="81"/>
      <c r="D785" s="81"/>
      <c r="E785" s="81"/>
      <c r="F785" s="81" t="s">
        <v>1239</v>
      </c>
    </row>
    <row r="786" spans="2:6">
      <c r="B786" s="78" t="s">
        <v>2813</v>
      </c>
      <c r="C786" s="81"/>
      <c r="D786" s="81"/>
      <c r="E786" s="81"/>
      <c r="F786" s="81" t="s">
        <v>1240</v>
      </c>
    </row>
    <row r="787" spans="2:6">
      <c r="B787" s="78" t="s">
        <v>2814</v>
      </c>
      <c r="C787" s="81"/>
      <c r="D787" s="81"/>
      <c r="E787" s="81"/>
      <c r="F787" s="81" t="s">
        <v>1241</v>
      </c>
    </row>
    <row r="788" spans="2:6">
      <c r="B788" s="78" t="s">
        <v>2815</v>
      </c>
      <c r="C788" s="81"/>
      <c r="D788" s="81"/>
      <c r="E788" s="81"/>
      <c r="F788" s="81" t="s">
        <v>1242</v>
      </c>
    </row>
    <row r="789" spans="2:6">
      <c r="B789" s="78"/>
      <c r="C789" s="81"/>
      <c r="D789" s="81"/>
      <c r="E789" s="81" t="s">
        <v>1243</v>
      </c>
      <c r="F789" s="81"/>
    </row>
    <row r="790" spans="2:6">
      <c r="B790" s="78" t="s">
        <v>2816</v>
      </c>
      <c r="C790" s="81"/>
      <c r="D790" s="81"/>
      <c r="E790" s="81"/>
      <c r="F790" s="81" t="s">
        <v>1244</v>
      </c>
    </row>
    <row r="791" spans="2:6">
      <c r="B791" s="78" t="s">
        <v>2817</v>
      </c>
      <c r="C791" s="81"/>
      <c r="D791" s="81"/>
      <c r="E791" s="81"/>
      <c r="F791" s="81" t="s">
        <v>1245</v>
      </c>
    </row>
    <row r="792" spans="2:6">
      <c r="B792" s="78" t="s">
        <v>2351</v>
      </c>
      <c r="C792" s="81"/>
      <c r="D792" s="81"/>
      <c r="E792" s="81"/>
      <c r="F792" s="81" t="s">
        <v>1246</v>
      </c>
    </row>
    <row r="793" spans="2:6">
      <c r="B793" s="78"/>
      <c r="C793" s="81"/>
      <c r="D793" s="81"/>
      <c r="E793" s="81" t="s">
        <v>1247</v>
      </c>
      <c r="F793" s="81"/>
    </row>
    <row r="794" spans="2:6">
      <c r="B794" s="78" t="s">
        <v>2818</v>
      </c>
      <c r="C794" s="81"/>
      <c r="D794" s="81"/>
      <c r="E794" s="81"/>
      <c r="F794" s="81" t="s">
        <v>1248</v>
      </c>
    </row>
    <row r="795" spans="2:6">
      <c r="B795" s="78" t="s">
        <v>2819</v>
      </c>
      <c r="C795" s="81"/>
      <c r="D795" s="81"/>
      <c r="E795" s="81"/>
      <c r="F795" s="81" t="s">
        <v>1249</v>
      </c>
    </row>
    <row r="796" spans="2:6">
      <c r="B796" s="78" t="s">
        <v>2820</v>
      </c>
      <c r="C796" s="81"/>
      <c r="D796" s="81"/>
      <c r="E796" s="81"/>
      <c r="F796" s="81" t="s">
        <v>1250</v>
      </c>
    </row>
    <row r="797" spans="2:6">
      <c r="B797" s="78" t="s">
        <v>2821</v>
      </c>
      <c r="C797" s="81"/>
      <c r="D797" s="81"/>
      <c r="E797" s="81"/>
      <c r="F797" s="149" t="s">
        <v>3654</v>
      </c>
    </row>
    <row r="798" spans="2:6">
      <c r="B798" s="78" t="s">
        <v>2822</v>
      </c>
      <c r="C798" s="81"/>
      <c r="D798" s="81"/>
      <c r="E798" s="81"/>
      <c r="F798" s="81" t="s">
        <v>1251</v>
      </c>
    </row>
    <row r="799" spans="2:6">
      <c r="B799" s="78"/>
      <c r="C799" s="81"/>
      <c r="D799" s="81"/>
      <c r="E799" s="81" t="s">
        <v>1252</v>
      </c>
      <c r="F799" s="81"/>
    </row>
    <row r="800" spans="2:6">
      <c r="B800" s="78" t="s">
        <v>2823</v>
      </c>
      <c r="C800" s="81"/>
      <c r="D800" s="81"/>
      <c r="E800" s="81"/>
      <c r="F800" s="81" t="s">
        <v>1253</v>
      </c>
    </row>
    <row r="801" spans="2:6">
      <c r="B801" s="78" t="s">
        <v>2824</v>
      </c>
      <c r="C801" s="81"/>
      <c r="D801" s="81"/>
      <c r="E801" s="81"/>
      <c r="F801" s="81" t="s">
        <v>1254</v>
      </c>
    </row>
    <row r="802" spans="2:6">
      <c r="B802" s="78" t="s">
        <v>2825</v>
      </c>
      <c r="C802" s="81"/>
      <c r="D802" s="81"/>
      <c r="E802" s="81"/>
      <c r="F802" s="81" t="s">
        <v>1255</v>
      </c>
    </row>
    <row r="803" spans="2:6">
      <c r="B803" s="78" t="s">
        <v>2826</v>
      </c>
      <c r="C803" s="81"/>
      <c r="D803" s="81"/>
      <c r="E803" s="81"/>
      <c r="F803" s="81" t="s">
        <v>1256</v>
      </c>
    </row>
    <row r="804" spans="2:6">
      <c r="B804" s="78" t="s">
        <v>2827</v>
      </c>
      <c r="C804" s="81"/>
      <c r="D804" s="81"/>
      <c r="E804" s="81"/>
      <c r="F804" s="81" t="s">
        <v>1257</v>
      </c>
    </row>
    <row r="805" spans="2:6">
      <c r="B805" s="78" t="s">
        <v>2828</v>
      </c>
      <c r="C805" s="81"/>
      <c r="D805" s="81"/>
      <c r="E805" s="81"/>
      <c r="F805" s="81" t="s">
        <v>1258</v>
      </c>
    </row>
    <row r="806" spans="2:6">
      <c r="B806" s="78" t="s">
        <v>2829</v>
      </c>
      <c r="C806" s="81"/>
      <c r="D806" s="81"/>
      <c r="E806" s="81"/>
      <c r="F806" s="81" t="s">
        <v>1259</v>
      </c>
    </row>
    <row r="807" spans="2:6">
      <c r="B807" s="78"/>
      <c r="C807" s="81"/>
      <c r="D807" s="81" t="s">
        <v>1260</v>
      </c>
      <c r="E807" s="81"/>
      <c r="F807" s="81"/>
    </row>
    <row r="808" spans="2:6">
      <c r="B808" s="78"/>
      <c r="C808" s="81"/>
      <c r="D808" s="81"/>
      <c r="E808" s="81" t="s">
        <v>1261</v>
      </c>
      <c r="F808" s="81"/>
    </row>
    <row r="809" spans="2:6">
      <c r="B809" s="78" t="s">
        <v>2830</v>
      </c>
      <c r="C809" s="81"/>
      <c r="D809" s="81"/>
      <c r="E809" s="81"/>
      <c r="F809" s="81" t="s">
        <v>401</v>
      </c>
    </row>
    <row r="810" spans="2:6">
      <c r="B810" s="78" t="s">
        <v>2831</v>
      </c>
      <c r="C810" s="81"/>
      <c r="D810" s="81"/>
      <c r="E810" s="81"/>
      <c r="F810" s="81" t="s">
        <v>403</v>
      </c>
    </row>
    <row r="811" spans="2:6">
      <c r="B811" s="78"/>
      <c r="C811" s="81"/>
      <c r="D811" s="81"/>
      <c r="E811" s="81" t="s">
        <v>1262</v>
      </c>
      <c r="F811" s="81"/>
    </row>
    <row r="812" spans="2:6">
      <c r="B812" s="78" t="s">
        <v>2832</v>
      </c>
      <c r="C812" s="81"/>
      <c r="D812" s="81"/>
      <c r="E812" s="81"/>
      <c r="F812" s="81" t="s">
        <v>1262</v>
      </c>
    </row>
    <row r="813" spans="2:6">
      <c r="B813" s="78"/>
      <c r="C813" s="81"/>
      <c r="D813" s="81"/>
      <c r="E813" s="81" t="s">
        <v>1263</v>
      </c>
      <c r="F813" s="81"/>
    </row>
    <row r="814" spans="2:6">
      <c r="B814" s="78" t="s">
        <v>2833</v>
      </c>
      <c r="C814" s="81"/>
      <c r="D814" s="81"/>
      <c r="E814" s="81"/>
      <c r="F814" s="81" t="s">
        <v>1263</v>
      </c>
    </row>
    <row r="815" spans="2:6">
      <c r="B815" s="78"/>
      <c r="C815" s="81"/>
      <c r="D815" s="81"/>
      <c r="E815" s="81" t="s">
        <v>1264</v>
      </c>
      <c r="F815" s="81"/>
    </row>
    <row r="816" spans="2:6">
      <c r="B816" s="78" t="s">
        <v>2834</v>
      </c>
      <c r="C816" s="81"/>
      <c r="D816" s="81"/>
      <c r="E816" s="81"/>
      <c r="F816" s="81" t="s">
        <v>1265</v>
      </c>
    </row>
    <row r="817" spans="2:6">
      <c r="B817" s="78" t="s">
        <v>2835</v>
      </c>
      <c r="C817" s="81"/>
      <c r="D817" s="81"/>
      <c r="E817" s="81"/>
      <c r="F817" s="81" t="s">
        <v>1266</v>
      </c>
    </row>
    <row r="818" spans="2:6">
      <c r="B818" s="78" t="s">
        <v>2836</v>
      </c>
      <c r="C818" s="81"/>
      <c r="D818" s="81"/>
      <c r="E818" s="81"/>
      <c r="F818" s="81" t="s">
        <v>1267</v>
      </c>
    </row>
    <row r="819" spans="2:6">
      <c r="B819" s="78" t="s">
        <v>2837</v>
      </c>
      <c r="C819" s="81"/>
      <c r="D819" s="81"/>
      <c r="E819" s="81"/>
      <c r="F819" s="81" t="s">
        <v>1268</v>
      </c>
    </row>
    <row r="820" spans="2:6">
      <c r="B820" s="78" t="s">
        <v>2838</v>
      </c>
      <c r="C820" s="81"/>
      <c r="D820" s="81"/>
      <c r="E820" s="81"/>
      <c r="F820" s="81" t="s">
        <v>1269</v>
      </c>
    </row>
    <row r="821" spans="2:6">
      <c r="B821" s="78"/>
      <c r="C821" s="81"/>
      <c r="D821" s="81"/>
      <c r="E821" s="81" t="s">
        <v>1270</v>
      </c>
      <c r="F821" s="81"/>
    </row>
    <row r="822" spans="2:6">
      <c r="B822" s="78" t="s">
        <v>2839</v>
      </c>
      <c r="C822" s="81"/>
      <c r="D822" s="81"/>
      <c r="E822" s="81"/>
      <c r="F822" s="81" t="s">
        <v>1271</v>
      </c>
    </row>
    <row r="823" spans="2:6">
      <c r="B823" s="78" t="s">
        <v>2840</v>
      </c>
      <c r="C823" s="81"/>
      <c r="D823" s="81"/>
      <c r="E823" s="81"/>
      <c r="F823" s="81" t="s">
        <v>1272</v>
      </c>
    </row>
    <row r="824" spans="2:6">
      <c r="B824" s="78" t="s">
        <v>2841</v>
      </c>
      <c r="C824" s="81"/>
      <c r="D824" s="81"/>
      <c r="E824" s="81"/>
      <c r="F824" s="81" t="s">
        <v>1273</v>
      </c>
    </row>
    <row r="825" spans="2:6">
      <c r="B825" s="78" t="s">
        <v>2842</v>
      </c>
      <c r="C825" s="81"/>
      <c r="D825" s="81"/>
      <c r="E825" s="81"/>
      <c r="F825" s="81" t="s">
        <v>1274</v>
      </c>
    </row>
    <row r="826" spans="2:6">
      <c r="B826" s="78" t="s">
        <v>2843</v>
      </c>
      <c r="C826" s="81"/>
      <c r="D826" s="81"/>
      <c r="E826" s="81"/>
      <c r="F826" s="81" t="s">
        <v>1275</v>
      </c>
    </row>
    <row r="827" spans="2:6">
      <c r="B827" s="78"/>
      <c r="C827" s="81"/>
      <c r="D827" s="81"/>
      <c r="E827" s="81" t="s">
        <v>1276</v>
      </c>
      <c r="F827" s="81"/>
    </row>
    <row r="828" spans="2:6">
      <c r="B828" s="78" t="s">
        <v>2352</v>
      </c>
      <c r="C828" s="81"/>
      <c r="D828" s="81"/>
      <c r="E828" s="81"/>
      <c r="F828" s="81" t="s">
        <v>1277</v>
      </c>
    </row>
    <row r="829" spans="2:6">
      <c r="B829" s="78" t="s">
        <v>2844</v>
      </c>
      <c r="C829" s="81"/>
      <c r="D829" s="81"/>
      <c r="E829" s="81"/>
      <c r="F829" s="81" t="s">
        <v>1278</v>
      </c>
    </row>
    <row r="830" spans="2:6">
      <c r="B830" s="78" t="s">
        <v>2845</v>
      </c>
      <c r="C830" s="81"/>
      <c r="D830" s="81"/>
      <c r="E830" s="81"/>
      <c r="F830" s="81" t="s">
        <v>1279</v>
      </c>
    </row>
    <row r="831" spans="2:6">
      <c r="B831" s="78"/>
      <c r="C831" s="81"/>
      <c r="D831" s="81"/>
      <c r="E831" s="81" t="s">
        <v>1280</v>
      </c>
      <c r="F831" s="81"/>
    </row>
    <row r="832" spans="2:6">
      <c r="B832" s="78" t="s">
        <v>2846</v>
      </c>
      <c r="C832" s="81"/>
      <c r="D832" s="81"/>
      <c r="E832" s="81"/>
      <c r="F832" s="81" t="s">
        <v>1281</v>
      </c>
    </row>
    <row r="833" spans="2:6">
      <c r="B833" s="78" t="s">
        <v>2847</v>
      </c>
      <c r="C833" s="81"/>
      <c r="D833" s="81"/>
      <c r="E833" s="81"/>
      <c r="F833" s="81" t="s">
        <v>1282</v>
      </c>
    </row>
    <row r="834" spans="2:6">
      <c r="B834" s="78" t="s">
        <v>2848</v>
      </c>
      <c r="C834" s="81"/>
      <c r="D834" s="81"/>
      <c r="E834" s="81"/>
      <c r="F834" s="81" t="s">
        <v>1283</v>
      </c>
    </row>
    <row r="835" spans="2:6">
      <c r="B835" s="78" t="s">
        <v>2849</v>
      </c>
      <c r="C835" s="81"/>
      <c r="D835" s="81"/>
      <c r="E835" s="81"/>
      <c r="F835" s="81" t="s">
        <v>1284</v>
      </c>
    </row>
    <row r="836" spans="2:6">
      <c r="B836" s="78"/>
      <c r="C836" s="81"/>
      <c r="D836" s="81"/>
      <c r="E836" s="81" t="s">
        <v>1285</v>
      </c>
      <c r="F836" s="81"/>
    </row>
    <row r="837" spans="2:6">
      <c r="B837" s="78" t="s">
        <v>2850</v>
      </c>
      <c r="C837" s="81"/>
      <c r="D837" s="81"/>
      <c r="E837" s="81"/>
      <c r="F837" s="81" t="s">
        <v>1286</v>
      </c>
    </row>
    <row r="838" spans="2:6">
      <c r="B838" s="78" t="s">
        <v>2851</v>
      </c>
      <c r="C838" s="81"/>
      <c r="D838" s="81"/>
      <c r="E838" s="81"/>
      <c r="F838" s="81" t="s">
        <v>1287</v>
      </c>
    </row>
    <row r="839" spans="2:6">
      <c r="B839" s="78"/>
      <c r="C839" s="81"/>
      <c r="D839" s="81"/>
      <c r="E839" s="81" t="s">
        <v>1288</v>
      </c>
      <c r="F839" s="81"/>
    </row>
    <row r="840" spans="2:6">
      <c r="B840" s="78" t="s">
        <v>2852</v>
      </c>
      <c r="C840" s="81"/>
      <c r="D840" s="81"/>
      <c r="E840" s="81"/>
      <c r="F840" s="81" t="s">
        <v>1289</v>
      </c>
    </row>
    <row r="841" spans="2:6">
      <c r="B841" s="78" t="s">
        <v>2853</v>
      </c>
      <c r="C841" s="81"/>
      <c r="D841" s="81"/>
      <c r="E841" s="81"/>
      <c r="F841" s="81" t="s">
        <v>1290</v>
      </c>
    </row>
    <row r="842" spans="2:6">
      <c r="B842" s="78" t="s">
        <v>2854</v>
      </c>
      <c r="C842" s="81"/>
      <c r="D842" s="81"/>
      <c r="E842" s="81"/>
      <c r="F842" s="81" t="s">
        <v>1291</v>
      </c>
    </row>
    <row r="843" spans="2:6">
      <c r="B843" s="78" t="s">
        <v>2855</v>
      </c>
      <c r="C843" s="81"/>
      <c r="D843" s="81"/>
      <c r="E843" s="81"/>
      <c r="F843" s="81" t="s">
        <v>1292</v>
      </c>
    </row>
    <row r="844" spans="2:6">
      <c r="B844" s="78" t="s">
        <v>2856</v>
      </c>
      <c r="C844" s="81"/>
      <c r="D844" s="81"/>
      <c r="E844" s="81"/>
      <c r="F844" s="81" t="s">
        <v>1293</v>
      </c>
    </row>
    <row r="845" spans="2:6">
      <c r="B845" s="78"/>
      <c r="C845" s="81"/>
      <c r="D845" s="81" t="s">
        <v>1294</v>
      </c>
      <c r="E845" s="81"/>
      <c r="F845" s="81"/>
    </row>
    <row r="846" spans="2:6">
      <c r="B846" s="78"/>
      <c r="C846" s="81"/>
      <c r="D846" s="81"/>
      <c r="E846" s="81" t="s">
        <v>1295</v>
      </c>
      <c r="F846" s="81"/>
    </row>
    <row r="847" spans="2:6">
      <c r="B847" s="78" t="s">
        <v>2353</v>
      </c>
      <c r="C847" s="81"/>
      <c r="D847" s="81"/>
      <c r="E847" s="81"/>
      <c r="F847" s="81" t="s">
        <v>401</v>
      </c>
    </row>
    <row r="848" spans="2:6">
      <c r="B848" s="78" t="s">
        <v>2857</v>
      </c>
      <c r="C848" s="81"/>
      <c r="D848" s="81"/>
      <c r="E848" s="81"/>
      <c r="F848" s="81" t="s">
        <v>403</v>
      </c>
    </row>
    <row r="849" spans="2:6">
      <c r="B849" s="78"/>
      <c r="C849" s="81"/>
      <c r="D849" s="81"/>
      <c r="E849" s="81" t="s">
        <v>1296</v>
      </c>
      <c r="F849" s="81"/>
    </row>
    <row r="850" spans="2:6">
      <c r="B850" s="78" t="s">
        <v>2858</v>
      </c>
      <c r="C850" s="81"/>
      <c r="D850" s="81"/>
      <c r="E850" s="81"/>
      <c r="F850" s="81" t="s">
        <v>1297</v>
      </c>
    </row>
    <row r="851" spans="2:6">
      <c r="B851" s="78" t="s">
        <v>2859</v>
      </c>
      <c r="C851" s="81"/>
      <c r="D851" s="81"/>
      <c r="E851" s="81"/>
      <c r="F851" s="81" t="s">
        <v>1298</v>
      </c>
    </row>
    <row r="852" spans="2:6">
      <c r="B852" s="78"/>
      <c r="C852" s="81"/>
      <c r="D852" s="81"/>
      <c r="E852" s="81" t="s">
        <v>1299</v>
      </c>
      <c r="F852" s="81"/>
    </row>
    <row r="853" spans="2:6">
      <c r="B853" s="78" t="s">
        <v>2860</v>
      </c>
      <c r="C853" s="81"/>
      <c r="D853" s="81"/>
      <c r="E853" s="81"/>
      <c r="F853" s="81" t="s">
        <v>1300</v>
      </c>
    </row>
    <row r="854" spans="2:6">
      <c r="B854" s="78" t="s">
        <v>2861</v>
      </c>
      <c r="C854" s="81"/>
      <c r="D854" s="81"/>
      <c r="E854" s="81"/>
      <c r="F854" s="81" t="s">
        <v>1301</v>
      </c>
    </row>
    <row r="855" spans="2:6">
      <c r="B855" s="78" t="s">
        <v>2862</v>
      </c>
      <c r="C855" s="81"/>
      <c r="D855" s="81"/>
      <c r="E855" s="81"/>
      <c r="F855" s="81" t="s">
        <v>1302</v>
      </c>
    </row>
    <row r="856" spans="2:6">
      <c r="B856" s="78" t="s">
        <v>2863</v>
      </c>
      <c r="C856" s="81"/>
      <c r="D856" s="81"/>
      <c r="E856" s="81"/>
      <c r="F856" s="81" t="s">
        <v>1303</v>
      </c>
    </row>
    <row r="857" spans="2:6">
      <c r="B857" s="78"/>
      <c r="C857" s="81"/>
      <c r="D857" s="81"/>
      <c r="E857" s="81" t="s">
        <v>1304</v>
      </c>
      <c r="F857" s="81"/>
    </row>
    <row r="858" spans="2:6">
      <c r="B858" s="78" t="s">
        <v>2864</v>
      </c>
      <c r="C858" s="81"/>
      <c r="D858" s="81"/>
      <c r="E858" s="81"/>
      <c r="F858" s="81" t="s">
        <v>1305</v>
      </c>
    </row>
    <row r="859" spans="2:6">
      <c r="B859" s="78" t="s">
        <v>2865</v>
      </c>
      <c r="C859" s="81"/>
      <c r="D859" s="81"/>
      <c r="E859" s="81"/>
      <c r="F859" s="81" t="s">
        <v>1306</v>
      </c>
    </row>
    <row r="860" spans="2:6">
      <c r="B860" s="78" t="s">
        <v>2866</v>
      </c>
      <c r="C860" s="81"/>
      <c r="D860" s="81"/>
      <c r="E860" s="81"/>
      <c r="F860" s="81" t="s">
        <v>1307</v>
      </c>
    </row>
    <row r="861" spans="2:6">
      <c r="B861" s="78" t="s">
        <v>2867</v>
      </c>
      <c r="C861" s="81"/>
      <c r="D861" s="81"/>
      <c r="E861" s="81"/>
      <c r="F861" s="81" t="s">
        <v>1308</v>
      </c>
    </row>
    <row r="862" spans="2:6">
      <c r="B862" s="78" t="s">
        <v>2354</v>
      </c>
      <c r="C862" s="81"/>
      <c r="D862" s="81"/>
      <c r="E862" s="81"/>
      <c r="F862" s="81" t="s">
        <v>1309</v>
      </c>
    </row>
    <row r="863" spans="2:6">
      <c r="B863" s="78" t="s">
        <v>2868</v>
      </c>
      <c r="C863" s="81"/>
      <c r="D863" s="81"/>
      <c r="E863" s="81"/>
      <c r="F863" s="81" t="s">
        <v>1310</v>
      </c>
    </row>
    <row r="864" spans="2:6">
      <c r="B864" s="78" t="s">
        <v>2869</v>
      </c>
      <c r="C864" s="81"/>
      <c r="D864" s="81"/>
      <c r="E864" s="81"/>
      <c r="F864" s="81" t="s">
        <v>1311</v>
      </c>
    </row>
    <row r="865" spans="2:6">
      <c r="B865" s="78" t="s">
        <v>2870</v>
      </c>
      <c r="C865" s="81"/>
      <c r="D865" s="81"/>
      <c r="E865" s="81"/>
      <c r="F865" s="81" t="s">
        <v>1312</v>
      </c>
    </row>
    <row r="866" spans="2:6">
      <c r="B866" s="78" t="s">
        <v>2871</v>
      </c>
      <c r="C866" s="81"/>
      <c r="D866" s="81"/>
      <c r="E866" s="81"/>
      <c r="F866" s="81" t="s">
        <v>1313</v>
      </c>
    </row>
    <row r="867" spans="2:6">
      <c r="B867" s="78"/>
      <c r="C867" s="81"/>
      <c r="D867" s="81"/>
      <c r="E867" s="81" t="s">
        <v>1314</v>
      </c>
      <c r="F867" s="81"/>
    </row>
    <row r="868" spans="2:6">
      <c r="B868" s="78" t="s">
        <v>2872</v>
      </c>
      <c r="C868" s="81"/>
      <c r="D868" s="81"/>
      <c r="E868" s="81"/>
      <c r="F868" s="81" t="s">
        <v>1315</v>
      </c>
    </row>
    <row r="869" spans="2:6">
      <c r="B869" s="78" t="s">
        <v>2873</v>
      </c>
      <c r="C869" s="81"/>
      <c r="D869" s="81"/>
      <c r="E869" s="81"/>
      <c r="F869" s="81" t="s">
        <v>1316</v>
      </c>
    </row>
    <row r="870" spans="2:6">
      <c r="B870" s="78" t="s">
        <v>2874</v>
      </c>
      <c r="C870" s="81"/>
      <c r="D870" s="81"/>
      <c r="E870" s="81"/>
      <c r="F870" s="81" t="s">
        <v>1317</v>
      </c>
    </row>
    <row r="871" spans="2:6">
      <c r="B871" s="78" t="s">
        <v>2875</v>
      </c>
      <c r="C871" s="81"/>
      <c r="D871" s="81"/>
      <c r="E871" s="81"/>
      <c r="F871" s="81" t="s">
        <v>1318</v>
      </c>
    </row>
    <row r="872" spans="2:6">
      <c r="B872" s="78"/>
      <c r="C872" s="81"/>
      <c r="D872" s="81"/>
      <c r="E872" s="81" t="s">
        <v>1319</v>
      </c>
      <c r="F872" s="81"/>
    </row>
    <row r="873" spans="2:6">
      <c r="B873" s="78" t="s">
        <v>2876</v>
      </c>
      <c r="C873" s="81"/>
      <c r="D873" s="81"/>
      <c r="E873" s="81"/>
      <c r="F873" s="81" t="s">
        <v>1320</v>
      </c>
    </row>
    <row r="874" spans="2:6">
      <c r="B874" s="78" t="s">
        <v>2877</v>
      </c>
      <c r="C874" s="81"/>
      <c r="D874" s="81"/>
      <c r="E874" s="81"/>
      <c r="F874" s="81" t="s">
        <v>1321</v>
      </c>
    </row>
    <row r="875" spans="2:6">
      <c r="B875" s="78" t="s">
        <v>2878</v>
      </c>
      <c r="C875" s="81"/>
      <c r="D875" s="81"/>
      <c r="E875" s="81"/>
      <c r="F875" s="81" t="s">
        <v>1322</v>
      </c>
    </row>
    <row r="876" spans="2:6">
      <c r="B876" s="78"/>
      <c r="C876" s="81"/>
      <c r="D876" s="81"/>
      <c r="E876" s="81" t="s">
        <v>1323</v>
      </c>
      <c r="F876" s="81"/>
    </row>
    <row r="877" spans="2:6">
      <c r="B877" s="78" t="s">
        <v>2879</v>
      </c>
      <c r="C877" s="81"/>
      <c r="D877" s="81"/>
      <c r="E877" s="81"/>
      <c r="F877" s="81" t="s">
        <v>1323</v>
      </c>
    </row>
    <row r="878" spans="2:6">
      <c r="B878" s="78"/>
      <c r="C878" s="81"/>
      <c r="D878" s="81" t="s">
        <v>1324</v>
      </c>
      <c r="E878" s="81"/>
      <c r="F878" s="81"/>
    </row>
    <row r="879" spans="2:6">
      <c r="B879" s="78"/>
      <c r="C879" s="81"/>
      <c r="D879" s="81"/>
      <c r="E879" s="81" t="s">
        <v>1325</v>
      </c>
      <c r="F879" s="81"/>
    </row>
    <row r="880" spans="2:6">
      <c r="B880" s="78" t="s">
        <v>2880</v>
      </c>
      <c r="C880" s="81"/>
      <c r="D880" s="81"/>
      <c r="E880" s="81"/>
      <c r="F880" s="81" t="s">
        <v>401</v>
      </c>
    </row>
    <row r="881" spans="2:6">
      <c r="B881" s="78" t="s">
        <v>2881</v>
      </c>
      <c r="C881" s="81"/>
      <c r="D881" s="81"/>
      <c r="E881" s="81"/>
      <c r="F881" s="81" t="s">
        <v>403</v>
      </c>
    </row>
    <row r="882" spans="2:6">
      <c r="B882" s="78"/>
      <c r="C882" s="81"/>
      <c r="D882" s="81"/>
      <c r="E882" s="81" t="s">
        <v>1326</v>
      </c>
      <c r="F882" s="81"/>
    </row>
    <row r="883" spans="2:6">
      <c r="B883" s="78" t="s">
        <v>2882</v>
      </c>
      <c r="C883" s="81"/>
      <c r="D883" s="81"/>
      <c r="E883" s="81"/>
      <c r="F883" s="81" t="s">
        <v>1327</v>
      </c>
    </row>
    <row r="884" spans="2:6">
      <c r="B884" s="78" t="s">
        <v>2883</v>
      </c>
      <c r="C884" s="81"/>
      <c r="D884" s="81"/>
      <c r="E884" s="81"/>
      <c r="F884" s="81" t="s">
        <v>1328</v>
      </c>
    </row>
    <row r="885" spans="2:6">
      <c r="B885" s="78" t="s">
        <v>2884</v>
      </c>
      <c r="C885" s="81"/>
      <c r="D885" s="81"/>
      <c r="E885" s="81"/>
      <c r="F885" s="81" t="s">
        <v>1329</v>
      </c>
    </row>
    <row r="886" spans="2:6">
      <c r="B886" s="78" t="s">
        <v>2885</v>
      </c>
      <c r="C886" s="81"/>
      <c r="D886" s="81"/>
      <c r="E886" s="81"/>
      <c r="F886" s="81" t="s">
        <v>1330</v>
      </c>
    </row>
    <row r="887" spans="2:6">
      <c r="B887" s="78" t="s">
        <v>2355</v>
      </c>
      <c r="C887" s="81"/>
      <c r="D887" s="81"/>
      <c r="E887" s="81"/>
      <c r="F887" s="81" t="s">
        <v>1331</v>
      </c>
    </row>
    <row r="888" spans="2:6">
      <c r="B888" s="78"/>
      <c r="C888" s="81"/>
      <c r="D888" s="81"/>
      <c r="E888" s="81" t="s">
        <v>1332</v>
      </c>
      <c r="F888" s="81"/>
    </row>
    <row r="889" spans="2:6">
      <c r="B889" s="78" t="s">
        <v>2886</v>
      </c>
      <c r="C889" s="81"/>
      <c r="D889" s="81"/>
      <c r="E889" s="81"/>
      <c r="F889" s="81" t="s">
        <v>1333</v>
      </c>
    </row>
    <row r="890" spans="2:6">
      <c r="B890" s="78" t="s">
        <v>2887</v>
      </c>
      <c r="C890" s="81"/>
      <c r="D890" s="81"/>
      <c r="E890" s="81"/>
      <c r="F890" s="149" t="s">
        <v>3655</v>
      </c>
    </row>
    <row r="891" spans="2:6">
      <c r="B891" s="78" t="s">
        <v>2888</v>
      </c>
      <c r="C891" s="81"/>
      <c r="D891" s="81"/>
      <c r="E891" s="81"/>
      <c r="F891" s="81" t="s">
        <v>1334</v>
      </c>
    </row>
    <row r="892" spans="2:6">
      <c r="B892" s="78"/>
      <c r="C892" s="81"/>
      <c r="D892" s="81"/>
      <c r="E892" s="81" t="s">
        <v>1335</v>
      </c>
      <c r="F892" s="81"/>
    </row>
    <row r="893" spans="2:6">
      <c r="B893" s="78" t="s">
        <v>2889</v>
      </c>
      <c r="C893" s="81"/>
      <c r="D893" s="81"/>
      <c r="E893" s="81"/>
      <c r="F893" s="81" t="s">
        <v>1336</v>
      </c>
    </row>
    <row r="894" spans="2:6">
      <c r="B894" s="78" t="s">
        <v>2890</v>
      </c>
      <c r="C894" s="81"/>
      <c r="D894" s="81"/>
      <c r="E894" s="81"/>
      <c r="F894" s="81" t="s">
        <v>1337</v>
      </c>
    </row>
    <row r="895" spans="2:6">
      <c r="B895" s="78"/>
      <c r="C895" s="81"/>
      <c r="D895" s="81"/>
      <c r="E895" s="81" t="s">
        <v>1338</v>
      </c>
      <c r="F895" s="81"/>
    </row>
    <row r="896" spans="2:6">
      <c r="B896" s="78" t="s">
        <v>2891</v>
      </c>
      <c r="C896" s="81"/>
      <c r="D896" s="81"/>
      <c r="E896" s="81"/>
      <c r="F896" s="81" t="s">
        <v>1339</v>
      </c>
    </row>
    <row r="897" spans="2:6">
      <c r="B897" s="78" t="s">
        <v>2892</v>
      </c>
      <c r="C897" s="81"/>
      <c r="D897" s="81"/>
      <c r="E897" s="81"/>
      <c r="F897" s="81" t="s">
        <v>1340</v>
      </c>
    </row>
    <row r="898" spans="2:6">
      <c r="B898" s="78"/>
      <c r="C898" s="81"/>
      <c r="D898" s="81"/>
      <c r="E898" s="81" t="s">
        <v>1341</v>
      </c>
      <c r="F898" s="81"/>
    </row>
    <row r="899" spans="2:6">
      <c r="B899" s="78" t="s">
        <v>2893</v>
      </c>
      <c r="C899" s="81"/>
      <c r="D899" s="81"/>
      <c r="E899" s="81"/>
      <c r="F899" s="81" t="s">
        <v>1342</v>
      </c>
    </row>
    <row r="900" spans="2:6">
      <c r="B900" s="78" t="s">
        <v>2894</v>
      </c>
      <c r="C900" s="81"/>
      <c r="D900" s="81"/>
      <c r="E900" s="81"/>
      <c r="F900" s="81" t="s">
        <v>1343</v>
      </c>
    </row>
    <row r="901" spans="2:6">
      <c r="B901" s="78"/>
      <c r="C901" s="81"/>
      <c r="D901" s="81"/>
      <c r="E901" s="81" t="s">
        <v>1344</v>
      </c>
      <c r="F901" s="81"/>
    </row>
    <row r="902" spans="2:6">
      <c r="B902" s="78" t="s">
        <v>2356</v>
      </c>
      <c r="C902" s="81"/>
      <c r="D902" s="81"/>
      <c r="E902" s="81"/>
      <c r="F902" s="81" t="s">
        <v>1344</v>
      </c>
    </row>
    <row r="903" spans="2:6">
      <c r="B903" s="78"/>
      <c r="C903" s="81"/>
      <c r="D903" s="81" t="s">
        <v>1345</v>
      </c>
      <c r="E903" s="81"/>
      <c r="F903" s="81"/>
    </row>
    <row r="904" spans="2:6">
      <c r="B904" s="78"/>
      <c r="C904" s="81"/>
      <c r="D904" s="81"/>
      <c r="E904" s="81" t="s">
        <v>1346</v>
      </c>
      <c r="F904" s="81"/>
    </row>
    <row r="905" spans="2:6">
      <c r="B905" s="78" t="s">
        <v>2895</v>
      </c>
      <c r="C905" s="81"/>
      <c r="D905" s="81"/>
      <c r="E905" s="81"/>
      <c r="F905" s="81" t="s">
        <v>401</v>
      </c>
    </row>
    <row r="906" spans="2:6">
      <c r="B906" s="78" t="s">
        <v>2896</v>
      </c>
      <c r="C906" s="81"/>
      <c r="D906" s="81"/>
      <c r="E906" s="81"/>
      <c r="F906" s="81" t="s">
        <v>403</v>
      </c>
    </row>
    <row r="907" spans="2:6">
      <c r="B907" s="78"/>
      <c r="C907" s="81"/>
      <c r="D907" s="81"/>
      <c r="E907" s="81" t="s">
        <v>1347</v>
      </c>
      <c r="F907" s="81"/>
    </row>
    <row r="908" spans="2:6">
      <c r="B908" s="78" t="s">
        <v>2897</v>
      </c>
      <c r="C908" s="81"/>
      <c r="D908" s="81"/>
      <c r="E908" s="81"/>
      <c r="F908" s="81" t="s">
        <v>1348</v>
      </c>
    </row>
    <row r="909" spans="2:6">
      <c r="B909" s="78" t="s">
        <v>2357</v>
      </c>
      <c r="C909" s="81"/>
      <c r="D909" s="81"/>
      <c r="E909" s="81"/>
      <c r="F909" s="81" t="s">
        <v>1349</v>
      </c>
    </row>
    <row r="910" spans="2:6">
      <c r="B910" s="78" t="s">
        <v>2898</v>
      </c>
      <c r="C910" s="81"/>
      <c r="D910" s="81"/>
      <c r="E910" s="81"/>
      <c r="F910" s="81" t="s">
        <v>1350</v>
      </c>
    </row>
    <row r="911" spans="2:6">
      <c r="B911" s="78" t="s">
        <v>2899</v>
      </c>
      <c r="C911" s="81"/>
      <c r="D911" s="81"/>
      <c r="E911" s="81"/>
      <c r="F911" s="81" t="s">
        <v>1351</v>
      </c>
    </row>
    <row r="912" spans="2:6">
      <c r="B912" s="78" t="s">
        <v>2900</v>
      </c>
      <c r="C912" s="81"/>
      <c r="D912" s="81"/>
      <c r="E912" s="81"/>
      <c r="F912" s="81" t="s">
        <v>1352</v>
      </c>
    </row>
    <row r="913" spans="2:6">
      <c r="B913" s="78"/>
      <c r="C913" s="81"/>
      <c r="D913" s="81"/>
      <c r="E913" s="81" t="s">
        <v>1353</v>
      </c>
      <c r="F913" s="81"/>
    </row>
    <row r="914" spans="2:6">
      <c r="B914" s="78" t="s">
        <v>2901</v>
      </c>
      <c r="C914" s="81"/>
      <c r="D914" s="81"/>
      <c r="E914" s="81"/>
      <c r="F914" s="81" t="s">
        <v>1354</v>
      </c>
    </row>
    <row r="915" spans="2:6">
      <c r="B915" s="78" t="s">
        <v>2902</v>
      </c>
      <c r="C915" s="81"/>
      <c r="D915" s="81"/>
      <c r="E915" s="81"/>
      <c r="F915" s="81" t="s">
        <v>1355</v>
      </c>
    </row>
    <row r="916" spans="2:6">
      <c r="B916" s="150" t="s">
        <v>3656</v>
      </c>
      <c r="C916" s="81"/>
      <c r="D916" s="81"/>
      <c r="E916" s="81"/>
      <c r="F916" s="149" t="s">
        <v>3657</v>
      </c>
    </row>
    <row r="917" spans="2:6">
      <c r="B917" s="78" t="s">
        <v>2903</v>
      </c>
      <c r="C917" s="81"/>
      <c r="D917" s="81"/>
      <c r="E917" s="81"/>
      <c r="F917" s="81" t="s">
        <v>1356</v>
      </c>
    </row>
    <row r="918" spans="2:6">
      <c r="B918" s="78"/>
      <c r="C918" s="81"/>
      <c r="D918" s="81"/>
      <c r="E918" s="81" t="s">
        <v>1357</v>
      </c>
      <c r="F918" s="81"/>
    </row>
    <row r="919" spans="2:6">
      <c r="B919" s="78" t="s">
        <v>2904</v>
      </c>
      <c r="C919" s="81"/>
      <c r="D919" s="81"/>
      <c r="E919" s="81"/>
      <c r="F919" s="81" t="s">
        <v>1358</v>
      </c>
    </row>
    <row r="920" spans="2:6">
      <c r="B920" s="78" t="s">
        <v>2905</v>
      </c>
      <c r="C920" s="81"/>
      <c r="D920" s="81"/>
      <c r="E920" s="81"/>
      <c r="F920" s="81" t="s">
        <v>1359</v>
      </c>
    </row>
    <row r="921" spans="2:6">
      <c r="B921" s="78" t="s">
        <v>2906</v>
      </c>
      <c r="C921" s="81"/>
      <c r="D921" s="81"/>
      <c r="E921" s="81"/>
      <c r="F921" s="81" t="s">
        <v>1360</v>
      </c>
    </row>
    <row r="922" spans="2:6">
      <c r="B922" s="78" t="s">
        <v>2907</v>
      </c>
      <c r="C922" s="81"/>
      <c r="D922" s="81"/>
      <c r="E922" s="81"/>
      <c r="F922" s="81" t="s">
        <v>1361</v>
      </c>
    </row>
    <row r="923" spans="2:6">
      <c r="B923" s="78"/>
      <c r="C923" s="81"/>
      <c r="D923" s="81"/>
      <c r="E923" s="81" t="s">
        <v>1362</v>
      </c>
      <c r="F923" s="81"/>
    </row>
    <row r="924" spans="2:6">
      <c r="B924" s="78" t="s">
        <v>2908</v>
      </c>
      <c r="C924" s="81"/>
      <c r="D924" s="81"/>
      <c r="E924" s="81"/>
      <c r="F924" s="81" t="s">
        <v>1363</v>
      </c>
    </row>
    <row r="925" spans="2:6">
      <c r="B925" s="78" t="s">
        <v>2909</v>
      </c>
      <c r="C925" s="81"/>
      <c r="D925" s="81"/>
      <c r="E925" s="81"/>
      <c r="F925" s="81" t="s">
        <v>1364</v>
      </c>
    </row>
    <row r="926" spans="2:6">
      <c r="B926" s="78"/>
      <c r="C926" s="81"/>
      <c r="D926" s="81"/>
      <c r="E926" s="81" t="s">
        <v>1365</v>
      </c>
      <c r="F926" s="81"/>
    </row>
    <row r="927" spans="2:6">
      <c r="B927" s="78" t="s">
        <v>2910</v>
      </c>
      <c r="C927" s="81"/>
      <c r="D927" s="81"/>
      <c r="E927" s="81"/>
      <c r="F927" s="81" t="s">
        <v>1366</v>
      </c>
    </row>
    <row r="928" spans="2:6">
      <c r="B928" s="78" t="s">
        <v>2911</v>
      </c>
      <c r="C928" s="81"/>
      <c r="D928" s="81"/>
      <c r="E928" s="81"/>
      <c r="F928" s="81" t="s">
        <v>1367</v>
      </c>
    </row>
    <row r="929" spans="2:6">
      <c r="B929" s="78"/>
      <c r="C929" s="81"/>
      <c r="D929" s="81"/>
      <c r="E929" s="81" t="s">
        <v>1368</v>
      </c>
      <c r="F929" s="81"/>
    </row>
    <row r="930" spans="2:6">
      <c r="B930" s="78" t="s">
        <v>2912</v>
      </c>
      <c r="C930" s="81"/>
      <c r="D930" s="81"/>
      <c r="E930" s="81"/>
      <c r="F930" s="81" t="s">
        <v>1369</v>
      </c>
    </row>
    <row r="931" spans="2:6">
      <c r="B931" s="78" t="s">
        <v>2913</v>
      </c>
      <c r="C931" s="81"/>
      <c r="D931" s="81"/>
      <c r="E931" s="81"/>
      <c r="F931" s="81" t="s">
        <v>1370</v>
      </c>
    </row>
    <row r="932" spans="2:6">
      <c r="B932" s="78" t="s">
        <v>2914</v>
      </c>
      <c r="C932" s="81"/>
      <c r="D932" s="81"/>
      <c r="E932" s="81"/>
      <c r="F932" s="81" t="s">
        <v>1371</v>
      </c>
    </row>
    <row r="933" spans="2:6">
      <c r="B933" s="78"/>
      <c r="C933" s="81"/>
      <c r="D933" s="81"/>
      <c r="E933" s="81" t="s">
        <v>1372</v>
      </c>
      <c r="F933" s="81"/>
    </row>
    <row r="934" spans="2:6">
      <c r="B934" s="78" t="s">
        <v>2915</v>
      </c>
      <c r="C934" s="81"/>
      <c r="D934" s="81"/>
      <c r="E934" s="81"/>
      <c r="F934" s="81" t="s">
        <v>1373</v>
      </c>
    </row>
    <row r="935" spans="2:6">
      <c r="B935" s="78" t="s">
        <v>2916</v>
      </c>
      <c r="C935" s="81"/>
      <c r="D935" s="81"/>
      <c r="E935" s="81"/>
      <c r="F935" s="81" t="s">
        <v>1374</v>
      </c>
    </row>
    <row r="936" spans="2:6">
      <c r="B936" s="78" t="s">
        <v>2917</v>
      </c>
      <c r="C936" s="81"/>
      <c r="D936" s="81"/>
      <c r="E936" s="81"/>
      <c r="F936" s="81" t="s">
        <v>1375</v>
      </c>
    </row>
    <row r="937" spans="2:6">
      <c r="B937" s="78"/>
      <c r="C937" s="81"/>
      <c r="D937" s="81"/>
      <c r="E937" s="81" t="s">
        <v>1376</v>
      </c>
      <c r="F937" s="81"/>
    </row>
    <row r="938" spans="2:6">
      <c r="B938" s="78" t="s">
        <v>2918</v>
      </c>
      <c r="C938" s="81"/>
      <c r="D938" s="81"/>
      <c r="E938" s="81"/>
      <c r="F938" s="81" t="s">
        <v>1376</v>
      </c>
    </row>
    <row r="939" spans="2:6">
      <c r="B939" s="78"/>
      <c r="C939" s="81"/>
      <c r="D939" s="81" t="s">
        <v>1377</v>
      </c>
      <c r="E939" s="81"/>
      <c r="F939" s="81"/>
    </row>
    <row r="940" spans="2:6">
      <c r="B940" s="78"/>
      <c r="C940" s="81"/>
      <c r="D940" s="81"/>
      <c r="E940" s="81" t="s">
        <v>1378</v>
      </c>
      <c r="F940" s="81"/>
    </row>
    <row r="941" spans="2:6">
      <c r="B941" s="78" t="s">
        <v>2919</v>
      </c>
      <c r="C941" s="81"/>
      <c r="D941" s="81"/>
      <c r="E941" s="81"/>
      <c r="F941" s="81" t="s">
        <v>401</v>
      </c>
    </row>
    <row r="942" spans="2:6">
      <c r="B942" s="78" t="s">
        <v>2920</v>
      </c>
      <c r="C942" s="81"/>
      <c r="D942" s="81"/>
      <c r="E942" s="81"/>
      <c r="F942" s="81" t="s">
        <v>403</v>
      </c>
    </row>
    <row r="943" spans="2:6">
      <c r="B943" s="78"/>
      <c r="C943" s="81"/>
      <c r="D943" s="81"/>
      <c r="E943" s="81" t="s">
        <v>1379</v>
      </c>
      <c r="F943" s="81"/>
    </row>
    <row r="944" spans="2:6">
      <c r="B944" s="78" t="s">
        <v>2358</v>
      </c>
      <c r="C944" s="81"/>
      <c r="D944" s="81"/>
      <c r="E944" s="81"/>
      <c r="F944" s="81" t="s">
        <v>1380</v>
      </c>
    </row>
    <row r="945" spans="2:6">
      <c r="B945" s="78" t="s">
        <v>2921</v>
      </c>
      <c r="C945" s="81"/>
      <c r="D945" s="81"/>
      <c r="E945" s="81"/>
      <c r="F945" s="149" t="s">
        <v>3658</v>
      </c>
    </row>
    <row r="946" spans="2:6">
      <c r="B946" s="78" t="s">
        <v>2922</v>
      </c>
      <c r="C946" s="81"/>
      <c r="D946" s="81"/>
      <c r="E946" s="81"/>
      <c r="F946" s="81" t="s">
        <v>1381</v>
      </c>
    </row>
    <row r="947" spans="2:6">
      <c r="B947" s="78" t="s">
        <v>2923</v>
      </c>
      <c r="C947" s="81"/>
      <c r="D947" s="81"/>
      <c r="E947" s="81"/>
      <c r="F947" s="81" t="s">
        <v>1382</v>
      </c>
    </row>
    <row r="948" spans="2:6">
      <c r="B948" s="78" t="s">
        <v>2924</v>
      </c>
      <c r="C948" s="81"/>
      <c r="D948" s="81"/>
      <c r="E948" s="81"/>
      <c r="F948" s="81" t="s">
        <v>1383</v>
      </c>
    </row>
    <row r="949" spans="2:6">
      <c r="B949" s="78" t="s">
        <v>2925</v>
      </c>
      <c r="C949" s="81"/>
      <c r="D949" s="81"/>
      <c r="E949" s="81"/>
      <c r="F949" s="81" t="s">
        <v>1384</v>
      </c>
    </row>
    <row r="950" spans="2:6">
      <c r="B950" s="78"/>
      <c r="C950" s="81"/>
      <c r="D950" s="81"/>
      <c r="E950" s="81" t="s">
        <v>1385</v>
      </c>
      <c r="F950" s="81"/>
    </row>
    <row r="951" spans="2:6">
      <c r="B951" s="78" t="s">
        <v>2359</v>
      </c>
      <c r="C951" s="81"/>
      <c r="D951" s="81"/>
      <c r="E951" s="81"/>
      <c r="F951" s="81" t="s">
        <v>1386</v>
      </c>
    </row>
    <row r="952" spans="2:6">
      <c r="B952" s="78" t="s">
        <v>2926</v>
      </c>
      <c r="C952" s="81"/>
      <c r="D952" s="81"/>
      <c r="E952" s="81"/>
      <c r="F952" s="81" t="s">
        <v>1387</v>
      </c>
    </row>
    <row r="953" spans="2:6">
      <c r="B953" s="78" t="s">
        <v>2927</v>
      </c>
      <c r="C953" s="81"/>
      <c r="D953" s="81"/>
      <c r="E953" s="81"/>
      <c r="F953" s="81" t="s">
        <v>1388</v>
      </c>
    </row>
    <row r="954" spans="2:6">
      <c r="B954" s="78"/>
      <c r="C954" s="81"/>
      <c r="D954" s="81"/>
      <c r="E954" s="81" t="s">
        <v>1389</v>
      </c>
      <c r="F954" s="81"/>
    </row>
    <row r="955" spans="2:6">
      <c r="B955" s="78" t="s">
        <v>2928</v>
      </c>
      <c r="C955" s="81"/>
      <c r="D955" s="81"/>
      <c r="E955" s="81"/>
      <c r="F955" s="81" t="s">
        <v>1390</v>
      </c>
    </row>
    <row r="956" spans="2:6">
      <c r="B956" s="78" t="s">
        <v>2929</v>
      </c>
      <c r="C956" s="81"/>
      <c r="D956" s="81"/>
      <c r="E956" s="81"/>
      <c r="F956" s="81" t="s">
        <v>1391</v>
      </c>
    </row>
    <row r="957" spans="2:6">
      <c r="B957" s="78" t="s">
        <v>2930</v>
      </c>
      <c r="C957" s="81"/>
      <c r="D957" s="81"/>
      <c r="E957" s="81"/>
      <c r="F957" s="81" t="s">
        <v>1392</v>
      </c>
    </row>
    <row r="958" spans="2:6">
      <c r="B958" s="78" t="s">
        <v>2931</v>
      </c>
      <c r="C958" s="81"/>
      <c r="D958" s="81"/>
      <c r="E958" s="81"/>
      <c r="F958" s="81" t="s">
        <v>1393</v>
      </c>
    </row>
    <row r="959" spans="2:6">
      <c r="B959" s="78" t="s">
        <v>2932</v>
      </c>
      <c r="C959" s="81"/>
      <c r="D959" s="81"/>
      <c r="E959" s="81"/>
      <c r="F959" s="81" t="s">
        <v>1394</v>
      </c>
    </row>
    <row r="960" spans="2:6">
      <c r="B960" s="78" t="s">
        <v>2933</v>
      </c>
      <c r="C960" s="81"/>
      <c r="D960" s="81"/>
      <c r="E960" s="81"/>
      <c r="F960" s="81" t="s">
        <v>1395</v>
      </c>
    </row>
    <row r="961" spans="2:6">
      <c r="B961" s="78"/>
      <c r="C961" s="81"/>
      <c r="D961" s="81" t="s">
        <v>1396</v>
      </c>
      <c r="E961" s="81"/>
      <c r="F961" s="81"/>
    </row>
    <row r="962" spans="2:6">
      <c r="B962" s="78"/>
      <c r="C962" s="81"/>
      <c r="D962" s="81"/>
      <c r="E962" s="81" t="s">
        <v>1397</v>
      </c>
      <c r="F962" s="81"/>
    </row>
    <row r="963" spans="2:6">
      <c r="B963" s="78" t="s">
        <v>2934</v>
      </c>
      <c r="C963" s="81"/>
      <c r="D963" s="81"/>
      <c r="E963" s="81"/>
      <c r="F963" s="81" t="s">
        <v>401</v>
      </c>
    </row>
    <row r="964" spans="2:6">
      <c r="B964" s="78" t="s">
        <v>2935</v>
      </c>
      <c r="C964" s="81"/>
      <c r="D964" s="81"/>
      <c r="E964" s="81"/>
      <c r="F964" s="81" t="s">
        <v>403</v>
      </c>
    </row>
    <row r="965" spans="2:6">
      <c r="B965" s="78"/>
      <c r="C965" s="81"/>
      <c r="D965" s="81"/>
      <c r="E965" s="81" t="s">
        <v>1398</v>
      </c>
      <c r="F965" s="81"/>
    </row>
    <row r="966" spans="2:6">
      <c r="B966" s="78" t="s">
        <v>2360</v>
      </c>
      <c r="C966" s="81"/>
      <c r="D966" s="81"/>
      <c r="E966" s="81"/>
      <c r="F966" s="81" t="s">
        <v>1399</v>
      </c>
    </row>
    <row r="967" spans="2:6">
      <c r="B967" s="78" t="s">
        <v>2936</v>
      </c>
      <c r="C967" s="81"/>
      <c r="D967" s="81"/>
      <c r="E967" s="81"/>
      <c r="F967" s="81" t="s">
        <v>1400</v>
      </c>
    </row>
    <row r="968" spans="2:6">
      <c r="B968" s="78" t="s">
        <v>2937</v>
      </c>
      <c r="C968" s="81"/>
      <c r="D968" s="81"/>
      <c r="E968" s="81"/>
      <c r="F968" s="81" t="s">
        <v>1401</v>
      </c>
    </row>
    <row r="969" spans="2:6">
      <c r="B969" s="78"/>
      <c r="C969" s="81"/>
      <c r="D969" s="81"/>
      <c r="E969" s="81" t="s">
        <v>1402</v>
      </c>
      <c r="F969" s="81"/>
    </row>
    <row r="970" spans="2:6">
      <c r="B970" s="78" t="s">
        <v>2938</v>
      </c>
      <c r="C970" s="81"/>
      <c r="D970" s="81"/>
      <c r="E970" s="81"/>
      <c r="F970" s="81" t="s">
        <v>1403</v>
      </c>
    </row>
    <row r="971" spans="2:6">
      <c r="B971" s="78" t="s">
        <v>2939</v>
      </c>
      <c r="C971" s="81"/>
      <c r="D971" s="81"/>
      <c r="E971" s="81"/>
      <c r="F971" s="81" t="s">
        <v>1404</v>
      </c>
    </row>
    <row r="972" spans="2:6">
      <c r="B972" s="78"/>
      <c r="C972" s="81"/>
      <c r="D972" s="81"/>
      <c r="E972" s="81" t="s">
        <v>1405</v>
      </c>
      <c r="F972" s="81"/>
    </row>
    <row r="973" spans="2:6">
      <c r="B973" s="78" t="s">
        <v>2940</v>
      </c>
      <c r="C973" s="81"/>
      <c r="D973" s="81"/>
      <c r="E973" s="81"/>
      <c r="F973" s="81" t="s">
        <v>1406</v>
      </c>
    </row>
    <row r="974" spans="2:6">
      <c r="B974" s="78" t="s">
        <v>2941</v>
      </c>
      <c r="C974" s="81"/>
      <c r="D974" s="81"/>
      <c r="E974" s="81"/>
      <c r="F974" s="81" t="s">
        <v>1407</v>
      </c>
    </row>
    <row r="975" spans="2:6">
      <c r="B975" s="78" t="s">
        <v>2942</v>
      </c>
      <c r="C975" s="81"/>
      <c r="D975" s="81"/>
      <c r="E975" s="81"/>
      <c r="F975" s="81" t="s">
        <v>1408</v>
      </c>
    </row>
    <row r="976" spans="2:6">
      <c r="B976" s="78" t="s">
        <v>2943</v>
      </c>
      <c r="C976" s="81"/>
      <c r="D976" s="81"/>
      <c r="E976" s="81"/>
      <c r="F976" s="81" t="s">
        <v>1409</v>
      </c>
    </row>
    <row r="977" spans="2:6">
      <c r="B977" s="78"/>
      <c r="C977" s="81"/>
      <c r="D977" s="81"/>
      <c r="E977" s="81" t="s">
        <v>1410</v>
      </c>
      <c r="F977" s="81"/>
    </row>
    <row r="978" spans="2:6">
      <c r="B978" s="78" t="s">
        <v>2944</v>
      </c>
      <c r="C978" s="81"/>
      <c r="D978" s="81"/>
      <c r="E978" s="81"/>
      <c r="F978" s="81" t="s">
        <v>1411</v>
      </c>
    </row>
    <row r="979" spans="2:6">
      <c r="B979" s="78" t="s">
        <v>2945</v>
      </c>
      <c r="C979" s="81"/>
      <c r="D979" s="81"/>
      <c r="E979" s="81"/>
      <c r="F979" s="81" t="s">
        <v>1412</v>
      </c>
    </row>
    <row r="980" spans="2:6">
      <c r="B980" s="78" t="s">
        <v>2946</v>
      </c>
      <c r="C980" s="81"/>
      <c r="D980" s="81"/>
      <c r="E980" s="81"/>
      <c r="F980" s="81" t="s">
        <v>1413</v>
      </c>
    </row>
    <row r="981" spans="2:6">
      <c r="B981" s="78"/>
      <c r="C981" s="81"/>
      <c r="D981" s="81"/>
      <c r="E981" s="81" t="s">
        <v>1414</v>
      </c>
      <c r="F981" s="81"/>
    </row>
    <row r="982" spans="2:6">
      <c r="B982" s="78" t="s">
        <v>2947</v>
      </c>
      <c r="C982" s="81"/>
      <c r="D982" s="81"/>
      <c r="E982" s="81"/>
      <c r="F982" s="81" t="s">
        <v>1415</v>
      </c>
    </row>
    <row r="983" spans="2:6">
      <c r="B983" s="78" t="s">
        <v>2948</v>
      </c>
      <c r="C983" s="81"/>
      <c r="D983" s="81"/>
      <c r="E983" s="81"/>
      <c r="F983" s="81" t="s">
        <v>1416</v>
      </c>
    </row>
    <row r="984" spans="2:6">
      <c r="B984" s="78"/>
      <c r="C984" s="81"/>
      <c r="D984" s="81"/>
      <c r="E984" s="81" t="s">
        <v>1417</v>
      </c>
      <c r="F984" s="81"/>
    </row>
    <row r="985" spans="2:6">
      <c r="B985" s="78" t="s">
        <v>2949</v>
      </c>
      <c r="C985" s="81"/>
      <c r="D985" s="81"/>
      <c r="E985" s="81"/>
      <c r="F985" s="81" t="s">
        <v>1418</v>
      </c>
    </row>
    <row r="986" spans="2:6">
      <c r="B986" s="78" t="s">
        <v>2950</v>
      </c>
      <c r="C986" s="81"/>
      <c r="D986" s="81"/>
      <c r="E986" s="81"/>
      <c r="F986" s="81" t="s">
        <v>1419</v>
      </c>
    </row>
    <row r="987" spans="2:6">
      <c r="B987" s="78"/>
      <c r="C987" s="81"/>
      <c r="D987" s="81" t="s">
        <v>1420</v>
      </c>
      <c r="E987" s="81"/>
      <c r="F987" s="81"/>
    </row>
    <row r="988" spans="2:6">
      <c r="B988" s="78"/>
      <c r="C988" s="81"/>
      <c r="D988" s="81"/>
      <c r="E988" s="81" t="s">
        <v>1421</v>
      </c>
      <c r="F988" s="81"/>
    </row>
    <row r="989" spans="2:6">
      <c r="B989" s="78" t="s">
        <v>2951</v>
      </c>
      <c r="C989" s="81"/>
      <c r="D989" s="81"/>
      <c r="E989" s="81"/>
      <c r="F989" s="81" t="s">
        <v>401</v>
      </c>
    </row>
    <row r="990" spans="2:6">
      <c r="B990" s="78" t="s">
        <v>2952</v>
      </c>
      <c r="C990" s="81"/>
      <c r="D990" s="81"/>
      <c r="E990" s="81"/>
      <c r="F990" s="81" t="s">
        <v>403</v>
      </c>
    </row>
    <row r="991" spans="2:6">
      <c r="B991" s="78"/>
      <c r="C991" s="81"/>
      <c r="D991" s="81"/>
      <c r="E991" s="81" t="s">
        <v>1422</v>
      </c>
      <c r="F991" s="81"/>
    </row>
    <row r="992" spans="2:6">
      <c r="B992" s="78" t="s">
        <v>2953</v>
      </c>
      <c r="C992" s="81"/>
      <c r="D992" s="81"/>
      <c r="E992" s="81"/>
      <c r="F992" s="81" t="s">
        <v>1423</v>
      </c>
    </row>
    <row r="993" spans="2:6">
      <c r="B993" s="78" t="s">
        <v>2954</v>
      </c>
      <c r="C993" s="81"/>
      <c r="D993" s="81"/>
      <c r="E993" s="81"/>
      <c r="F993" s="81" t="s">
        <v>1424</v>
      </c>
    </row>
    <row r="994" spans="2:6">
      <c r="B994" s="78" t="s">
        <v>2955</v>
      </c>
      <c r="C994" s="81"/>
      <c r="D994" s="81"/>
      <c r="E994" s="81"/>
      <c r="F994" s="81" t="s">
        <v>1425</v>
      </c>
    </row>
    <row r="995" spans="2:6">
      <c r="B995" s="78"/>
      <c r="C995" s="81"/>
      <c r="D995" s="81"/>
      <c r="E995" s="81" t="s">
        <v>1426</v>
      </c>
      <c r="F995" s="81"/>
    </row>
    <row r="996" spans="2:6">
      <c r="B996" s="78" t="s">
        <v>2956</v>
      </c>
      <c r="C996" s="81"/>
      <c r="D996" s="81"/>
      <c r="E996" s="81"/>
      <c r="F996" s="81" t="s">
        <v>1427</v>
      </c>
    </row>
    <row r="997" spans="2:6">
      <c r="B997" s="78" t="s">
        <v>2957</v>
      </c>
      <c r="C997" s="81"/>
      <c r="D997" s="81"/>
      <c r="E997" s="81"/>
      <c r="F997" s="81" t="s">
        <v>1428</v>
      </c>
    </row>
    <row r="998" spans="2:6">
      <c r="B998" s="78" t="s">
        <v>2958</v>
      </c>
      <c r="C998" s="81"/>
      <c r="D998" s="81"/>
      <c r="E998" s="81"/>
      <c r="F998" s="81" t="s">
        <v>1429</v>
      </c>
    </row>
    <row r="999" spans="2:6">
      <c r="B999" s="78" t="s">
        <v>2959</v>
      </c>
      <c r="C999" s="81"/>
      <c r="D999" s="81"/>
      <c r="E999" s="81"/>
      <c r="F999" s="81" t="s">
        <v>1430</v>
      </c>
    </row>
    <row r="1000" spans="2:6">
      <c r="B1000" s="78" t="s">
        <v>2960</v>
      </c>
      <c r="C1000" s="81"/>
      <c r="D1000" s="81"/>
      <c r="E1000" s="81"/>
      <c r="F1000" s="81" t="s">
        <v>1431</v>
      </c>
    </row>
    <row r="1001" spans="2:6">
      <c r="B1001" s="78"/>
      <c r="C1001" s="81"/>
      <c r="D1001" s="81"/>
      <c r="E1001" s="81" t="s">
        <v>1432</v>
      </c>
      <c r="F1001" s="81"/>
    </row>
    <row r="1002" spans="2:6">
      <c r="B1002" s="78" t="s">
        <v>2961</v>
      </c>
      <c r="C1002" s="81"/>
      <c r="D1002" s="81"/>
      <c r="E1002" s="81"/>
      <c r="F1002" s="81" t="s">
        <v>1432</v>
      </c>
    </row>
    <row r="1003" spans="2:6">
      <c r="B1003" s="78"/>
      <c r="C1003" s="81"/>
      <c r="D1003" s="81"/>
      <c r="E1003" s="81" t="s">
        <v>1433</v>
      </c>
      <c r="F1003" s="81"/>
    </row>
    <row r="1004" spans="2:6">
      <c r="B1004" s="78" t="s">
        <v>2962</v>
      </c>
      <c r="C1004" s="81"/>
      <c r="D1004" s="81"/>
      <c r="E1004" s="81"/>
      <c r="F1004" s="81" t="s">
        <v>1434</v>
      </c>
    </row>
    <row r="1005" spans="2:6">
      <c r="B1005" s="78" t="s">
        <v>2963</v>
      </c>
      <c r="C1005" s="81"/>
      <c r="D1005" s="81"/>
      <c r="E1005" s="81"/>
      <c r="F1005" s="81" t="s">
        <v>1435</v>
      </c>
    </row>
    <row r="1006" spans="2:6">
      <c r="B1006" s="78"/>
      <c r="C1006" s="81"/>
      <c r="D1006" s="81"/>
      <c r="E1006" s="81" t="s">
        <v>1436</v>
      </c>
      <c r="F1006" s="81"/>
    </row>
    <row r="1007" spans="2:6">
      <c r="B1007" s="78" t="s">
        <v>2964</v>
      </c>
      <c r="C1007" s="81"/>
      <c r="D1007" s="81"/>
      <c r="E1007" s="81"/>
      <c r="F1007" s="81" t="s">
        <v>1437</v>
      </c>
    </row>
    <row r="1008" spans="2:6">
      <c r="B1008" s="78" t="s">
        <v>2965</v>
      </c>
      <c r="C1008" s="81"/>
      <c r="D1008" s="81"/>
      <c r="E1008" s="81"/>
      <c r="F1008" s="81" t="s">
        <v>1438</v>
      </c>
    </row>
    <row r="1009" spans="2:6">
      <c r="B1009" s="78" t="s">
        <v>2966</v>
      </c>
      <c r="C1009" s="81"/>
      <c r="D1009" s="81"/>
      <c r="E1009" s="81"/>
      <c r="F1009" s="81" t="s">
        <v>1439</v>
      </c>
    </row>
    <row r="1010" spans="2:6">
      <c r="B1010" s="78"/>
      <c r="C1010" s="81"/>
      <c r="D1010" s="81"/>
      <c r="E1010" s="81" t="s">
        <v>1440</v>
      </c>
      <c r="F1010" s="81"/>
    </row>
    <row r="1011" spans="2:6">
      <c r="B1011" s="78" t="s">
        <v>2967</v>
      </c>
      <c r="C1011" s="81"/>
      <c r="D1011" s="81"/>
      <c r="E1011" s="81"/>
      <c r="F1011" s="81" t="s">
        <v>1441</v>
      </c>
    </row>
    <row r="1012" spans="2:6">
      <c r="B1012" s="78" t="s">
        <v>2968</v>
      </c>
      <c r="C1012" s="81"/>
      <c r="D1012" s="81"/>
      <c r="E1012" s="81"/>
      <c r="F1012" s="81" t="s">
        <v>1442</v>
      </c>
    </row>
    <row r="1013" spans="2:6">
      <c r="B1013" s="78" t="s">
        <v>2969</v>
      </c>
      <c r="C1013" s="81"/>
      <c r="D1013" s="81"/>
      <c r="E1013" s="81"/>
      <c r="F1013" s="81" t="s">
        <v>1443</v>
      </c>
    </row>
    <row r="1014" spans="2:6">
      <c r="B1014" s="78"/>
      <c r="C1014" s="81"/>
      <c r="D1014" s="81"/>
      <c r="E1014" s="81" t="s">
        <v>1444</v>
      </c>
      <c r="F1014" s="81"/>
    </row>
    <row r="1015" spans="2:6">
      <c r="B1015" s="78" t="s">
        <v>2970</v>
      </c>
      <c r="C1015" s="81"/>
      <c r="D1015" s="81"/>
      <c r="E1015" s="81"/>
      <c r="F1015" s="81" t="s">
        <v>1444</v>
      </c>
    </row>
    <row r="1016" spans="2:6">
      <c r="B1016" s="78"/>
      <c r="C1016" s="81"/>
      <c r="D1016" s="81"/>
      <c r="E1016" s="81" t="s">
        <v>1445</v>
      </c>
      <c r="F1016" s="81"/>
    </row>
    <row r="1017" spans="2:6">
      <c r="B1017" s="78" t="s">
        <v>2971</v>
      </c>
      <c r="C1017" s="81"/>
      <c r="D1017" s="81"/>
      <c r="E1017" s="81"/>
      <c r="F1017" s="81" t="s">
        <v>1446</v>
      </c>
    </row>
    <row r="1018" spans="2:6">
      <c r="B1018" s="78" t="s">
        <v>2972</v>
      </c>
      <c r="C1018" s="81"/>
      <c r="D1018" s="81"/>
      <c r="E1018" s="81"/>
      <c r="F1018" s="81" t="s">
        <v>1447</v>
      </c>
    </row>
    <row r="1019" spans="2:6">
      <c r="B1019" s="78" t="s">
        <v>2973</v>
      </c>
      <c r="C1019" s="81"/>
      <c r="D1019" s="81"/>
      <c r="E1019" s="81"/>
      <c r="F1019" s="81" t="s">
        <v>1448</v>
      </c>
    </row>
    <row r="1020" spans="2:6">
      <c r="B1020" s="78" t="s">
        <v>2974</v>
      </c>
      <c r="C1020" s="81"/>
      <c r="D1020" s="81"/>
      <c r="E1020" s="81"/>
      <c r="F1020" s="81" t="s">
        <v>1449</v>
      </c>
    </row>
    <row r="1021" spans="2:6">
      <c r="B1021" s="78" t="s">
        <v>2975</v>
      </c>
      <c r="C1021" s="81"/>
      <c r="D1021" s="81"/>
      <c r="E1021" s="81"/>
      <c r="F1021" s="81" t="s">
        <v>1450</v>
      </c>
    </row>
    <row r="1022" spans="2:6">
      <c r="B1022" s="78" t="s">
        <v>2976</v>
      </c>
      <c r="C1022" s="81"/>
      <c r="D1022" s="81"/>
      <c r="E1022" s="81"/>
      <c r="F1022" s="81" t="s">
        <v>1451</v>
      </c>
    </row>
    <row r="1023" spans="2:6">
      <c r="B1023" s="78"/>
      <c r="C1023" s="81"/>
      <c r="D1023" s="81"/>
      <c r="E1023" s="81" t="s">
        <v>1452</v>
      </c>
      <c r="F1023" s="81"/>
    </row>
    <row r="1024" spans="2:6">
      <c r="B1024" s="78" t="s">
        <v>2977</v>
      </c>
      <c r="C1024" s="81"/>
      <c r="D1024" s="81"/>
      <c r="E1024" s="81"/>
      <c r="F1024" s="81" t="s">
        <v>1453</v>
      </c>
    </row>
    <row r="1025" spans="2:6">
      <c r="B1025" s="78" t="s">
        <v>2978</v>
      </c>
      <c r="C1025" s="81"/>
      <c r="D1025" s="81"/>
      <c r="E1025" s="81"/>
      <c r="F1025" s="81" t="s">
        <v>1454</v>
      </c>
    </row>
    <row r="1026" spans="2:6">
      <c r="B1026" s="78" t="s">
        <v>2979</v>
      </c>
      <c r="C1026" s="81"/>
      <c r="D1026" s="81"/>
      <c r="E1026" s="81"/>
      <c r="F1026" s="81" t="s">
        <v>1455</v>
      </c>
    </row>
    <row r="1027" spans="2:6">
      <c r="B1027" s="78" t="s">
        <v>2980</v>
      </c>
      <c r="C1027" s="81"/>
      <c r="D1027" s="81"/>
      <c r="E1027" s="81"/>
      <c r="F1027" s="81" t="s">
        <v>1456</v>
      </c>
    </row>
    <row r="1028" spans="2:6">
      <c r="B1028" s="78" t="s">
        <v>2981</v>
      </c>
      <c r="C1028" s="81"/>
      <c r="D1028" s="81"/>
      <c r="E1028" s="81"/>
      <c r="F1028" s="81" t="s">
        <v>1457</v>
      </c>
    </row>
    <row r="1029" spans="2:6">
      <c r="B1029" s="78" t="s">
        <v>2982</v>
      </c>
      <c r="C1029" s="81"/>
      <c r="D1029" s="81"/>
      <c r="E1029" s="81"/>
      <c r="F1029" s="81" t="s">
        <v>1458</v>
      </c>
    </row>
    <row r="1030" spans="2:6">
      <c r="B1030" s="78" t="s">
        <v>2983</v>
      </c>
      <c r="C1030" s="81"/>
      <c r="D1030" s="81"/>
      <c r="E1030" s="81"/>
      <c r="F1030" s="81" t="s">
        <v>1459</v>
      </c>
    </row>
    <row r="1031" spans="2:6">
      <c r="B1031" s="78" t="s">
        <v>2984</v>
      </c>
      <c r="C1031" s="81"/>
      <c r="D1031" s="81"/>
      <c r="E1031" s="81"/>
      <c r="F1031" s="81" t="s">
        <v>1460</v>
      </c>
    </row>
    <row r="1032" spans="2:6">
      <c r="B1032" s="78"/>
      <c r="C1032" s="81" t="s">
        <v>1461</v>
      </c>
      <c r="D1032" s="81"/>
      <c r="E1032" s="81"/>
      <c r="F1032" s="81"/>
    </row>
    <row r="1033" spans="2:6">
      <c r="B1033" s="78"/>
      <c r="C1033" s="81"/>
      <c r="D1033" s="81" t="s">
        <v>1462</v>
      </c>
      <c r="E1033" s="81"/>
      <c r="F1033" s="81"/>
    </row>
    <row r="1034" spans="2:6">
      <c r="B1034" s="78"/>
      <c r="C1034" s="81"/>
      <c r="D1034" s="81"/>
      <c r="E1034" s="81" t="s">
        <v>1463</v>
      </c>
      <c r="F1034" s="81"/>
    </row>
    <row r="1035" spans="2:6">
      <c r="B1035" s="78" t="s">
        <v>2985</v>
      </c>
      <c r="C1035" s="81"/>
      <c r="D1035" s="81"/>
      <c r="E1035" s="81"/>
      <c r="F1035" s="81" t="s">
        <v>401</v>
      </c>
    </row>
    <row r="1036" spans="2:6">
      <c r="B1036" s="78" t="s">
        <v>2986</v>
      </c>
      <c r="C1036" s="81"/>
      <c r="D1036" s="81"/>
      <c r="E1036" s="81"/>
      <c r="F1036" s="81" t="s">
        <v>403</v>
      </c>
    </row>
    <row r="1037" spans="2:6">
      <c r="B1037" s="78"/>
      <c r="C1037" s="81"/>
      <c r="D1037" s="81"/>
      <c r="E1037" s="81" t="s">
        <v>1462</v>
      </c>
      <c r="F1037" s="81"/>
    </row>
    <row r="1038" spans="2:6">
      <c r="B1038" s="150" t="s">
        <v>2987</v>
      </c>
      <c r="C1038" s="81"/>
      <c r="D1038" s="81"/>
      <c r="E1038" s="81"/>
      <c r="F1038" s="149" t="s">
        <v>3659</v>
      </c>
    </row>
    <row r="1039" spans="2:6">
      <c r="B1039" s="150" t="s">
        <v>2988</v>
      </c>
      <c r="C1039" s="81"/>
      <c r="D1039" s="81"/>
      <c r="E1039" s="81"/>
      <c r="F1039" s="149" t="s">
        <v>3660</v>
      </c>
    </row>
    <row r="1040" spans="2:6">
      <c r="B1040" s="150" t="s">
        <v>3661</v>
      </c>
      <c r="C1040" s="81"/>
      <c r="D1040" s="81"/>
      <c r="E1040" s="81"/>
      <c r="F1040" s="149" t="s">
        <v>3662</v>
      </c>
    </row>
    <row r="1041" spans="2:6">
      <c r="B1041" s="150" t="s">
        <v>3663</v>
      </c>
      <c r="C1041" s="81"/>
      <c r="D1041" s="81"/>
      <c r="E1041" s="81"/>
      <c r="F1041" s="149" t="s">
        <v>3664</v>
      </c>
    </row>
    <row r="1042" spans="2:6">
      <c r="B1042" s="78"/>
      <c r="C1042" s="81"/>
      <c r="D1042" s="81" t="s">
        <v>1464</v>
      </c>
      <c r="E1042" s="81"/>
      <c r="F1042" s="81"/>
    </row>
    <row r="1043" spans="2:6">
      <c r="B1043" s="78"/>
      <c r="C1043" s="81"/>
      <c r="D1043" s="81"/>
      <c r="E1043" s="81" t="s">
        <v>1465</v>
      </c>
      <c r="F1043" s="81"/>
    </row>
    <row r="1044" spans="2:6">
      <c r="B1044" s="78" t="s">
        <v>2989</v>
      </c>
      <c r="C1044" s="81"/>
      <c r="D1044" s="81"/>
      <c r="E1044" s="81"/>
      <c r="F1044" s="81" t="s">
        <v>401</v>
      </c>
    </row>
    <row r="1045" spans="2:6">
      <c r="B1045" s="78" t="s">
        <v>2361</v>
      </c>
      <c r="C1045" s="81"/>
      <c r="D1045" s="81"/>
      <c r="E1045" s="81"/>
      <c r="F1045" s="81" t="s">
        <v>403</v>
      </c>
    </row>
    <row r="1046" spans="2:6">
      <c r="B1046" s="78"/>
      <c r="C1046" s="81"/>
      <c r="D1046" s="81"/>
      <c r="E1046" s="81" t="s">
        <v>1464</v>
      </c>
      <c r="F1046" s="81"/>
    </row>
    <row r="1047" spans="2:6">
      <c r="B1047" s="78" t="s">
        <v>2990</v>
      </c>
      <c r="C1047" s="81"/>
      <c r="D1047" s="81"/>
      <c r="E1047" s="81"/>
      <c r="F1047" s="149" t="s">
        <v>3665</v>
      </c>
    </row>
    <row r="1048" spans="2:6">
      <c r="B1048" s="78" t="s">
        <v>2991</v>
      </c>
      <c r="C1048" s="81"/>
      <c r="D1048" s="81"/>
      <c r="E1048" s="81"/>
      <c r="F1048" s="149" t="s">
        <v>3666</v>
      </c>
    </row>
    <row r="1049" spans="2:6">
      <c r="B1049" s="150" t="s">
        <v>3667</v>
      </c>
      <c r="C1049" s="81"/>
      <c r="D1049" s="81"/>
      <c r="E1049" s="81"/>
      <c r="F1049" s="149" t="s">
        <v>3668</v>
      </c>
    </row>
    <row r="1050" spans="2:6">
      <c r="B1050" s="78"/>
      <c r="C1050" s="81"/>
      <c r="D1050" s="81" t="s">
        <v>1466</v>
      </c>
      <c r="E1050" s="81"/>
      <c r="F1050" s="81"/>
    </row>
    <row r="1051" spans="2:6">
      <c r="B1051" s="78"/>
      <c r="C1051" s="81"/>
      <c r="D1051" s="81"/>
      <c r="E1051" s="81" t="s">
        <v>1467</v>
      </c>
      <c r="F1051" s="81"/>
    </row>
    <row r="1052" spans="2:6">
      <c r="B1052" s="78" t="s">
        <v>2992</v>
      </c>
      <c r="C1052" s="81"/>
      <c r="D1052" s="81"/>
      <c r="E1052" s="81"/>
      <c r="F1052" s="81" t="s">
        <v>401</v>
      </c>
    </row>
    <row r="1053" spans="2:6">
      <c r="B1053" s="78" t="s">
        <v>2993</v>
      </c>
      <c r="C1053" s="81"/>
      <c r="D1053" s="81"/>
      <c r="E1053" s="81"/>
      <c r="F1053" s="81" t="s">
        <v>403</v>
      </c>
    </row>
    <row r="1054" spans="2:6">
      <c r="B1054" s="78"/>
      <c r="C1054" s="81"/>
      <c r="D1054" s="81"/>
      <c r="E1054" s="81" t="s">
        <v>1466</v>
      </c>
      <c r="F1054" s="81"/>
    </row>
    <row r="1055" spans="2:6">
      <c r="B1055" s="78" t="s">
        <v>2994</v>
      </c>
      <c r="C1055" s="81"/>
      <c r="D1055" s="81"/>
      <c r="E1055" s="81"/>
      <c r="F1055" s="81" t="s">
        <v>1466</v>
      </c>
    </row>
    <row r="1056" spans="2:6">
      <c r="B1056" s="78"/>
      <c r="C1056" s="81"/>
      <c r="D1056" s="81" t="s">
        <v>1468</v>
      </c>
      <c r="E1056" s="81"/>
      <c r="F1056" s="81"/>
    </row>
    <row r="1057" spans="2:6">
      <c r="B1057" s="78"/>
      <c r="C1057" s="81"/>
      <c r="D1057" s="81"/>
      <c r="E1057" s="81" t="s">
        <v>1469</v>
      </c>
      <c r="F1057" s="81"/>
    </row>
    <row r="1058" spans="2:6">
      <c r="B1058" s="78" t="s">
        <v>2995</v>
      </c>
      <c r="C1058" s="81"/>
      <c r="D1058" s="81"/>
      <c r="E1058" s="81"/>
      <c r="F1058" s="81" t="s">
        <v>401</v>
      </c>
    </row>
    <row r="1059" spans="2:6">
      <c r="B1059" s="78" t="s">
        <v>2996</v>
      </c>
      <c r="C1059" s="81"/>
      <c r="D1059" s="81"/>
      <c r="E1059" s="81"/>
      <c r="F1059" s="81" t="s">
        <v>403</v>
      </c>
    </row>
    <row r="1060" spans="2:6">
      <c r="B1060" s="78"/>
      <c r="C1060" s="81"/>
      <c r="D1060" s="81"/>
      <c r="E1060" s="81" t="s">
        <v>1470</v>
      </c>
      <c r="F1060" s="81"/>
    </row>
    <row r="1061" spans="2:6">
      <c r="B1061" s="78" t="s">
        <v>2997</v>
      </c>
      <c r="C1061" s="81"/>
      <c r="D1061" s="81"/>
      <c r="E1061" s="81"/>
      <c r="F1061" s="81" t="s">
        <v>1470</v>
      </c>
    </row>
    <row r="1062" spans="2:6">
      <c r="B1062" s="78"/>
      <c r="C1062" s="81"/>
      <c r="D1062" s="81"/>
      <c r="E1062" s="81" t="s">
        <v>1471</v>
      </c>
      <c r="F1062" s="81"/>
    </row>
    <row r="1063" spans="2:6">
      <c r="B1063" s="78" t="s">
        <v>2362</v>
      </c>
      <c r="C1063" s="81"/>
      <c r="D1063" s="81"/>
      <c r="E1063" s="81"/>
      <c r="F1063" s="81" t="s">
        <v>1471</v>
      </c>
    </row>
    <row r="1064" spans="2:6">
      <c r="B1064" s="78"/>
      <c r="C1064" s="81"/>
      <c r="D1064" s="81"/>
      <c r="E1064" s="81" t="s">
        <v>1472</v>
      </c>
      <c r="F1064" s="81"/>
    </row>
    <row r="1065" spans="2:6">
      <c r="B1065" s="78" t="s">
        <v>2998</v>
      </c>
      <c r="C1065" s="81"/>
      <c r="D1065" s="81"/>
      <c r="E1065" s="81"/>
      <c r="F1065" s="81" t="s">
        <v>1473</v>
      </c>
    </row>
    <row r="1066" spans="2:6">
      <c r="B1066" s="78" t="s">
        <v>2999</v>
      </c>
      <c r="C1066" s="81"/>
      <c r="D1066" s="81"/>
      <c r="E1066" s="81"/>
      <c r="F1066" s="81" t="s">
        <v>1474</v>
      </c>
    </row>
    <row r="1067" spans="2:6">
      <c r="B1067" s="78"/>
      <c r="C1067" s="81" t="s">
        <v>1475</v>
      </c>
      <c r="D1067" s="81"/>
      <c r="E1067" s="81"/>
      <c r="F1067" s="81"/>
    </row>
    <row r="1068" spans="2:6">
      <c r="B1068" s="78"/>
      <c r="C1068" s="81"/>
      <c r="D1068" s="81" t="s">
        <v>1476</v>
      </c>
      <c r="E1068" s="81"/>
      <c r="F1068" s="81"/>
    </row>
    <row r="1069" spans="2:6">
      <c r="B1069" s="78"/>
      <c r="C1069" s="81"/>
      <c r="D1069" s="81"/>
      <c r="E1069" s="81" t="s">
        <v>1477</v>
      </c>
      <c r="F1069" s="81"/>
    </row>
    <row r="1070" spans="2:6">
      <c r="B1070" s="78" t="s">
        <v>3000</v>
      </c>
      <c r="C1070" s="81"/>
      <c r="D1070" s="81"/>
      <c r="E1070" s="81"/>
      <c r="F1070" s="81" t="s">
        <v>401</v>
      </c>
    </row>
    <row r="1071" spans="2:6">
      <c r="B1071" s="78" t="s">
        <v>3001</v>
      </c>
      <c r="C1071" s="81"/>
      <c r="D1071" s="81"/>
      <c r="E1071" s="81"/>
      <c r="F1071" s="81" t="s">
        <v>403</v>
      </c>
    </row>
    <row r="1072" spans="2:6">
      <c r="B1072" s="78"/>
      <c r="C1072" s="81"/>
      <c r="D1072" s="81"/>
      <c r="E1072" s="81" t="s">
        <v>1478</v>
      </c>
      <c r="F1072" s="81"/>
    </row>
    <row r="1073" spans="2:6">
      <c r="B1073" s="78" t="s">
        <v>3002</v>
      </c>
      <c r="C1073" s="81"/>
      <c r="D1073" s="81"/>
      <c r="E1073" s="81"/>
      <c r="F1073" s="81" t="s">
        <v>1479</v>
      </c>
    </row>
    <row r="1074" spans="2:6">
      <c r="B1074" s="78" t="s">
        <v>3003</v>
      </c>
      <c r="C1074" s="81"/>
      <c r="D1074" s="81"/>
      <c r="E1074" s="81"/>
      <c r="F1074" s="81" t="s">
        <v>1480</v>
      </c>
    </row>
    <row r="1075" spans="2:6">
      <c r="B1075" s="78" t="s">
        <v>3004</v>
      </c>
      <c r="C1075" s="81"/>
      <c r="D1075" s="81"/>
      <c r="E1075" s="81"/>
      <c r="F1075" s="81" t="s">
        <v>1481</v>
      </c>
    </row>
    <row r="1076" spans="2:6">
      <c r="B1076" s="78" t="s">
        <v>3005</v>
      </c>
      <c r="C1076" s="81"/>
      <c r="D1076" s="81"/>
      <c r="E1076" s="81"/>
      <c r="F1076" s="81" t="s">
        <v>1482</v>
      </c>
    </row>
    <row r="1077" spans="2:6">
      <c r="B1077" s="78"/>
      <c r="C1077" s="81"/>
      <c r="D1077" s="81"/>
      <c r="E1077" s="81" t="s">
        <v>1483</v>
      </c>
      <c r="F1077" s="81"/>
    </row>
    <row r="1078" spans="2:6">
      <c r="B1078" s="78" t="s">
        <v>3006</v>
      </c>
      <c r="C1078" s="81"/>
      <c r="D1078" s="81"/>
      <c r="E1078" s="81"/>
      <c r="F1078" s="81" t="s">
        <v>1483</v>
      </c>
    </row>
    <row r="1079" spans="2:6">
      <c r="B1079" s="78"/>
      <c r="C1079" s="81"/>
      <c r="D1079" s="81"/>
      <c r="E1079" s="81" t="s">
        <v>1484</v>
      </c>
      <c r="F1079" s="81"/>
    </row>
    <row r="1080" spans="2:6">
      <c r="B1080" s="78" t="s">
        <v>3007</v>
      </c>
      <c r="C1080" s="81"/>
      <c r="D1080" s="81"/>
      <c r="E1080" s="81"/>
      <c r="F1080" s="81" t="s">
        <v>1484</v>
      </c>
    </row>
    <row r="1081" spans="2:6">
      <c r="B1081" s="78"/>
      <c r="C1081" s="81"/>
      <c r="D1081" s="81" t="s">
        <v>1485</v>
      </c>
      <c r="E1081" s="81"/>
      <c r="F1081" s="81"/>
    </row>
    <row r="1082" spans="2:6">
      <c r="B1082" s="78"/>
      <c r="C1082" s="81"/>
      <c r="D1082" s="81"/>
      <c r="E1082" s="81" t="s">
        <v>1486</v>
      </c>
      <c r="F1082" s="81"/>
    </row>
    <row r="1083" spans="2:6">
      <c r="B1083" s="78" t="s">
        <v>3008</v>
      </c>
      <c r="C1083" s="81"/>
      <c r="D1083" s="81"/>
      <c r="E1083" s="81"/>
      <c r="F1083" s="81" t="s">
        <v>401</v>
      </c>
    </row>
    <row r="1084" spans="2:6">
      <c r="B1084" s="78" t="s">
        <v>3009</v>
      </c>
      <c r="C1084" s="81"/>
      <c r="D1084" s="81"/>
      <c r="E1084" s="81"/>
      <c r="F1084" s="81" t="s">
        <v>403</v>
      </c>
    </row>
    <row r="1085" spans="2:6">
      <c r="B1085" s="78"/>
      <c r="C1085" s="81"/>
      <c r="D1085" s="81"/>
      <c r="E1085" s="81" t="s">
        <v>1487</v>
      </c>
      <c r="F1085" s="81"/>
    </row>
    <row r="1086" spans="2:6">
      <c r="B1086" s="78" t="s">
        <v>3010</v>
      </c>
      <c r="C1086" s="81"/>
      <c r="D1086" s="81"/>
      <c r="E1086" s="81"/>
      <c r="F1086" s="81" t="s">
        <v>1487</v>
      </c>
    </row>
    <row r="1087" spans="2:6">
      <c r="B1087" s="78"/>
      <c r="C1087" s="81"/>
      <c r="D1087" s="81"/>
      <c r="E1087" s="81" t="s">
        <v>1488</v>
      </c>
      <c r="F1087" s="81"/>
    </row>
    <row r="1088" spans="2:6">
      <c r="B1088" s="78" t="s">
        <v>2363</v>
      </c>
      <c r="C1088" s="81"/>
      <c r="D1088" s="81"/>
      <c r="E1088" s="81"/>
      <c r="F1088" s="81" t="s">
        <v>1489</v>
      </c>
    </row>
    <row r="1089" spans="2:6">
      <c r="B1089" s="78" t="s">
        <v>3011</v>
      </c>
      <c r="C1089" s="81"/>
      <c r="D1089" s="81"/>
      <c r="E1089" s="81"/>
      <c r="F1089" s="81" t="s">
        <v>1490</v>
      </c>
    </row>
    <row r="1090" spans="2:6">
      <c r="B1090" s="78" t="s">
        <v>3012</v>
      </c>
      <c r="C1090" s="81"/>
      <c r="D1090" s="81"/>
      <c r="E1090" s="81"/>
      <c r="F1090" s="81" t="s">
        <v>1491</v>
      </c>
    </row>
    <row r="1091" spans="2:6">
      <c r="B1091" s="78" t="s">
        <v>3013</v>
      </c>
      <c r="C1091" s="81"/>
      <c r="D1091" s="81"/>
      <c r="E1091" s="81"/>
      <c r="F1091" s="81" t="s">
        <v>1492</v>
      </c>
    </row>
    <row r="1092" spans="2:6">
      <c r="B1092" s="78"/>
      <c r="C1092" s="81"/>
      <c r="D1092" s="81"/>
      <c r="E1092" s="81" t="s">
        <v>1493</v>
      </c>
      <c r="F1092" s="81"/>
    </row>
    <row r="1093" spans="2:6">
      <c r="B1093" s="78" t="s">
        <v>3014</v>
      </c>
      <c r="C1093" s="81"/>
      <c r="D1093" s="81"/>
      <c r="E1093" s="81"/>
      <c r="F1093" s="81" t="s">
        <v>1494</v>
      </c>
    </row>
    <row r="1094" spans="2:6">
      <c r="B1094" s="78" t="s">
        <v>3015</v>
      </c>
      <c r="C1094" s="81"/>
      <c r="D1094" s="81"/>
      <c r="E1094" s="81"/>
      <c r="F1094" s="81" t="s">
        <v>1495</v>
      </c>
    </row>
    <row r="1095" spans="2:6">
      <c r="B1095" s="78"/>
      <c r="C1095" s="81"/>
      <c r="D1095" s="81" t="s">
        <v>1496</v>
      </c>
      <c r="E1095" s="81"/>
      <c r="F1095" s="81"/>
    </row>
    <row r="1096" spans="2:6">
      <c r="B1096" s="78"/>
      <c r="C1096" s="81"/>
      <c r="D1096" s="81"/>
      <c r="E1096" s="81" t="s">
        <v>1497</v>
      </c>
      <c r="F1096" s="81"/>
    </row>
    <row r="1097" spans="2:6">
      <c r="B1097" s="78" t="s">
        <v>3016</v>
      </c>
      <c r="C1097" s="81"/>
      <c r="D1097" s="81"/>
      <c r="E1097" s="81"/>
      <c r="F1097" s="81" t="s">
        <v>401</v>
      </c>
    </row>
    <row r="1098" spans="2:6">
      <c r="B1098" s="78" t="s">
        <v>3017</v>
      </c>
      <c r="C1098" s="81"/>
      <c r="D1098" s="81"/>
      <c r="E1098" s="81"/>
      <c r="F1098" s="81" t="s">
        <v>403</v>
      </c>
    </row>
    <row r="1099" spans="2:6">
      <c r="B1099" s="78"/>
      <c r="C1099" s="81"/>
      <c r="D1099" s="81"/>
      <c r="E1099" s="81" t="s">
        <v>1498</v>
      </c>
      <c r="F1099" s="81"/>
    </row>
    <row r="1100" spans="2:6">
      <c r="B1100" s="78" t="s">
        <v>3018</v>
      </c>
      <c r="C1100" s="81"/>
      <c r="D1100" s="81"/>
      <c r="E1100" s="81"/>
      <c r="F1100" s="81" t="s">
        <v>1499</v>
      </c>
    </row>
    <row r="1101" spans="2:6">
      <c r="B1101" s="78" t="s">
        <v>3019</v>
      </c>
      <c r="C1101" s="81"/>
      <c r="D1101" s="81"/>
      <c r="E1101" s="81"/>
      <c r="F1101" s="81" t="s">
        <v>1500</v>
      </c>
    </row>
    <row r="1102" spans="2:6">
      <c r="B1102" s="78" t="s">
        <v>3020</v>
      </c>
      <c r="C1102" s="81"/>
      <c r="D1102" s="81"/>
      <c r="E1102" s="81"/>
      <c r="F1102" s="81" t="s">
        <v>1501</v>
      </c>
    </row>
    <row r="1103" spans="2:6">
      <c r="B1103" s="78" t="s">
        <v>3021</v>
      </c>
      <c r="C1103" s="81"/>
      <c r="D1103" s="81"/>
      <c r="E1103" s="81"/>
      <c r="F1103" s="81" t="s">
        <v>1502</v>
      </c>
    </row>
    <row r="1104" spans="2:6">
      <c r="B1104" s="78"/>
      <c r="C1104" s="81"/>
      <c r="D1104" s="81"/>
      <c r="E1104" s="81" t="s">
        <v>1503</v>
      </c>
      <c r="F1104" s="81"/>
    </row>
    <row r="1105" spans="2:6">
      <c r="B1105" s="78" t="s">
        <v>3022</v>
      </c>
      <c r="C1105" s="81"/>
      <c r="D1105" s="81"/>
      <c r="E1105" s="81"/>
      <c r="F1105" s="81" t="s">
        <v>1504</v>
      </c>
    </row>
    <row r="1106" spans="2:6">
      <c r="B1106" s="78" t="s">
        <v>3023</v>
      </c>
      <c r="C1106" s="81"/>
      <c r="D1106" s="81"/>
      <c r="E1106" s="81"/>
      <c r="F1106" s="81" t="s">
        <v>1505</v>
      </c>
    </row>
    <row r="1107" spans="2:6">
      <c r="B1107" s="78" t="s">
        <v>3024</v>
      </c>
      <c r="C1107" s="81"/>
      <c r="D1107" s="81"/>
      <c r="E1107" s="81"/>
      <c r="F1107" s="81" t="s">
        <v>1506</v>
      </c>
    </row>
    <row r="1108" spans="2:6">
      <c r="B1108" s="78" t="s">
        <v>3025</v>
      </c>
      <c r="C1108" s="81"/>
      <c r="D1108" s="81"/>
      <c r="E1108" s="81"/>
      <c r="F1108" s="81" t="s">
        <v>1507</v>
      </c>
    </row>
    <row r="1109" spans="2:6">
      <c r="B1109" s="78"/>
      <c r="C1109" s="81"/>
      <c r="D1109" s="81" t="s">
        <v>1508</v>
      </c>
      <c r="E1109" s="81"/>
      <c r="F1109" s="81"/>
    </row>
    <row r="1110" spans="2:6">
      <c r="B1110" s="78"/>
      <c r="C1110" s="81"/>
      <c r="D1110" s="81"/>
      <c r="E1110" s="81" t="s">
        <v>1509</v>
      </c>
      <c r="F1110" s="81"/>
    </row>
    <row r="1111" spans="2:6">
      <c r="B1111" s="78" t="s">
        <v>3026</v>
      </c>
      <c r="C1111" s="81"/>
      <c r="D1111" s="81"/>
      <c r="E1111" s="81"/>
      <c r="F1111" s="81" t="s">
        <v>401</v>
      </c>
    </row>
    <row r="1112" spans="2:6">
      <c r="B1112" s="78" t="s">
        <v>3027</v>
      </c>
      <c r="C1112" s="81"/>
      <c r="D1112" s="81"/>
      <c r="E1112" s="81"/>
      <c r="F1112" s="81" t="s">
        <v>403</v>
      </c>
    </row>
    <row r="1113" spans="2:6">
      <c r="B1113" s="78"/>
      <c r="C1113" s="81"/>
      <c r="D1113" s="81"/>
      <c r="E1113" s="81" t="s">
        <v>1508</v>
      </c>
      <c r="F1113" s="81"/>
    </row>
    <row r="1114" spans="2:6">
      <c r="B1114" s="78" t="s">
        <v>3028</v>
      </c>
      <c r="C1114" s="81"/>
      <c r="D1114" s="81"/>
      <c r="E1114" s="81"/>
      <c r="F1114" s="81" t="s">
        <v>1510</v>
      </c>
    </row>
    <row r="1115" spans="2:6">
      <c r="B1115" s="78" t="s">
        <v>3029</v>
      </c>
      <c r="C1115" s="81"/>
      <c r="D1115" s="81"/>
      <c r="E1115" s="81"/>
      <c r="F1115" s="81" t="s">
        <v>1511</v>
      </c>
    </row>
    <row r="1116" spans="2:6">
      <c r="B1116" s="78" t="s">
        <v>3030</v>
      </c>
      <c r="C1116" s="81"/>
      <c r="D1116" s="81"/>
      <c r="E1116" s="81"/>
      <c r="F1116" s="81" t="s">
        <v>1512</v>
      </c>
    </row>
    <row r="1117" spans="2:6">
      <c r="B1117" s="78"/>
      <c r="C1117" s="81"/>
      <c r="D1117" s="81" t="s">
        <v>1513</v>
      </c>
      <c r="E1117" s="81"/>
      <c r="F1117" s="81"/>
    </row>
    <row r="1118" spans="2:6">
      <c r="B1118" s="78"/>
      <c r="C1118" s="81"/>
      <c r="D1118" s="81"/>
      <c r="E1118" s="81" t="s">
        <v>1514</v>
      </c>
      <c r="F1118" s="81"/>
    </row>
    <row r="1119" spans="2:6">
      <c r="B1119" s="78" t="s">
        <v>3031</v>
      </c>
      <c r="C1119" s="81"/>
      <c r="D1119" s="81"/>
      <c r="E1119" s="81"/>
      <c r="F1119" s="81" t="s">
        <v>401</v>
      </c>
    </row>
    <row r="1120" spans="2:6">
      <c r="B1120" s="78" t="s">
        <v>3032</v>
      </c>
      <c r="C1120" s="81"/>
      <c r="D1120" s="81"/>
      <c r="E1120" s="81"/>
      <c r="F1120" s="81" t="s">
        <v>403</v>
      </c>
    </row>
    <row r="1121" spans="2:6">
      <c r="B1121" s="78"/>
      <c r="C1121" s="81"/>
      <c r="D1121" s="81"/>
      <c r="E1121" s="81" t="s">
        <v>1515</v>
      </c>
      <c r="F1121" s="81"/>
    </row>
    <row r="1122" spans="2:6">
      <c r="B1122" s="78" t="s">
        <v>3033</v>
      </c>
      <c r="C1122" s="81"/>
      <c r="D1122" s="81"/>
      <c r="E1122" s="81"/>
      <c r="F1122" s="81" t="s">
        <v>1516</v>
      </c>
    </row>
    <row r="1123" spans="2:6">
      <c r="B1123" s="78" t="s">
        <v>3034</v>
      </c>
      <c r="C1123" s="81"/>
      <c r="D1123" s="81"/>
      <c r="E1123" s="81"/>
      <c r="F1123" s="81" t="s">
        <v>1517</v>
      </c>
    </row>
    <row r="1124" spans="2:6">
      <c r="B1124" s="78" t="s">
        <v>3035</v>
      </c>
      <c r="C1124" s="81"/>
      <c r="D1124" s="81"/>
      <c r="E1124" s="81"/>
      <c r="F1124" s="81" t="s">
        <v>1518</v>
      </c>
    </row>
    <row r="1125" spans="2:6">
      <c r="B1125" s="78" t="s">
        <v>3036</v>
      </c>
      <c r="C1125" s="81"/>
      <c r="D1125" s="81"/>
      <c r="E1125" s="81"/>
      <c r="F1125" s="81" t="s">
        <v>1519</v>
      </c>
    </row>
    <row r="1126" spans="2:6">
      <c r="B1126" s="78"/>
      <c r="C1126" s="81"/>
      <c r="D1126" s="81"/>
      <c r="E1126" s="81" t="s">
        <v>1520</v>
      </c>
      <c r="F1126" s="81"/>
    </row>
    <row r="1127" spans="2:6">
      <c r="B1127" s="78" t="s">
        <v>3037</v>
      </c>
      <c r="C1127" s="81"/>
      <c r="D1127" s="81"/>
      <c r="E1127" s="81"/>
      <c r="F1127" s="81" t="s">
        <v>1521</v>
      </c>
    </row>
    <row r="1128" spans="2:6">
      <c r="B1128" s="78" t="s">
        <v>3038</v>
      </c>
      <c r="C1128" s="81"/>
      <c r="D1128" s="81"/>
      <c r="E1128" s="81"/>
      <c r="F1128" s="81" t="s">
        <v>1522</v>
      </c>
    </row>
    <row r="1129" spans="2:6">
      <c r="B1129" s="78"/>
      <c r="C1129" s="81"/>
      <c r="D1129" s="81"/>
      <c r="E1129" s="81" t="s">
        <v>1523</v>
      </c>
      <c r="F1129" s="81"/>
    </row>
    <row r="1130" spans="2:6">
      <c r="B1130" s="78" t="s">
        <v>3039</v>
      </c>
      <c r="C1130" s="81"/>
      <c r="D1130" s="81"/>
      <c r="E1130" s="81"/>
      <c r="F1130" s="81" t="s">
        <v>1523</v>
      </c>
    </row>
    <row r="1131" spans="2:6">
      <c r="B1131" s="78"/>
      <c r="C1131" s="81"/>
      <c r="D1131" s="81"/>
      <c r="E1131" s="81" t="s">
        <v>1524</v>
      </c>
      <c r="F1131" s="81"/>
    </row>
    <row r="1132" spans="2:6">
      <c r="B1132" s="78" t="s">
        <v>3040</v>
      </c>
      <c r="C1132" s="81"/>
      <c r="D1132" s="81"/>
      <c r="E1132" s="81"/>
      <c r="F1132" s="81" t="s">
        <v>1524</v>
      </c>
    </row>
    <row r="1133" spans="2:6">
      <c r="B1133" s="78"/>
      <c r="C1133" s="81"/>
      <c r="D1133" s="81"/>
      <c r="E1133" s="81" t="s">
        <v>1525</v>
      </c>
      <c r="F1133" s="81"/>
    </row>
    <row r="1134" spans="2:6">
      <c r="B1134" s="78" t="s">
        <v>3041</v>
      </c>
      <c r="C1134" s="81"/>
      <c r="D1134" s="81"/>
      <c r="E1134" s="81"/>
      <c r="F1134" s="81" t="s">
        <v>1525</v>
      </c>
    </row>
    <row r="1135" spans="2:6">
      <c r="B1135" s="78"/>
      <c r="C1135" s="81"/>
      <c r="D1135" s="81"/>
      <c r="E1135" s="81" t="s">
        <v>1526</v>
      </c>
      <c r="F1135" s="81"/>
    </row>
    <row r="1136" spans="2:6">
      <c r="B1136" s="78" t="s">
        <v>3042</v>
      </c>
      <c r="C1136" s="81"/>
      <c r="D1136" s="81"/>
      <c r="E1136" s="81"/>
      <c r="F1136" s="81" t="s">
        <v>1527</v>
      </c>
    </row>
    <row r="1137" spans="2:6">
      <c r="B1137" s="78" t="s">
        <v>3043</v>
      </c>
      <c r="C1137" s="81"/>
      <c r="D1137" s="81"/>
      <c r="E1137" s="81"/>
      <c r="F1137" s="81" t="s">
        <v>1528</v>
      </c>
    </row>
    <row r="1138" spans="2:6">
      <c r="B1138" s="78"/>
      <c r="C1138" s="81" t="s">
        <v>1529</v>
      </c>
      <c r="D1138" s="81"/>
      <c r="E1138" s="81"/>
      <c r="F1138" s="81"/>
    </row>
    <row r="1139" spans="2:6">
      <c r="B1139" s="78"/>
      <c r="C1139" s="81"/>
      <c r="D1139" s="81" t="s">
        <v>1530</v>
      </c>
      <c r="E1139" s="81"/>
      <c r="F1139" s="81"/>
    </row>
    <row r="1140" spans="2:6">
      <c r="B1140" s="78"/>
      <c r="C1140" s="81"/>
      <c r="D1140" s="81"/>
      <c r="E1140" s="81" t="s">
        <v>1531</v>
      </c>
      <c r="F1140" s="81"/>
    </row>
    <row r="1141" spans="2:6">
      <c r="B1141" s="78" t="s">
        <v>3044</v>
      </c>
      <c r="C1141" s="81"/>
      <c r="D1141" s="81"/>
      <c r="E1141" s="81"/>
      <c r="F1141" s="81" t="s">
        <v>401</v>
      </c>
    </row>
    <row r="1142" spans="2:6">
      <c r="B1142" s="78" t="s">
        <v>3045</v>
      </c>
      <c r="C1142" s="81"/>
      <c r="D1142" s="81"/>
      <c r="E1142" s="81"/>
      <c r="F1142" s="81" t="s">
        <v>403</v>
      </c>
    </row>
    <row r="1143" spans="2:6">
      <c r="B1143" s="78"/>
      <c r="C1143" s="81"/>
      <c r="D1143" s="81"/>
      <c r="E1143" s="81" t="s">
        <v>1530</v>
      </c>
      <c r="F1143" s="81"/>
    </row>
    <row r="1144" spans="2:6">
      <c r="B1144" s="78" t="s">
        <v>3046</v>
      </c>
      <c r="C1144" s="81"/>
      <c r="D1144" s="81"/>
      <c r="E1144" s="81"/>
      <c r="F1144" s="81" t="s">
        <v>1532</v>
      </c>
    </row>
    <row r="1145" spans="2:6">
      <c r="B1145" s="78" t="s">
        <v>3047</v>
      </c>
      <c r="C1145" s="81"/>
      <c r="D1145" s="81"/>
      <c r="E1145" s="81"/>
      <c r="F1145" s="81" t="s">
        <v>1533</v>
      </c>
    </row>
    <row r="1146" spans="2:6">
      <c r="B1146" s="78" t="s">
        <v>3048</v>
      </c>
      <c r="C1146" s="81"/>
      <c r="D1146" s="81"/>
      <c r="E1146" s="81"/>
      <c r="F1146" s="81" t="s">
        <v>1534</v>
      </c>
    </row>
    <row r="1147" spans="2:6">
      <c r="B1147" s="78" t="s">
        <v>3049</v>
      </c>
      <c r="C1147" s="81"/>
      <c r="D1147" s="81"/>
      <c r="E1147" s="81"/>
      <c r="F1147" s="81" t="s">
        <v>1535</v>
      </c>
    </row>
    <row r="1148" spans="2:6">
      <c r="B1148" s="78" t="s">
        <v>3050</v>
      </c>
      <c r="C1148" s="81"/>
      <c r="D1148" s="81"/>
      <c r="E1148" s="81"/>
      <c r="F1148" s="81" t="s">
        <v>1536</v>
      </c>
    </row>
    <row r="1149" spans="2:6">
      <c r="B1149" s="78" t="s">
        <v>3051</v>
      </c>
      <c r="C1149" s="81"/>
      <c r="D1149" s="81"/>
      <c r="E1149" s="81"/>
      <c r="F1149" s="81" t="s">
        <v>1537</v>
      </c>
    </row>
    <row r="1150" spans="2:6">
      <c r="B1150" s="78" t="s">
        <v>3052</v>
      </c>
      <c r="C1150" s="81"/>
      <c r="D1150" s="81"/>
      <c r="E1150" s="81"/>
      <c r="F1150" s="81" t="s">
        <v>1538</v>
      </c>
    </row>
    <row r="1151" spans="2:6">
      <c r="B1151" s="78" t="s">
        <v>3053</v>
      </c>
      <c r="C1151" s="81"/>
      <c r="D1151" s="81"/>
      <c r="E1151" s="81"/>
      <c r="F1151" s="81" t="s">
        <v>1539</v>
      </c>
    </row>
    <row r="1152" spans="2:6">
      <c r="B1152" s="78"/>
      <c r="C1152" s="81"/>
      <c r="D1152" s="81" t="s">
        <v>1540</v>
      </c>
      <c r="E1152" s="81"/>
      <c r="F1152" s="81"/>
    </row>
    <row r="1153" spans="2:6">
      <c r="B1153" s="78"/>
      <c r="C1153" s="81"/>
      <c r="D1153" s="81"/>
      <c r="E1153" s="81" t="s">
        <v>1541</v>
      </c>
      <c r="F1153" s="81"/>
    </row>
    <row r="1154" spans="2:6">
      <c r="B1154" s="78" t="s">
        <v>3054</v>
      </c>
      <c r="C1154" s="81"/>
      <c r="D1154" s="81"/>
      <c r="E1154" s="81"/>
      <c r="F1154" s="81" t="s">
        <v>401</v>
      </c>
    </row>
    <row r="1155" spans="2:6">
      <c r="B1155" s="78" t="s">
        <v>3055</v>
      </c>
      <c r="C1155" s="81"/>
      <c r="D1155" s="81"/>
      <c r="E1155" s="81"/>
      <c r="F1155" s="81" t="s">
        <v>403</v>
      </c>
    </row>
    <row r="1156" spans="2:6">
      <c r="B1156" s="78"/>
      <c r="C1156" s="81"/>
      <c r="D1156" s="81"/>
      <c r="E1156" s="81" t="s">
        <v>1542</v>
      </c>
      <c r="F1156" s="81"/>
    </row>
    <row r="1157" spans="2:6">
      <c r="B1157" s="78" t="s">
        <v>3056</v>
      </c>
      <c r="C1157" s="81"/>
      <c r="D1157" s="81"/>
      <c r="E1157" s="81"/>
      <c r="F1157" s="81" t="s">
        <v>1542</v>
      </c>
    </row>
    <row r="1158" spans="2:6">
      <c r="B1158" s="78"/>
      <c r="C1158" s="81"/>
      <c r="D1158" s="81"/>
      <c r="E1158" s="81" t="s">
        <v>1543</v>
      </c>
      <c r="F1158" s="81"/>
    </row>
    <row r="1159" spans="2:6">
      <c r="B1159" s="78" t="s">
        <v>3057</v>
      </c>
      <c r="C1159" s="81"/>
      <c r="D1159" s="81"/>
      <c r="E1159" s="81"/>
      <c r="F1159" s="81" t="s">
        <v>1543</v>
      </c>
    </row>
    <row r="1160" spans="2:6">
      <c r="B1160" s="78"/>
      <c r="C1160" s="81"/>
      <c r="D1160" s="81"/>
      <c r="E1160" s="81" t="s">
        <v>1544</v>
      </c>
      <c r="F1160" s="81"/>
    </row>
    <row r="1161" spans="2:6">
      <c r="B1161" s="78" t="s">
        <v>3058</v>
      </c>
      <c r="C1161" s="81"/>
      <c r="D1161" s="81"/>
      <c r="E1161" s="81"/>
      <c r="F1161" s="81" t="s">
        <v>1544</v>
      </c>
    </row>
    <row r="1162" spans="2:6">
      <c r="B1162" s="78"/>
      <c r="C1162" s="81"/>
      <c r="D1162" s="81"/>
      <c r="E1162" s="81" t="s">
        <v>1545</v>
      </c>
      <c r="F1162" s="81"/>
    </row>
    <row r="1163" spans="2:6">
      <c r="B1163" s="78" t="s">
        <v>3059</v>
      </c>
      <c r="C1163" s="81"/>
      <c r="D1163" s="81"/>
      <c r="E1163" s="81"/>
      <c r="F1163" s="81" t="s">
        <v>1546</v>
      </c>
    </row>
    <row r="1164" spans="2:6">
      <c r="B1164" s="78" t="s">
        <v>3060</v>
      </c>
      <c r="C1164" s="81"/>
      <c r="D1164" s="81"/>
      <c r="E1164" s="81"/>
      <c r="F1164" s="81" t="s">
        <v>1547</v>
      </c>
    </row>
    <row r="1165" spans="2:6">
      <c r="B1165" s="78"/>
      <c r="C1165" s="81"/>
      <c r="D1165" s="81" t="s">
        <v>1548</v>
      </c>
      <c r="E1165" s="81"/>
      <c r="F1165" s="81"/>
    </row>
    <row r="1166" spans="2:6">
      <c r="B1166" s="78"/>
      <c r="C1166" s="81"/>
      <c r="D1166" s="81"/>
      <c r="E1166" s="81" t="s">
        <v>1549</v>
      </c>
      <c r="F1166" s="81"/>
    </row>
    <row r="1167" spans="2:6">
      <c r="B1167" s="78" t="s">
        <v>3061</v>
      </c>
      <c r="C1167" s="81"/>
      <c r="D1167" s="81"/>
      <c r="E1167" s="81"/>
      <c r="F1167" s="81" t="s">
        <v>401</v>
      </c>
    </row>
    <row r="1168" spans="2:6">
      <c r="B1168" s="78" t="s">
        <v>2364</v>
      </c>
      <c r="C1168" s="81"/>
      <c r="D1168" s="81"/>
      <c r="E1168" s="81"/>
      <c r="F1168" s="81" t="s">
        <v>403</v>
      </c>
    </row>
    <row r="1169" spans="2:6">
      <c r="B1169" s="78"/>
      <c r="C1169" s="81"/>
      <c r="D1169" s="81"/>
      <c r="E1169" s="81" t="s">
        <v>1550</v>
      </c>
      <c r="F1169" s="81"/>
    </row>
    <row r="1170" spans="2:6">
      <c r="B1170" s="78" t="s">
        <v>3062</v>
      </c>
      <c r="C1170" s="81"/>
      <c r="D1170" s="81"/>
      <c r="E1170" s="81"/>
      <c r="F1170" s="81" t="s">
        <v>1551</v>
      </c>
    </row>
    <row r="1171" spans="2:6">
      <c r="B1171" s="78" t="s">
        <v>2365</v>
      </c>
      <c r="C1171" s="81"/>
      <c r="D1171" s="81"/>
      <c r="E1171" s="81"/>
      <c r="F1171" s="81" t="s">
        <v>1552</v>
      </c>
    </row>
    <row r="1172" spans="2:6">
      <c r="B1172" s="78"/>
      <c r="C1172" s="81"/>
      <c r="D1172" s="81"/>
      <c r="E1172" s="81" t="s">
        <v>1553</v>
      </c>
      <c r="F1172" s="81"/>
    </row>
    <row r="1173" spans="2:6">
      <c r="B1173" s="78" t="s">
        <v>3063</v>
      </c>
      <c r="C1173" s="81"/>
      <c r="D1173" s="81"/>
      <c r="E1173" s="81"/>
      <c r="F1173" s="81" t="s">
        <v>1553</v>
      </c>
    </row>
    <row r="1174" spans="2:6">
      <c r="B1174" s="78"/>
      <c r="C1174" s="81"/>
      <c r="D1174" s="81"/>
      <c r="E1174" s="81" t="s">
        <v>1554</v>
      </c>
      <c r="F1174" s="81"/>
    </row>
    <row r="1175" spans="2:6">
      <c r="B1175" s="78" t="s">
        <v>3064</v>
      </c>
      <c r="C1175" s="81"/>
      <c r="D1175" s="81"/>
      <c r="E1175" s="81"/>
      <c r="F1175" s="81" t="s">
        <v>1554</v>
      </c>
    </row>
    <row r="1176" spans="2:6">
      <c r="B1176" s="78"/>
      <c r="C1176" s="81"/>
      <c r="D1176" s="81"/>
      <c r="E1176" s="81" t="s">
        <v>1555</v>
      </c>
      <c r="F1176" s="81"/>
    </row>
    <row r="1177" spans="2:6">
      <c r="B1177" s="78" t="s">
        <v>3065</v>
      </c>
      <c r="C1177" s="81"/>
      <c r="D1177" s="81"/>
      <c r="E1177" s="81"/>
      <c r="F1177" s="81" t="s">
        <v>1555</v>
      </c>
    </row>
    <row r="1178" spans="2:6">
      <c r="B1178" s="78"/>
      <c r="C1178" s="81"/>
      <c r="D1178" s="81"/>
      <c r="E1178" s="81" t="s">
        <v>1556</v>
      </c>
      <c r="F1178" s="81"/>
    </row>
    <row r="1179" spans="2:6">
      <c r="B1179" s="78" t="s">
        <v>3066</v>
      </c>
      <c r="C1179" s="81"/>
      <c r="D1179" s="81"/>
      <c r="E1179" s="81"/>
      <c r="F1179" s="81" t="s">
        <v>1556</v>
      </c>
    </row>
    <row r="1180" spans="2:6">
      <c r="B1180" s="78"/>
      <c r="C1180" s="81"/>
      <c r="D1180" s="81" t="s">
        <v>1557</v>
      </c>
      <c r="E1180" s="81"/>
      <c r="F1180" s="81"/>
    </row>
    <row r="1181" spans="2:6">
      <c r="B1181" s="78"/>
      <c r="C1181" s="81"/>
      <c r="D1181" s="81"/>
      <c r="E1181" s="81" t="s">
        <v>1558</v>
      </c>
      <c r="F1181" s="81"/>
    </row>
    <row r="1182" spans="2:6">
      <c r="B1182" s="78" t="s">
        <v>3067</v>
      </c>
      <c r="C1182" s="81"/>
      <c r="D1182" s="81"/>
      <c r="E1182" s="81"/>
      <c r="F1182" s="81" t="s">
        <v>401</v>
      </c>
    </row>
    <row r="1183" spans="2:6">
      <c r="B1183" s="78" t="s">
        <v>3068</v>
      </c>
      <c r="C1183" s="81"/>
      <c r="D1183" s="81"/>
      <c r="E1183" s="81"/>
      <c r="F1183" s="81" t="s">
        <v>403</v>
      </c>
    </row>
    <row r="1184" spans="2:6">
      <c r="B1184" s="78"/>
      <c r="C1184" s="81"/>
      <c r="D1184" s="81"/>
      <c r="E1184" s="81" t="s">
        <v>1559</v>
      </c>
      <c r="F1184" s="81"/>
    </row>
    <row r="1185" spans="2:6">
      <c r="B1185" s="78" t="s">
        <v>3069</v>
      </c>
      <c r="C1185" s="81"/>
      <c r="D1185" s="81"/>
      <c r="E1185" s="81"/>
      <c r="F1185" s="81" t="s">
        <v>1560</v>
      </c>
    </row>
    <row r="1186" spans="2:6">
      <c r="B1186" s="78" t="s">
        <v>3070</v>
      </c>
      <c r="C1186" s="81"/>
      <c r="D1186" s="81"/>
      <c r="E1186" s="81"/>
      <c r="F1186" s="81" t="s">
        <v>1561</v>
      </c>
    </row>
    <row r="1187" spans="2:6">
      <c r="B1187" s="78"/>
      <c r="C1187" s="81"/>
      <c r="D1187" s="81"/>
      <c r="E1187" s="81" t="s">
        <v>1562</v>
      </c>
      <c r="F1187" s="81"/>
    </row>
    <row r="1188" spans="2:6">
      <c r="B1188" s="78" t="s">
        <v>3071</v>
      </c>
      <c r="C1188" s="81"/>
      <c r="D1188" s="81"/>
      <c r="E1188" s="81"/>
      <c r="F1188" s="81" t="s">
        <v>1563</v>
      </c>
    </row>
    <row r="1189" spans="2:6">
      <c r="B1189" s="78" t="s">
        <v>3072</v>
      </c>
      <c r="C1189" s="81"/>
      <c r="D1189" s="81"/>
      <c r="E1189" s="81"/>
      <c r="F1189" s="81" t="s">
        <v>1564</v>
      </c>
    </row>
    <row r="1190" spans="2:6">
      <c r="B1190" s="78"/>
      <c r="C1190" s="81"/>
      <c r="D1190" s="81"/>
      <c r="E1190" s="81" t="s">
        <v>1565</v>
      </c>
      <c r="F1190" s="81"/>
    </row>
    <row r="1191" spans="2:6">
      <c r="B1191" s="78" t="s">
        <v>3073</v>
      </c>
      <c r="C1191" s="81"/>
      <c r="D1191" s="81"/>
      <c r="E1191" s="81"/>
      <c r="F1191" s="81" t="s">
        <v>1566</v>
      </c>
    </row>
    <row r="1192" spans="2:6">
      <c r="B1192" s="78" t="s">
        <v>3074</v>
      </c>
      <c r="C1192" s="81"/>
      <c r="D1192" s="81"/>
      <c r="E1192" s="81"/>
      <c r="F1192" s="81" t="s">
        <v>1567</v>
      </c>
    </row>
    <row r="1193" spans="2:6">
      <c r="B1193" s="78" t="s">
        <v>3075</v>
      </c>
      <c r="C1193" s="81"/>
      <c r="D1193" s="81"/>
      <c r="E1193" s="81"/>
      <c r="F1193" s="81" t="s">
        <v>1568</v>
      </c>
    </row>
    <row r="1194" spans="2:6">
      <c r="B1194" s="78"/>
      <c r="C1194" s="81"/>
      <c r="D1194" s="81"/>
      <c r="E1194" s="81" t="s">
        <v>1569</v>
      </c>
      <c r="F1194" s="81"/>
    </row>
    <row r="1195" spans="2:6">
      <c r="B1195" s="78" t="s">
        <v>3076</v>
      </c>
      <c r="C1195" s="81"/>
      <c r="D1195" s="81"/>
      <c r="E1195" s="81"/>
      <c r="F1195" s="81" t="s">
        <v>1570</v>
      </c>
    </row>
    <row r="1196" spans="2:6">
      <c r="B1196" s="78" t="s">
        <v>3077</v>
      </c>
      <c r="C1196" s="81"/>
      <c r="D1196" s="81"/>
      <c r="E1196" s="81"/>
      <c r="F1196" s="81" t="s">
        <v>1571</v>
      </c>
    </row>
    <row r="1197" spans="2:6">
      <c r="B1197" s="78"/>
      <c r="C1197" s="81"/>
      <c r="D1197" s="81" t="s">
        <v>1572</v>
      </c>
      <c r="E1197" s="81"/>
      <c r="F1197" s="81"/>
    </row>
    <row r="1198" spans="2:6">
      <c r="B1198" s="78"/>
      <c r="C1198" s="81"/>
      <c r="D1198" s="81"/>
      <c r="E1198" s="81" t="s">
        <v>1573</v>
      </c>
      <c r="F1198" s="81"/>
    </row>
    <row r="1199" spans="2:6">
      <c r="B1199" s="78" t="s">
        <v>3078</v>
      </c>
      <c r="C1199" s="81"/>
      <c r="D1199" s="81"/>
      <c r="E1199" s="81"/>
      <c r="F1199" s="81" t="s">
        <v>401</v>
      </c>
    </row>
    <row r="1200" spans="2:6">
      <c r="B1200" s="78" t="s">
        <v>3079</v>
      </c>
      <c r="C1200" s="81"/>
      <c r="D1200" s="81"/>
      <c r="E1200" s="81"/>
      <c r="F1200" s="81" t="s">
        <v>403</v>
      </c>
    </row>
    <row r="1201" spans="2:6">
      <c r="B1201" s="78"/>
      <c r="C1201" s="81"/>
      <c r="D1201" s="81"/>
      <c r="E1201" s="81" t="s">
        <v>1574</v>
      </c>
      <c r="F1201" s="81"/>
    </row>
    <row r="1202" spans="2:6">
      <c r="B1202" s="78" t="s">
        <v>3080</v>
      </c>
      <c r="C1202" s="81"/>
      <c r="D1202" s="81"/>
      <c r="E1202" s="81"/>
      <c r="F1202" s="81" t="s">
        <v>1574</v>
      </c>
    </row>
    <row r="1203" spans="2:6">
      <c r="B1203" s="78"/>
      <c r="C1203" s="81"/>
      <c r="D1203" s="81"/>
      <c r="E1203" s="81" t="s">
        <v>1575</v>
      </c>
      <c r="F1203" s="81"/>
    </row>
    <row r="1204" spans="2:6">
      <c r="B1204" s="78" t="s">
        <v>3081</v>
      </c>
      <c r="C1204" s="81"/>
      <c r="D1204" s="81"/>
      <c r="E1204" s="81"/>
      <c r="F1204" s="81" t="s">
        <v>1575</v>
      </c>
    </row>
    <row r="1205" spans="2:6">
      <c r="B1205" s="78"/>
      <c r="C1205" s="81"/>
      <c r="D1205" s="81" t="s">
        <v>1576</v>
      </c>
      <c r="E1205" s="81"/>
      <c r="F1205" s="81"/>
    </row>
    <row r="1206" spans="2:6">
      <c r="B1206" s="78"/>
      <c r="C1206" s="81"/>
      <c r="D1206" s="81"/>
      <c r="E1206" s="81" t="s">
        <v>1577</v>
      </c>
      <c r="F1206" s="81"/>
    </row>
    <row r="1207" spans="2:6">
      <c r="B1207" s="78" t="s">
        <v>3082</v>
      </c>
      <c r="C1207" s="81"/>
      <c r="D1207" s="81"/>
      <c r="E1207" s="81"/>
      <c r="F1207" s="81" t="s">
        <v>401</v>
      </c>
    </row>
    <row r="1208" spans="2:6">
      <c r="B1208" s="78" t="s">
        <v>3083</v>
      </c>
      <c r="C1208" s="81"/>
      <c r="D1208" s="81"/>
      <c r="E1208" s="81"/>
      <c r="F1208" s="81" t="s">
        <v>403</v>
      </c>
    </row>
    <row r="1209" spans="2:6">
      <c r="B1209" s="78"/>
      <c r="C1209" s="81"/>
      <c r="D1209" s="81"/>
      <c r="E1209" s="81" t="s">
        <v>1578</v>
      </c>
      <c r="F1209" s="81"/>
    </row>
    <row r="1210" spans="2:6">
      <c r="B1210" s="78" t="s">
        <v>2366</v>
      </c>
      <c r="C1210" s="81"/>
      <c r="D1210" s="81"/>
      <c r="E1210" s="81"/>
      <c r="F1210" s="81" t="s">
        <v>1578</v>
      </c>
    </row>
    <row r="1211" spans="2:6">
      <c r="B1211" s="78"/>
      <c r="C1211" s="81"/>
      <c r="D1211" s="81"/>
      <c r="E1211" s="81" t="s">
        <v>1579</v>
      </c>
      <c r="F1211" s="81"/>
    </row>
    <row r="1212" spans="2:6">
      <c r="B1212" s="78" t="s">
        <v>3084</v>
      </c>
      <c r="C1212" s="81"/>
      <c r="D1212" s="81"/>
      <c r="E1212" s="81"/>
      <c r="F1212" s="81" t="s">
        <v>1579</v>
      </c>
    </row>
    <row r="1213" spans="2:6">
      <c r="B1213" s="78"/>
      <c r="C1213" s="81"/>
      <c r="D1213" s="81" t="s">
        <v>1580</v>
      </c>
      <c r="E1213" s="81"/>
      <c r="F1213" s="81"/>
    </row>
    <row r="1214" spans="2:6">
      <c r="B1214" s="78"/>
      <c r="C1214" s="81"/>
      <c r="D1214" s="81"/>
      <c r="E1214" s="81" t="s">
        <v>1581</v>
      </c>
      <c r="F1214" s="81"/>
    </row>
    <row r="1215" spans="2:6">
      <c r="B1215" s="78" t="s">
        <v>3085</v>
      </c>
      <c r="C1215" s="81"/>
      <c r="D1215" s="81"/>
      <c r="E1215" s="81"/>
      <c r="F1215" s="81" t="s">
        <v>401</v>
      </c>
    </row>
    <row r="1216" spans="2:6">
      <c r="B1216" s="78" t="s">
        <v>3086</v>
      </c>
      <c r="C1216" s="81"/>
      <c r="D1216" s="81"/>
      <c r="E1216" s="81"/>
      <c r="F1216" s="81" t="s">
        <v>403</v>
      </c>
    </row>
    <row r="1217" spans="2:6">
      <c r="B1217" s="78"/>
      <c r="C1217" s="81"/>
      <c r="D1217" s="81"/>
      <c r="E1217" s="81" t="s">
        <v>1582</v>
      </c>
      <c r="F1217" s="81"/>
    </row>
    <row r="1218" spans="2:6">
      <c r="B1218" s="78" t="s">
        <v>3087</v>
      </c>
      <c r="C1218" s="81"/>
      <c r="D1218" s="81"/>
      <c r="E1218" s="81"/>
      <c r="F1218" s="81" t="s">
        <v>1582</v>
      </c>
    </row>
    <row r="1219" spans="2:6">
      <c r="B1219" s="78"/>
      <c r="C1219" s="81"/>
      <c r="D1219" s="81"/>
      <c r="E1219" s="81" t="s">
        <v>1583</v>
      </c>
      <c r="F1219" s="81"/>
    </row>
    <row r="1220" spans="2:6">
      <c r="B1220" s="78" t="s">
        <v>3088</v>
      </c>
      <c r="C1220" s="81"/>
      <c r="D1220" s="81"/>
      <c r="E1220" s="81"/>
      <c r="F1220" s="81" t="s">
        <v>1584</v>
      </c>
    </row>
    <row r="1221" spans="2:6">
      <c r="B1221" s="78" t="s">
        <v>2367</v>
      </c>
      <c r="C1221" s="81"/>
      <c r="D1221" s="81"/>
      <c r="E1221" s="81"/>
      <c r="F1221" s="81" t="s">
        <v>1585</v>
      </c>
    </row>
    <row r="1222" spans="2:6">
      <c r="B1222" s="78"/>
      <c r="C1222" s="81"/>
      <c r="D1222" s="81"/>
      <c r="E1222" s="81" t="s">
        <v>1586</v>
      </c>
      <c r="F1222" s="81"/>
    </row>
    <row r="1223" spans="2:6">
      <c r="B1223" s="78" t="s">
        <v>2368</v>
      </c>
      <c r="C1223" s="81"/>
      <c r="D1223" s="81"/>
      <c r="E1223" s="81"/>
      <c r="F1223" s="81" t="s">
        <v>1586</v>
      </c>
    </row>
    <row r="1224" spans="2:6">
      <c r="B1224" s="78"/>
      <c r="C1224" s="81"/>
      <c r="D1224" s="81"/>
      <c r="E1224" s="81" t="s">
        <v>1587</v>
      </c>
      <c r="F1224" s="81"/>
    </row>
    <row r="1225" spans="2:6">
      <c r="B1225" s="78" t="s">
        <v>2369</v>
      </c>
      <c r="C1225" s="81"/>
      <c r="D1225" s="81"/>
      <c r="E1225" s="81"/>
      <c r="F1225" s="81" t="s">
        <v>1588</v>
      </c>
    </row>
    <row r="1226" spans="2:6">
      <c r="B1226" s="78" t="s">
        <v>3089</v>
      </c>
      <c r="C1226" s="81"/>
      <c r="D1226" s="81"/>
      <c r="E1226" s="81"/>
      <c r="F1226" s="81" t="s">
        <v>1589</v>
      </c>
    </row>
    <row r="1227" spans="2:6">
      <c r="B1227" s="78"/>
      <c r="C1227" s="81"/>
      <c r="D1227" s="81"/>
      <c r="E1227" s="81" t="s">
        <v>1590</v>
      </c>
      <c r="F1227" s="81"/>
    </row>
    <row r="1228" spans="2:6">
      <c r="B1228" s="78" t="s">
        <v>2370</v>
      </c>
      <c r="C1228" s="81"/>
      <c r="D1228" s="81"/>
      <c r="E1228" s="81"/>
      <c r="F1228" s="81" t="s">
        <v>1591</v>
      </c>
    </row>
    <row r="1229" spans="2:6">
      <c r="B1229" s="78" t="s">
        <v>3090</v>
      </c>
      <c r="C1229" s="81"/>
      <c r="D1229" s="81"/>
      <c r="E1229" s="81"/>
      <c r="F1229" s="81" t="s">
        <v>1592</v>
      </c>
    </row>
    <row r="1230" spans="2:6">
      <c r="B1230" s="78" t="s">
        <v>3091</v>
      </c>
      <c r="C1230" s="81"/>
      <c r="D1230" s="81"/>
      <c r="E1230" s="81"/>
      <c r="F1230" s="81" t="s">
        <v>1593</v>
      </c>
    </row>
    <row r="1231" spans="2:6">
      <c r="B1231" s="78" t="s">
        <v>2371</v>
      </c>
      <c r="C1231" s="81"/>
      <c r="D1231" s="81"/>
      <c r="E1231" s="81"/>
      <c r="F1231" s="81" t="s">
        <v>1594</v>
      </c>
    </row>
    <row r="1232" spans="2:6">
      <c r="B1232" s="78" t="s">
        <v>2372</v>
      </c>
      <c r="C1232" s="81"/>
      <c r="D1232" s="81"/>
      <c r="E1232" s="81"/>
      <c r="F1232" s="81" t="s">
        <v>1595</v>
      </c>
    </row>
    <row r="1233" spans="2:6">
      <c r="B1233" s="78" t="s">
        <v>3092</v>
      </c>
      <c r="C1233" s="81"/>
      <c r="D1233" s="81"/>
      <c r="E1233" s="81"/>
      <c r="F1233" s="81" t="s">
        <v>1596</v>
      </c>
    </row>
    <row r="1234" spans="2:6">
      <c r="B1234" s="78"/>
      <c r="C1234" s="81"/>
      <c r="D1234" s="81"/>
      <c r="E1234" s="81" t="s">
        <v>1597</v>
      </c>
      <c r="F1234" s="81"/>
    </row>
    <row r="1235" spans="2:6">
      <c r="B1235" s="78" t="s">
        <v>3093</v>
      </c>
      <c r="C1235" s="81"/>
      <c r="D1235" s="81"/>
      <c r="E1235" s="81"/>
      <c r="F1235" s="81" t="s">
        <v>1598</v>
      </c>
    </row>
    <row r="1236" spans="2:6">
      <c r="B1236" s="150" t="s">
        <v>3669</v>
      </c>
      <c r="C1236" s="81"/>
      <c r="D1236" s="81"/>
      <c r="E1236" s="81"/>
      <c r="F1236" s="149" t="s">
        <v>3670</v>
      </c>
    </row>
    <row r="1237" spans="2:6">
      <c r="B1237" s="78" t="s">
        <v>3094</v>
      </c>
      <c r="C1237" s="81"/>
      <c r="D1237" s="81"/>
      <c r="E1237" s="81"/>
      <c r="F1237" s="81" t="s">
        <v>1599</v>
      </c>
    </row>
    <row r="1238" spans="2:6">
      <c r="B1238" s="78"/>
      <c r="C1238" s="81"/>
      <c r="D1238" s="81" t="s">
        <v>1600</v>
      </c>
      <c r="E1238" s="81"/>
      <c r="F1238" s="81"/>
    </row>
    <row r="1239" spans="2:6">
      <c r="B1239" s="78"/>
      <c r="C1239" s="81"/>
      <c r="D1239" s="81"/>
      <c r="E1239" s="81" t="s">
        <v>1601</v>
      </c>
      <c r="F1239" s="81"/>
    </row>
    <row r="1240" spans="2:6">
      <c r="B1240" s="78" t="s">
        <v>2373</v>
      </c>
      <c r="C1240" s="81"/>
      <c r="D1240" s="81"/>
      <c r="E1240" s="81"/>
      <c r="F1240" s="81" t="s">
        <v>1602</v>
      </c>
    </row>
    <row r="1241" spans="2:6">
      <c r="B1241" s="78"/>
      <c r="C1241" s="81"/>
      <c r="D1241" s="81"/>
      <c r="E1241" s="81" t="s">
        <v>1600</v>
      </c>
      <c r="F1241" s="81"/>
    </row>
    <row r="1242" spans="2:6">
      <c r="B1242" s="78" t="s">
        <v>3095</v>
      </c>
      <c r="C1242" s="81"/>
      <c r="D1242" s="81"/>
      <c r="E1242" s="81"/>
      <c r="F1242" s="81" t="s">
        <v>1600</v>
      </c>
    </row>
    <row r="1243" spans="2:6">
      <c r="B1243" s="78"/>
      <c r="C1243" s="81" t="s">
        <v>1603</v>
      </c>
      <c r="D1243" s="81"/>
      <c r="E1243" s="81"/>
      <c r="F1243" s="81"/>
    </row>
    <row r="1244" spans="2:6">
      <c r="B1244" s="78"/>
      <c r="C1244" s="81"/>
      <c r="D1244" s="81" t="s">
        <v>1604</v>
      </c>
      <c r="E1244" s="81"/>
      <c r="F1244" s="81"/>
    </row>
    <row r="1245" spans="2:6">
      <c r="B1245" s="78"/>
      <c r="C1245" s="81"/>
      <c r="D1245" s="81"/>
      <c r="E1245" s="81" t="s">
        <v>1605</v>
      </c>
      <c r="F1245" s="81"/>
    </row>
    <row r="1246" spans="2:6">
      <c r="B1246" s="78" t="s">
        <v>2374</v>
      </c>
      <c r="C1246" s="81"/>
      <c r="D1246" s="81"/>
      <c r="E1246" s="81"/>
      <c r="F1246" s="81" t="s">
        <v>401</v>
      </c>
    </row>
    <row r="1247" spans="2:6">
      <c r="B1247" s="78" t="s">
        <v>3096</v>
      </c>
      <c r="C1247" s="81"/>
      <c r="D1247" s="81"/>
      <c r="E1247" s="81"/>
      <c r="F1247" s="81" t="s">
        <v>1606</v>
      </c>
    </row>
    <row r="1248" spans="2:6">
      <c r="B1248" s="78" t="s">
        <v>3097</v>
      </c>
      <c r="C1248" s="81"/>
      <c r="D1248" s="81"/>
      <c r="E1248" s="81"/>
      <c r="F1248" s="81" t="s">
        <v>403</v>
      </c>
    </row>
    <row r="1249" spans="2:6">
      <c r="B1249" s="78"/>
      <c r="C1249" s="81"/>
      <c r="D1249" s="81"/>
      <c r="E1249" s="81" t="s">
        <v>1604</v>
      </c>
      <c r="F1249" s="81"/>
    </row>
    <row r="1250" spans="2:6">
      <c r="B1250" s="78" t="s">
        <v>3098</v>
      </c>
      <c r="C1250" s="81"/>
      <c r="D1250" s="81"/>
      <c r="E1250" s="81"/>
      <c r="F1250" s="81" t="s">
        <v>1607</v>
      </c>
    </row>
    <row r="1251" spans="2:6">
      <c r="B1251" s="78" t="s">
        <v>3099</v>
      </c>
      <c r="C1251" s="81"/>
      <c r="D1251" s="81"/>
      <c r="E1251" s="81"/>
      <c r="F1251" s="81" t="s">
        <v>1608</v>
      </c>
    </row>
    <row r="1252" spans="2:6">
      <c r="B1252" s="78"/>
      <c r="C1252" s="81"/>
      <c r="D1252" s="81" t="s">
        <v>1609</v>
      </c>
      <c r="E1252" s="81"/>
      <c r="F1252" s="81"/>
    </row>
    <row r="1253" spans="2:6">
      <c r="B1253" s="78"/>
      <c r="C1253" s="81"/>
      <c r="D1253" s="81"/>
      <c r="E1253" s="81" t="s">
        <v>1610</v>
      </c>
      <c r="F1253" s="81"/>
    </row>
    <row r="1254" spans="2:6">
      <c r="B1254" s="78" t="s">
        <v>3100</v>
      </c>
      <c r="C1254" s="81"/>
      <c r="D1254" s="81"/>
      <c r="E1254" s="81"/>
      <c r="F1254" s="81" t="s">
        <v>401</v>
      </c>
    </row>
    <row r="1255" spans="2:6">
      <c r="B1255" s="78" t="s">
        <v>3101</v>
      </c>
      <c r="C1255" s="81"/>
      <c r="D1255" s="81"/>
      <c r="E1255" s="81"/>
      <c r="F1255" s="81" t="s">
        <v>1606</v>
      </c>
    </row>
    <row r="1256" spans="2:6">
      <c r="B1256" s="78" t="s">
        <v>3102</v>
      </c>
      <c r="C1256" s="81"/>
      <c r="D1256" s="81"/>
      <c r="E1256" s="81"/>
      <c r="F1256" s="81" t="s">
        <v>403</v>
      </c>
    </row>
    <row r="1257" spans="2:6">
      <c r="B1257" s="78"/>
      <c r="C1257" s="81"/>
      <c r="D1257" s="81"/>
      <c r="E1257" s="81" t="s">
        <v>1611</v>
      </c>
      <c r="F1257" s="81"/>
    </row>
    <row r="1258" spans="2:6">
      <c r="B1258" s="78" t="s">
        <v>3103</v>
      </c>
      <c r="C1258" s="81"/>
      <c r="D1258" s="81"/>
      <c r="E1258" s="81"/>
      <c r="F1258" s="81" t="s">
        <v>1612</v>
      </c>
    </row>
    <row r="1259" spans="2:6">
      <c r="B1259" s="78" t="s">
        <v>2375</v>
      </c>
      <c r="C1259" s="81"/>
      <c r="D1259" s="81"/>
      <c r="E1259" s="81"/>
      <c r="F1259" s="81" t="s">
        <v>1613</v>
      </c>
    </row>
    <row r="1260" spans="2:6">
      <c r="B1260" s="78" t="s">
        <v>3104</v>
      </c>
      <c r="C1260" s="81"/>
      <c r="D1260" s="81"/>
      <c r="E1260" s="81"/>
      <c r="F1260" s="81" t="s">
        <v>1614</v>
      </c>
    </row>
    <row r="1261" spans="2:6">
      <c r="B1261" s="78"/>
      <c r="C1261" s="81"/>
      <c r="D1261" s="81"/>
      <c r="E1261" s="81" t="s">
        <v>1615</v>
      </c>
      <c r="F1261" s="81"/>
    </row>
    <row r="1262" spans="2:6">
      <c r="B1262" s="78" t="s">
        <v>3105</v>
      </c>
      <c r="C1262" s="81"/>
      <c r="D1262" s="81"/>
      <c r="E1262" s="81"/>
      <c r="F1262" s="81" t="s">
        <v>1616</v>
      </c>
    </row>
    <row r="1263" spans="2:6">
      <c r="B1263" s="78" t="s">
        <v>3106</v>
      </c>
      <c r="C1263" s="81"/>
      <c r="D1263" s="81"/>
      <c r="E1263" s="81"/>
      <c r="F1263" s="81" t="s">
        <v>1617</v>
      </c>
    </row>
    <row r="1264" spans="2:6">
      <c r="B1264" s="78" t="s">
        <v>2376</v>
      </c>
      <c r="C1264" s="81"/>
      <c r="D1264" s="81"/>
      <c r="E1264" s="81"/>
      <c r="F1264" s="81" t="s">
        <v>1618</v>
      </c>
    </row>
    <row r="1265" spans="2:6">
      <c r="B1265" s="78" t="s">
        <v>3107</v>
      </c>
      <c r="C1265" s="81"/>
      <c r="D1265" s="81"/>
      <c r="E1265" s="81"/>
      <c r="F1265" s="81" t="s">
        <v>1619</v>
      </c>
    </row>
    <row r="1266" spans="2:6">
      <c r="B1266" s="78"/>
      <c r="C1266" s="81"/>
      <c r="D1266" s="81"/>
      <c r="E1266" s="81" t="s">
        <v>1620</v>
      </c>
      <c r="F1266" s="81"/>
    </row>
    <row r="1267" spans="2:6">
      <c r="B1267" s="78" t="s">
        <v>3108</v>
      </c>
      <c r="C1267" s="81"/>
      <c r="D1267" s="81"/>
      <c r="E1267" s="81"/>
      <c r="F1267" s="81" t="s">
        <v>1621</v>
      </c>
    </row>
    <row r="1268" spans="2:6">
      <c r="B1268" s="78" t="s">
        <v>3109</v>
      </c>
      <c r="C1268" s="81"/>
      <c r="D1268" s="81"/>
      <c r="E1268" s="81"/>
      <c r="F1268" s="81" t="s">
        <v>1622</v>
      </c>
    </row>
    <row r="1269" spans="2:6">
      <c r="B1269" s="78" t="s">
        <v>3110</v>
      </c>
      <c r="C1269" s="81"/>
      <c r="D1269" s="81"/>
      <c r="E1269" s="81"/>
      <c r="F1269" s="81" t="s">
        <v>1623</v>
      </c>
    </row>
    <row r="1270" spans="2:6">
      <c r="B1270" s="78" t="s">
        <v>3111</v>
      </c>
      <c r="C1270" s="81"/>
      <c r="D1270" s="81"/>
      <c r="E1270" s="81"/>
      <c r="F1270" s="81" t="s">
        <v>1624</v>
      </c>
    </row>
    <row r="1271" spans="2:6">
      <c r="B1271" s="78"/>
      <c r="C1271" s="81"/>
      <c r="D1271" s="81" t="s">
        <v>1625</v>
      </c>
      <c r="E1271" s="81"/>
      <c r="F1271" s="81"/>
    </row>
    <row r="1272" spans="2:6">
      <c r="B1272" s="78"/>
      <c r="C1272" s="81"/>
      <c r="D1272" s="81"/>
      <c r="E1272" s="81" t="s">
        <v>1626</v>
      </c>
      <c r="F1272" s="81"/>
    </row>
    <row r="1273" spans="2:6">
      <c r="B1273" s="78" t="s">
        <v>3112</v>
      </c>
      <c r="C1273" s="81"/>
      <c r="D1273" s="81"/>
      <c r="E1273" s="81"/>
      <c r="F1273" s="81" t="s">
        <v>401</v>
      </c>
    </row>
    <row r="1274" spans="2:6">
      <c r="B1274" s="78" t="s">
        <v>3113</v>
      </c>
      <c r="C1274" s="81"/>
      <c r="D1274" s="81"/>
      <c r="E1274" s="81"/>
      <c r="F1274" s="81" t="s">
        <v>1606</v>
      </c>
    </row>
    <row r="1275" spans="2:6">
      <c r="B1275" s="78" t="s">
        <v>3114</v>
      </c>
      <c r="C1275" s="81"/>
      <c r="D1275" s="81"/>
      <c r="E1275" s="81"/>
      <c r="F1275" s="81" t="s">
        <v>403</v>
      </c>
    </row>
    <row r="1276" spans="2:6">
      <c r="B1276" s="78"/>
      <c r="C1276" s="81"/>
      <c r="D1276" s="81"/>
      <c r="E1276" s="81" t="s">
        <v>1627</v>
      </c>
      <c r="F1276" s="81"/>
    </row>
    <row r="1277" spans="2:6">
      <c r="B1277" s="78" t="s">
        <v>3115</v>
      </c>
      <c r="C1277" s="81"/>
      <c r="D1277" s="81"/>
      <c r="E1277" s="81"/>
      <c r="F1277" s="81" t="s">
        <v>1628</v>
      </c>
    </row>
    <row r="1278" spans="2:6">
      <c r="B1278" s="78" t="s">
        <v>3116</v>
      </c>
      <c r="C1278" s="81"/>
      <c r="D1278" s="81"/>
      <c r="E1278" s="81"/>
      <c r="F1278" s="81" t="s">
        <v>1629</v>
      </c>
    </row>
    <row r="1279" spans="2:6">
      <c r="B1279" s="78" t="s">
        <v>3117</v>
      </c>
      <c r="C1279" s="81"/>
      <c r="D1279" s="81"/>
      <c r="E1279" s="81"/>
      <c r="F1279" s="81" t="s">
        <v>1630</v>
      </c>
    </row>
    <row r="1280" spans="2:6">
      <c r="B1280" s="78" t="s">
        <v>3118</v>
      </c>
      <c r="C1280" s="81"/>
      <c r="D1280" s="81"/>
      <c r="E1280" s="81"/>
      <c r="F1280" s="81" t="s">
        <v>1631</v>
      </c>
    </row>
    <row r="1281" spans="2:6">
      <c r="B1281" s="78" t="s">
        <v>3119</v>
      </c>
      <c r="C1281" s="81"/>
      <c r="D1281" s="81"/>
      <c r="E1281" s="81"/>
      <c r="F1281" s="81" t="s">
        <v>1632</v>
      </c>
    </row>
    <row r="1282" spans="2:6">
      <c r="B1282" s="78" t="s">
        <v>3120</v>
      </c>
      <c r="C1282" s="81"/>
      <c r="D1282" s="81"/>
      <c r="E1282" s="81"/>
      <c r="F1282" s="81" t="s">
        <v>1633</v>
      </c>
    </row>
    <row r="1283" spans="2:6">
      <c r="B1283" s="78" t="s">
        <v>3121</v>
      </c>
      <c r="C1283" s="81"/>
      <c r="D1283" s="81"/>
      <c r="E1283" s="81"/>
      <c r="F1283" s="81" t="s">
        <v>1634</v>
      </c>
    </row>
    <row r="1284" spans="2:6">
      <c r="B1284" s="78"/>
      <c r="C1284" s="81"/>
      <c r="D1284" s="81"/>
      <c r="E1284" s="81" t="s">
        <v>1635</v>
      </c>
      <c r="F1284" s="81"/>
    </row>
    <row r="1285" spans="2:6">
      <c r="B1285" s="78" t="s">
        <v>3122</v>
      </c>
      <c r="C1285" s="81"/>
      <c r="D1285" s="81"/>
      <c r="E1285" s="81"/>
      <c r="F1285" s="81" t="s">
        <v>1636</v>
      </c>
    </row>
    <row r="1286" spans="2:6">
      <c r="B1286" s="78" t="s">
        <v>3123</v>
      </c>
      <c r="C1286" s="81"/>
      <c r="D1286" s="81"/>
      <c r="E1286" s="81"/>
      <c r="F1286" s="81" t="s">
        <v>1637</v>
      </c>
    </row>
    <row r="1287" spans="2:6">
      <c r="B1287" s="78" t="s">
        <v>3124</v>
      </c>
      <c r="C1287" s="81"/>
      <c r="D1287" s="81"/>
      <c r="E1287" s="81"/>
      <c r="F1287" s="81" t="s">
        <v>1638</v>
      </c>
    </row>
    <row r="1288" spans="2:6">
      <c r="B1288" s="78" t="s">
        <v>3125</v>
      </c>
      <c r="C1288" s="81"/>
      <c r="D1288" s="81"/>
      <c r="E1288" s="81"/>
      <c r="F1288" s="81" t="s">
        <v>1639</v>
      </c>
    </row>
    <row r="1289" spans="2:6">
      <c r="B1289" s="78" t="s">
        <v>3126</v>
      </c>
      <c r="C1289" s="81"/>
      <c r="D1289" s="81"/>
      <c r="E1289" s="81"/>
      <c r="F1289" s="81" t="s">
        <v>1640</v>
      </c>
    </row>
    <row r="1290" spans="2:6">
      <c r="B1290" s="78" t="s">
        <v>2456</v>
      </c>
      <c r="C1290" s="81"/>
      <c r="D1290" s="81"/>
      <c r="E1290" s="81"/>
      <c r="F1290" s="81" t="s">
        <v>1641</v>
      </c>
    </row>
    <row r="1291" spans="2:6">
      <c r="B1291" s="78" t="s">
        <v>3127</v>
      </c>
      <c r="C1291" s="81"/>
      <c r="D1291" s="81"/>
      <c r="E1291" s="81"/>
      <c r="F1291" s="81" t="s">
        <v>1642</v>
      </c>
    </row>
    <row r="1292" spans="2:6">
      <c r="B1292" s="78" t="s">
        <v>2377</v>
      </c>
      <c r="C1292" s="81"/>
      <c r="D1292" s="81"/>
      <c r="E1292" s="81"/>
      <c r="F1292" s="81" t="s">
        <v>1643</v>
      </c>
    </row>
    <row r="1293" spans="2:6">
      <c r="B1293" s="78"/>
      <c r="C1293" s="81"/>
      <c r="D1293" s="81" t="s">
        <v>1644</v>
      </c>
      <c r="E1293" s="81"/>
      <c r="F1293" s="81"/>
    </row>
    <row r="1294" spans="2:6">
      <c r="B1294" s="78"/>
      <c r="C1294" s="81"/>
      <c r="D1294" s="81"/>
      <c r="E1294" s="81" t="s">
        <v>1645</v>
      </c>
      <c r="F1294" s="81"/>
    </row>
    <row r="1295" spans="2:6">
      <c r="B1295" s="78" t="s">
        <v>3128</v>
      </c>
      <c r="C1295" s="81"/>
      <c r="D1295" s="81"/>
      <c r="E1295" s="81"/>
      <c r="F1295" s="81" t="s">
        <v>401</v>
      </c>
    </row>
    <row r="1296" spans="2:6">
      <c r="B1296" s="78" t="s">
        <v>3129</v>
      </c>
      <c r="C1296" s="81"/>
      <c r="D1296" s="81"/>
      <c r="E1296" s="81"/>
      <c r="F1296" s="81" t="s">
        <v>1606</v>
      </c>
    </row>
    <row r="1297" spans="2:6">
      <c r="B1297" s="78" t="s">
        <v>3130</v>
      </c>
      <c r="C1297" s="81"/>
      <c r="D1297" s="81"/>
      <c r="E1297" s="81"/>
      <c r="F1297" s="81" t="s">
        <v>403</v>
      </c>
    </row>
    <row r="1298" spans="2:6">
      <c r="B1298" s="78"/>
      <c r="C1298" s="81"/>
      <c r="D1298" s="81"/>
      <c r="E1298" s="81" t="s">
        <v>1646</v>
      </c>
      <c r="F1298" s="81"/>
    </row>
    <row r="1299" spans="2:6">
      <c r="B1299" s="78" t="s">
        <v>3131</v>
      </c>
      <c r="C1299" s="81"/>
      <c r="D1299" s="81"/>
      <c r="E1299" s="81"/>
      <c r="F1299" s="81" t="s">
        <v>1647</v>
      </c>
    </row>
    <row r="1300" spans="2:6">
      <c r="B1300" s="78" t="s">
        <v>3132</v>
      </c>
      <c r="C1300" s="81"/>
      <c r="D1300" s="81"/>
      <c r="E1300" s="81"/>
      <c r="F1300" s="81" t="s">
        <v>1648</v>
      </c>
    </row>
    <row r="1301" spans="2:6">
      <c r="B1301" s="78" t="s">
        <v>3133</v>
      </c>
      <c r="C1301" s="81"/>
      <c r="D1301" s="81"/>
      <c r="E1301" s="81"/>
      <c r="F1301" s="81" t="s">
        <v>1649</v>
      </c>
    </row>
    <row r="1302" spans="2:6">
      <c r="B1302" s="78" t="s">
        <v>3134</v>
      </c>
      <c r="C1302" s="81"/>
      <c r="D1302" s="81"/>
      <c r="E1302" s="81"/>
      <c r="F1302" s="81" t="s">
        <v>1650</v>
      </c>
    </row>
    <row r="1303" spans="2:6">
      <c r="B1303" s="78" t="s">
        <v>2378</v>
      </c>
      <c r="C1303" s="81"/>
      <c r="D1303" s="81"/>
      <c r="E1303" s="81"/>
      <c r="F1303" s="81" t="s">
        <v>1651</v>
      </c>
    </row>
    <row r="1304" spans="2:6">
      <c r="B1304" s="78"/>
      <c r="C1304" s="81"/>
      <c r="D1304" s="81"/>
      <c r="E1304" s="81" t="s">
        <v>1652</v>
      </c>
      <c r="F1304" s="81"/>
    </row>
    <row r="1305" spans="2:6">
      <c r="B1305" s="78" t="s">
        <v>3135</v>
      </c>
      <c r="C1305" s="81"/>
      <c r="D1305" s="81"/>
      <c r="E1305" s="81"/>
      <c r="F1305" s="81" t="s">
        <v>1653</v>
      </c>
    </row>
    <row r="1306" spans="2:6">
      <c r="B1306" s="78" t="s">
        <v>3136</v>
      </c>
      <c r="C1306" s="81"/>
      <c r="D1306" s="81"/>
      <c r="E1306" s="81"/>
      <c r="F1306" s="81" t="s">
        <v>1654</v>
      </c>
    </row>
    <row r="1307" spans="2:6">
      <c r="B1307" s="78" t="s">
        <v>3137</v>
      </c>
      <c r="C1307" s="81"/>
      <c r="D1307" s="81"/>
      <c r="E1307" s="81"/>
      <c r="F1307" s="81" t="s">
        <v>1655</v>
      </c>
    </row>
    <row r="1308" spans="2:6">
      <c r="B1308" s="78"/>
      <c r="C1308" s="81"/>
      <c r="D1308" s="81"/>
      <c r="E1308" s="81" t="s">
        <v>1656</v>
      </c>
      <c r="F1308" s="81"/>
    </row>
    <row r="1309" spans="2:6">
      <c r="B1309" s="78" t="s">
        <v>3138</v>
      </c>
      <c r="C1309" s="81"/>
      <c r="D1309" s="81"/>
      <c r="E1309" s="81"/>
      <c r="F1309" s="81" t="s">
        <v>1657</v>
      </c>
    </row>
    <row r="1310" spans="2:6">
      <c r="B1310" s="78" t="s">
        <v>3139</v>
      </c>
      <c r="C1310" s="81"/>
      <c r="D1310" s="81"/>
      <c r="E1310" s="81"/>
      <c r="F1310" s="81" t="s">
        <v>1658</v>
      </c>
    </row>
    <row r="1311" spans="2:6">
      <c r="B1311" s="78"/>
      <c r="C1311" s="81"/>
      <c r="D1311" s="81"/>
      <c r="E1311" s="81" t="s">
        <v>1659</v>
      </c>
      <c r="F1311" s="81"/>
    </row>
    <row r="1312" spans="2:6">
      <c r="B1312" s="78" t="s">
        <v>3140</v>
      </c>
      <c r="C1312" s="81"/>
      <c r="D1312" s="81"/>
      <c r="E1312" s="81"/>
      <c r="F1312" s="81" t="s">
        <v>1660</v>
      </c>
    </row>
    <row r="1313" spans="2:6">
      <c r="B1313" s="78" t="s">
        <v>3141</v>
      </c>
      <c r="C1313" s="81"/>
      <c r="D1313" s="81"/>
      <c r="E1313" s="81"/>
      <c r="F1313" s="81" t="s">
        <v>1661</v>
      </c>
    </row>
    <row r="1314" spans="2:6">
      <c r="B1314" s="78" t="s">
        <v>3142</v>
      </c>
      <c r="C1314" s="81"/>
      <c r="D1314" s="81"/>
      <c r="E1314" s="81"/>
      <c r="F1314" s="81" t="s">
        <v>1662</v>
      </c>
    </row>
    <row r="1315" spans="2:6">
      <c r="B1315" s="78"/>
      <c r="C1315" s="81"/>
      <c r="D1315" s="81"/>
      <c r="E1315" s="81" t="s">
        <v>1663</v>
      </c>
      <c r="F1315" s="81"/>
    </row>
    <row r="1316" spans="2:6">
      <c r="B1316" s="78" t="s">
        <v>3143</v>
      </c>
      <c r="C1316" s="81"/>
      <c r="D1316" s="81"/>
      <c r="E1316" s="81"/>
      <c r="F1316" s="81" t="s">
        <v>1664</v>
      </c>
    </row>
    <row r="1317" spans="2:6">
      <c r="B1317" s="78" t="s">
        <v>3144</v>
      </c>
      <c r="C1317" s="81"/>
      <c r="D1317" s="81"/>
      <c r="E1317" s="81"/>
      <c r="F1317" s="81" t="s">
        <v>1665</v>
      </c>
    </row>
    <row r="1318" spans="2:6">
      <c r="B1318" s="78"/>
      <c r="C1318" s="81"/>
      <c r="D1318" s="81"/>
      <c r="E1318" s="81" t="s">
        <v>1666</v>
      </c>
      <c r="F1318" s="81"/>
    </row>
    <row r="1319" spans="2:6">
      <c r="B1319" s="78" t="s">
        <v>3145</v>
      </c>
      <c r="C1319" s="81"/>
      <c r="D1319" s="81"/>
      <c r="E1319" s="81"/>
      <c r="F1319" s="81" t="s">
        <v>1667</v>
      </c>
    </row>
    <row r="1320" spans="2:6">
      <c r="B1320" s="78" t="s">
        <v>3146</v>
      </c>
      <c r="C1320" s="81"/>
      <c r="D1320" s="81"/>
      <c r="E1320" s="81"/>
      <c r="F1320" s="81" t="s">
        <v>1668</v>
      </c>
    </row>
    <row r="1321" spans="2:6">
      <c r="B1321" s="78" t="s">
        <v>3147</v>
      </c>
      <c r="C1321" s="81"/>
      <c r="D1321" s="81"/>
      <c r="E1321" s="81"/>
      <c r="F1321" s="81" t="s">
        <v>1669</v>
      </c>
    </row>
    <row r="1322" spans="2:6">
      <c r="B1322" s="78" t="s">
        <v>3148</v>
      </c>
      <c r="C1322" s="81"/>
      <c r="D1322" s="81"/>
      <c r="E1322" s="81"/>
      <c r="F1322" s="81" t="s">
        <v>1670</v>
      </c>
    </row>
    <row r="1323" spans="2:6">
      <c r="B1323" s="78" t="s">
        <v>3149</v>
      </c>
      <c r="C1323" s="81"/>
      <c r="D1323" s="81"/>
      <c r="E1323" s="81"/>
      <c r="F1323" s="81" t="s">
        <v>1671</v>
      </c>
    </row>
    <row r="1324" spans="2:6">
      <c r="B1324" s="78"/>
      <c r="C1324" s="81"/>
      <c r="D1324" s="81" t="s">
        <v>1672</v>
      </c>
      <c r="E1324" s="81"/>
      <c r="F1324" s="81"/>
    </row>
    <row r="1325" spans="2:6">
      <c r="B1325" s="78"/>
      <c r="C1325" s="81"/>
      <c r="D1325" s="81"/>
      <c r="E1325" s="81" t="s">
        <v>1673</v>
      </c>
      <c r="F1325" s="81"/>
    </row>
    <row r="1326" spans="2:6">
      <c r="B1326" s="78" t="s">
        <v>2379</v>
      </c>
      <c r="C1326" s="81"/>
      <c r="D1326" s="81"/>
      <c r="E1326" s="81"/>
      <c r="F1326" s="81" t="s">
        <v>401</v>
      </c>
    </row>
    <row r="1327" spans="2:6">
      <c r="B1327" s="78" t="s">
        <v>3150</v>
      </c>
      <c r="C1327" s="81"/>
      <c r="D1327" s="81"/>
      <c r="E1327" s="81"/>
      <c r="F1327" s="81" t="s">
        <v>1606</v>
      </c>
    </row>
    <row r="1328" spans="2:6">
      <c r="B1328" s="78" t="s">
        <v>2380</v>
      </c>
      <c r="C1328" s="81"/>
      <c r="D1328" s="81"/>
      <c r="E1328" s="81"/>
      <c r="F1328" s="81" t="s">
        <v>403</v>
      </c>
    </row>
    <row r="1329" spans="2:6">
      <c r="B1329" s="78"/>
      <c r="C1329" s="81"/>
      <c r="D1329" s="81"/>
      <c r="E1329" s="81" t="s">
        <v>1674</v>
      </c>
      <c r="F1329" s="81"/>
    </row>
    <row r="1330" spans="2:6">
      <c r="B1330" s="78" t="s">
        <v>3151</v>
      </c>
      <c r="C1330" s="81"/>
      <c r="D1330" s="81"/>
      <c r="E1330" s="81"/>
      <c r="F1330" s="81" t="s">
        <v>1675</v>
      </c>
    </row>
    <row r="1331" spans="2:6">
      <c r="B1331" s="78" t="s">
        <v>3152</v>
      </c>
      <c r="C1331" s="81"/>
      <c r="D1331" s="81"/>
      <c r="E1331" s="81"/>
      <c r="F1331" s="81" t="s">
        <v>1676</v>
      </c>
    </row>
    <row r="1332" spans="2:6">
      <c r="B1332" s="78" t="s">
        <v>2381</v>
      </c>
      <c r="C1332" s="81"/>
      <c r="D1332" s="81"/>
      <c r="E1332" s="81"/>
      <c r="F1332" s="81" t="s">
        <v>1677</v>
      </c>
    </row>
    <row r="1333" spans="2:6">
      <c r="B1333" s="78" t="s">
        <v>3153</v>
      </c>
      <c r="C1333" s="81"/>
      <c r="D1333" s="81"/>
      <c r="E1333" s="81"/>
      <c r="F1333" s="81" t="s">
        <v>1678</v>
      </c>
    </row>
    <row r="1334" spans="2:6">
      <c r="B1334" s="78" t="s">
        <v>2382</v>
      </c>
      <c r="C1334" s="81"/>
      <c r="D1334" s="81"/>
      <c r="E1334" s="81"/>
      <c r="F1334" s="81" t="s">
        <v>1679</v>
      </c>
    </row>
    <row r="1335" spans="2:6">
      <c r="B1335" s="78"/>
      <c r="C1335" s="81"/>
      <c r="D1335" s="81"/>
      <c r="E1335" s="81" t="s">
        <v>1680</v>
      </c>
      <c r="F1335" s="81"/>
    </row>
    <row r="1336" spans="2:6">
      <c r="B1336" s="78" t="s">
        <v>3154</v>
      </c>
      <c r="C1336" s="81"/>
      <c r="D1336" s="81"/>
      <c r="E1336" s="81"/>
      <c r="F1336" s="81" t="s">
        <v>1681</v>
      </c>
    </row>
    <row r="1337" spans="2:6">
      <c r="B1337" s="78" t="s">
        <v>3155</v>
      </c>
      <c r="C1337" s="81"/>
      <c r="D1337" s="81"/>
      <c r="E1337" s="81"/>
      <c r="F1337" s="81" t="s">
        <v>1682</v>
      </c>
    </row>
    <row r="1338" spans="2:6">
      <c r="B1338" s="78" t="s">
        <v>2383</v>
      </c>
      <c r="C1338" s="81"/>
      <c r="D1338" s="81"/>
      <c r="E1338" s="81"/>
      <c r="F1338" s="81" t="s">
        <v>1683</v>
      </c>
    </row>
    <row r="1339" spans="2:6">
      <c r="B1339" s="78"/>
      <c r="C1339" s="81"/>
      <c r="D1339" s="81"/>
      <c r="E1339" s="81" t="s">
        <v>1684</v>
      </c>
      <c r="F1339" s="81"/>
    </row>
    <row r="1340" spans="2:6">
      <c r="B1340" s="78" t="s">
        <v>3156</v>
      </c>
      <c r="C1340" s="81"/>
      <c r="D1340" s="81"/>
      <c r="E1340" s="81"/>
      <c r="F1340" s="81" t="s">
        <v>1685</v>
      </c>
    </row>
    <row r="1341" spans="2:6">
      <c r="B1341" s="78" t="s">
        <v>2384</v>
      </c>
      <c r="C1341" s="81"/>
      <c r="D1341" s="81"/>
      <c r="E1341" s="81"/>
      <c r="F1341" s="81" t="s">
        <v>1686</v>
      </c>
    </row>
    <row r="1342" spans="2:6">
      <c r="B1342" s="78"/>
      <c r="C1342" s="81"/>
      <c r="D1342" s="81"/>
      <c r="E1342" s="81" t="s">
        <v>1687</v>
      </c>
      <c r="F1342" s="81"/>
    </row>
    <row r="1343" spans="2:6">
      <c r="B1343" s="78" t="s">
        <v>3157</v>
      </c>
      <c r="C1343" s="81"/>
      <c r="D1343" s="81"/>
      <c r="E1343" s="81"/>
      <c r="F1343" s="81" t="s">
        <v>1688</v>
      </c>
    </row>
    <row r="1344" spans="2:6">
      <c r="B1344" s="78" t="s">
        <v>3158</v>
      </c>
      <c r="C1344" s="81"/>
      <c r="D1344" s="81"/>
      <c r="E1344" s="81"/>
      <c r="F1344" s="81" t="s">
        <v>1689</v>
      </c>
    </row>
    <row r="1345" spans="2:6">
      <c r="B1345" s="78" t="s">
        <v>3159</v>
      </c>
      <c r="C1345" s="81"/>
      <c r="D1345" s="81"/>
      <c r="E1345" s="81"/>
      <c r="F1345" s="81" t="s">
        <v>1690</v>
      </c>
    </row>
    <row r="1346" spans="2:6">
      <c r="B1346" s="78"/>
      <c r="C1346" s="81"/>
      <c r="D1346" s="81" t="s">
        <v>1691</v>
      </c>
      <c r="E1346" s="81"/>
      <c r="F1346" s="81"/>
    </row>
    <row r="1347" spans="2:6">
      <c r="B1347" s="78"/>
      <c r="C1347" s="81"/>
      <c r="D1347" s="81"/>
      <c r="E1347" s="81" t="s">
        <v>1692</v>
      </c>
      <c r="F1347" s="81"/>
    </row>
    <row r="1348" spans="2:6">
      <c r="B1348" s="78" t="s">
        <v>2385</v>
      </c>
      <c r="C1348" s="81"/>
      <c r="D1348" s="81"/>
      <c r="E1348" s="81"/>
      <c r="F1348" s="81" t="s">
        <v>401</v>
      </c>
    </row>
    <row r="1349" spans="2:6">
      <c r="B1349" s="78" t="s">
        <v>3160</v>
      </c>
      <c r="C1349" s="81"/>
      <c r="D1349" s="81"/>
      <c r="E1349" s="81"/>
      <c r="F1349" s="81" t="s">
        <v>1606</v>
      </c>
    </row>
    <row r="1350" spans="2:6">
      <c r="B1350" s="78" t="s">
        <v>3161</v>
      </c>
      <c r="C1350" s="81"/>
      <c r="D1350" s="81"/>
      <c r="E1350" s="81"/>
      <c r="F1350" s="81" t="s">
        <v>403</v>
      </c>
    </row>
    <row r="1351" spans="2:6">
      <c r="B1351" s="78"/>
      <c r="C1351" s="81"/>
      <c r="D1351" s="81"/>
      <c r="E1351" s="81" t="s">
        <v>1693</v>
      </c>
      <c r="F1351" s="81"/>
    </row>
    <row r="1352" spans="2:6">
      <c r="B1352" s="78" t="s">
        <v>3162</v>
      </c>
      <c r="C1352" s="81"/>
      <c r="D1352" s="81"/>
      <c r="E1352" s="81"/>
      <c r="F1352" s="81" t="s">
        <v>1694</v>
      </c>
    </row>
    <row r="1353" spans="2:6">
      <c r="B1353" s="78" t="s">
        <v>3163</v>
      </c>
      <c r="C1353" s="81"/>
      <c r="D1353" s="81"/>
      <c r="E1353" s="81"/>
      <c r="F1353" s="81" t="s">
        <v>1695</v>
      </c>
    </row>
    <row r="1354" spans="2:6">
      <c r="B1354" s="78" t="s">
        <v>3164</v>
      </c>
      <c r="C1354" s="81"/>
      <c r="D1354" s="81"/>
      <c r="E1354" s="81"/>
      <c r="F1354" s="81" t="s">
        <v>1696</v>
      </c>
    </row>
    <row r="1355" spans="2:6">
      <c r="B1355" s="78" t="s">
        <v>3165</v>
      </c>
      <c r="C1355" s="81"/>
      <c r="D1355" s="81"/>
      <c r="E1355" s="81"/>
      <c r="F1355" s="81" t="s">
        <v>1697</v>
      </c>
    </row>
    <row r="1356" spans="2:6">
      <c r="B1356" s="78" t="s">
        <v>3166</v>
      </c>
      <c r="C1356" s="81"/>
      <c r="D1356" s="81"/>
      <c r="E1356" s="81"/>
      <c r="F1356" s="81" t="s">
        <v>1698</v>
      </c>
    </row>
    <row r="1357" spans="2:6">
      <c r="B1357" s="78" t="s">
        <v>2457</v>
      </c>
      <c r="C1357" s="81"/>
      <c r="D1357" s="81"/>
      <c r="E1357" s="81"/>
      <c r="F1357" s="81" t="s">
        <v>1699</v>
      </c>
    </row>
    <row r="1358" spans="2:6">
      <c r="B1358" s="78"/>
      <c r="C1358" s="81"/>
      <c r="D1358" s="81"/>
      <c r="E1358" s="81" t="s">
        <v>1700</v>
      </c>
      <c r="F1358" s="81"/>
    </row>
    <row r="1359" spans="2:6">
      <c r="B1359" s="78" t="s">
        <v>3167</v>
      </c>
      <c r="C1359" s="81"/>
      <c r="D1359" s="81"/>
      <c r="E1359" s="81"/>
      <c r="F1359" s="81" t="s">
        <v>1701</v>
      </c>
    </row>
    <row r="1360" spans="2:6">
      <c r="B1360" s="78" t="s">
        <v>3168</v>
      </c>
      <c r="C1360" s="81"/>
      <c r="D1360" s="81"/>
      <c r="E1360" s="81"/>
      <c r="F1360" s="81" t="s">
        <v>1702</v>
      </c>
    </row>
    <row r="1361" spans="2:6">
      <c r="B1361" s="78" t="s">
        <v>3169</v>
      </c>
      <c r="C1361" s="81"/>
      <c r="D1361" s="81"/>
      <c r="E1361" s="81"/>
      <c r="F1361" s="81" t="s">
        <v>1703</v>
      </c>
    </row>
    <row r="1362" spans="2:6">
      <c r="B1362" s="78" t="s">
        <v>3170</v>
      </c>
      <c r="C1362" s="81"/>
      <c r="D1362" s="81"/>
      <c r="E1362" s="81"/>
      <c r="F1362" s="81" t="s">
        <v>1704</v>
      </c>
    </row>
    <row r="1363" spans="2:6">
      <c r="B1363" s="78"/>
      <c r="C1363" s="81"/>
      <c r="D1363" s="81"/>
      <c r="E1363" s="81" t="s">
        <v>1705</v>
      </c>
      <c r="F1363" s="81"/>
    </row>
    <row r="1364" spans="2:6">
      <c r="B1364" s="78" t="s">
        <v>3171</v>
      </c>
      <c r="C1364" s="81"/>
      <c r="D1364" s="81"/>
      <c r="E1364" s="81"/>
      <c r="F1364" s="81" t="s">
        <v>1706</v>
      </c>
    </row>
    <row r="1365" spans="2:6">
      <c r="B1365" s="78" t="s">
        <v>2458</v>
      </c>
      <c r="C1365" s="81"/>
      <c r="D1365" s="81"/>
      <c r="E1365" s="81"/>
      <c r="F1365" s="81" t="s">
        <v>1707</v>
      </c>
    </row>
    <row r="1366" spans="2:6">
      <c r="B1366" s="78"/>
      <c r="C1366" s="81"/>
      <c r="D1366" s="81"/>
      <c r="E1366" s="81" t="s">
        <v>1708</v>
      </c>
      <c r="F1366" s="81"/>
    </row>
    <row r="1367" spans="2:6">
      <c r="B1367" s="78" t="s">
        <v>2386</v>
      </c>
      <c r="C1367" s="81"/>
      <c r="D1367" s="81"/>
      <c r="E1367" s="81"/>
      <c r="F1367" s="81" t="s">
        <v>1709</v>
      </c>
    </row>
    <row r="1368" spans="2:6">
      <c r="B1368" s="78" t="s">
        <v>3172</v>
      </c>
      <c r="C1368" s="81"/>
      <c r="D1368" s="81"/>
      <c r="E1368" s="81"/>
      <c r="F1368" s="81" t="s">
        <v>1710</v>
      </c>
    </row>
    <row r="1369" spans="2:6">
      <c r="B1369" s="78" t="s">
        <v>3173</v>
      </c>
      <c r="C1369" s="81"/>
      <c r="D1369" s="81"/>
      <c r="E1369" s="81"/>
      <c r="F1369" s="81" t="s">
        <v>1711</v>
      </c>
    </row>
    <row r="1370" spans="2:6">
      <c r="B1370" s="78" t="s">
        <v>3174</v>
      </c>
      <c r="C1370" s="81"/>
      <c r="D1370" s="81"/>
      <c r="E1370" s="81"/>
      <c r="F1370" s="81" t="s">
        <v>1712</v>
      </c>
    </row>
    <row r="1371" spans="2:6">
      <c r="B1371" s="78" t="s">
        <v>3175</v>
      </c>
      <c r="C1371" s="81"/>
      <c r="D1371" s="81"/>
      <c r="E1371" s="81"/>
      <c r="F1371" s="81" t="s">
        <v>1713</v>
      </c>
    </row>
    <row r="1372" spans="2:6">
      <c r="B1372" s="78" t="s">
        <v>3176</v>
      </c>
      <c r="C1372" s="81"/>
      <c r="D1372" s="81"/>
      <c r="E1372" s="81"/>
      <c r="F1372" s="81" t="s">
        <v>1714</v>
      </c>
    </row>
    <row r="1373" spans="2:6">
      <c r="B1373" s="78" t="s">
        <v>3177</v>
      </c>
      <c r="C1373" s="81"/>
      <c r="D1373" s="81"/>
      <c r="E1373" s="81"/>
      <c r="F1373" s="81" t="s">
        <v>1715</v>
      </c>
    </row>
    <row r="1374" spans="2:6">
      <c r="B1374" s="78" t="s">
        <v>3178</v>
      </c>
      <c r="C1374" s="81"/>
      <c r="D1374" s="81"/>
      <c r="E1374" s="81"/>
      <c r="F1374" s="81" t="s">
        <v>1716</v>
      </c>
    </row>
    <row r="1375" spans="2:6">
      <c r="B1375" s="78" t="s">
        <v>3179</v>
      </c>
      <c r="C1375" s="81"/>
      <c r="D1375" s="81"/>
      <c r="E1375" s="81"/>
      <c r="F1375" s="81" t="s">
        <v>1717</v>
      </c>
    </row>
    <row r="1376" spans="2:6">
      <c r="B1376" s="78"/>
      <c r="C1376" s="81"/>
      <c r="D1376" s="81" t="s">
        <v>1718</v>
      </c>
      <c r="E1376" s="81"/>
      <c r="F1376" s="81"/>
    </row>
    <row r="1377" spans="2:6">
      <c r="B1377" s="78"/>
      <c r="C1377" s="81"/>
      <c r="D1377" s="81"/>
      <c r="E1377" s="81" t="s">
        <v>1719</v>
      </c>
      <c r="F1377" s="81"/>
    </row>
    <row r="1378" spans="2:6">
      <c r="B1378" s="78" t="s">
        <v>3180</v>
      </c>
      <c r="C1378" s="81"/>
      <c r="D1378" s="81"/>
      <c r="E1378" s="81"/>
      <c r="F1378" s="81" t="s">
        <v>401</v>
      </c>
    </row>
    <row r="1379" spans="2:6">
      <c r="B1379" s="78" t="s">
        <v>3181</v>
      </c>
      <c r="C1379" s="81"/>
      <c r="D1379" s="81"/>
      <c r="E1379" s="81"/>
      <c r="F1379" s="81" t="s">
        <v>1606</v>
      </c>
    </row>
    <row r="1380" spans="2:6">
      <c r="B1380" s="78" t="s">
        <v>3182</v>
      </c>
      <c r="C1380" s="81"/>
      <c r="D1380" s="81"/>
      <c r="E1380" s="81"/>
      <c r="F1380" s="81" t="s">
        <v>403</v>
      </c>
    </row>
    <row r="1381" spans="2:6">
      <c r="B1381" s="78"/>
      <c r="C1381" s="81"/>
      <c r="D1381" s="81"/>
      <c r="E1381" s="149" t="s">
        <v>3671</v>
      </c>
      <c r="F1381" s="81"/>
    </row>
    <row r="1382" spans="2:6">
      <c r="B1382" s="150" t="s">
        <v>3183</v>
      </c>
      <c r="C1382" s="81"/>
      <c r="D1382" s="81"/>
      <c r="E1382" s="81"/>
      <c r="F1382" s="149" t="s">
        <v>3671</v>
      </c>
    </row>
    <row r="1383" spans="2:6">
      <c r="B1383" s="78"/>
      <c r="C1383" s="81"/>
      <c r="D1383" s="81"/>
      <c r="E1383" s="149" t="s">
        <v>3672</v>
      </c>
      <c r="F1383" s="149"/>
    </row>
    <row r="1384" spans="2:6">
      <c r="B1384" s="150" t="s">
        <v>3673</v>
      </c>
      <c r="C1384" s="150"/>
      <c r="D1384" s="81"/>
      <c r="E1384" s="81"/>
      <c r="F1384" s="149" t="s">
        <v>3672</v>
      </c>
    </row>
    <row r="1385" spans="2:6">
      <c r="B1385" s="150"/>
      <c r="C1385" s="150"/>
      <c r="D1385" s="81"/>
      <c r="E1385" s="149" t="s">
        <v>3674</v>
      </c>
      <c r="F1385" s="149"/>
    </row>
    <row r="1386" spans="2:6">
      <c r="B1386" s="150" t="s">
        <v>3675</v>
      </c>
      <c r="C1386" s="150"/>
      <c r="D1386" s="81"/>
      <c r="E1386" s="81"/>
      <c r="F1386" s="149" t="s">
        <v>3674</v>
      </c>
    </row>
    <row r="1387" spans="2:6">
      <c r="B1387" s="150"/>
      <c r="C1387" s="150"/>
      <c r="D1387" s="149"/>
      <c r="E1387" s="149" t="s">
        <v>1788</v>
      </c>
      <c r="F1387" s="149"/>
    </row>
    <row r="1388" spans="2:6">
      <c r="B1388" s="150" t="s">
        <v>3676</v>
      </c>
      <c r="C1388" s="150"/>
      <c r="D1388" s="149"/>
      <c r="E1388" s="149"/>
      <c r="F1388" s="149" t="s">
        <v>1788</v>
      </c>
    </row>
    <row r="1389" spans="2:6">
      <c r="B1389" s="150"/>
      <c r="C1389" s="150"/>
      <c r="D1389" s="149"/>
      <c r="E1389" s="149" t="s">
        <v>1810</v>
      </c>
      <c r="F1389" s="149"/>
    </row>
    <row r="1390" spans="2:6">
      <c r="B1390" s="150" t="s">
        <v>3677</v>
      </c>
      <c r="C1390" s="81"/>
      <c r="D1390" s="149"/>
      <c r="E1390" s="149"/>
      <c r="F1390" s="149" t="s">
        <v>1810</v>
      </c>
    </row>
    <row r="1391" spans="2:6">
      <c r="B1391" s="81"/>
      <c r="C1391" s="150"/>
      <c r="D1391" s="149"/>
      <c r="E1391" s="149" t="s">
        <v>3678</v>
      </c>
      <c r="F1391" s="149"/>
    </row>
    <row r="1392" spans="2:6">
      <c r="B1392" s="150" t="s">
        <v>3679</v>
      </c>
      <c r="C1392" s="150"/>
      <c r="D1392" s="149"/>
      <c r="E1392" s="149"/>
      <c r="F1392" s="149" t="s">
        <v>3678</v>
      </c>
    </row>
    <row r="1393" spans="2:6">
      <c r="B1393" s="150"/>
      <c r="C1393" s="150"/>
      <c r="D1393" s="149"/>
      <c r="E1393" s="149" t="s">
        <v>3680</v>
      </c>
      <c r="F1393" s="149"/>
    </row>
    <row r="1394" spans="2:6">
      <c r="B1394" s="78" t="s">
        <v>2387</v>
      </c>
      <c r="C1394" s="149"/>
      <c r="D1394" s="149"/>
      <c r="E1394" s="149"/>
      <c r="F1394" s="149" t="s">
        <v>3680</v>
      </c>
    </row>
    <row r="1395" spans="2:6">
      <c r="B1395" s="78"/>
      <c r="C1395" s="81"/>
      <c r="D1395" s="81" t="s">
        <v>1720</v>
      </c>
      <c r="E1395" s="81"/>
      <c r="F1395" s="81"/>
    </row>
    <row r="1396" spans="2:6">
      <c r="B1396" s="78"/>
      <c r="C1396" s="81"/>
      <c r="D1396" s="81"/>
      <c r="E1396" s="81" t="s">
        <v>1721</v>
      </c>
      <c r="F1396" s="81"/>
    </row>
    <row r="1397" spans="2:6">
      <c r="B1397" s="78" t="s">
        <v>3184</v>
      </c>
      <c r="C1397" s="81"/>
      <c r="D1397" s="81"/>
      <c r="E1397" s="81"/>
      <c r="F1397" s="81" t="s">
        <v>401</v>
      </c>
    </row>
    <row r="1398" spans="2:6">
      <c r="B1398" s="78" t="s">
        <v>3185</v>
      </c>
      <c r="C1398" s="81"/>
      <c r="D1398" s="81"/>
      <c r="E1398" s="81"/>
      <c r="F1398" s="81" t="s">
        <v>1606</v>
      </c>
    </row>
    <row r="1399" spans="2:6">
      <c r="B1399" s="78" t="s">
        <v>3186</v>
      </c>
      <c r="C1399" s="81"/>
      <c r="D1399" s="81"/>
      <c r="E1399" s="81"/>
      <c r="F1399" s="81" t="s">
        <v>403</v>
      </c>
    </row>
    <row r="1400" spans="2:6">
      <c r="B1400" s="78"/>
      <c r="C1400" s="81"/>
      <c r="D1400" s="81"/>
      <c r="E1400" s="81" t="s">
        <v>1722</v>
      </c>
      <c r="F1400" s="81"/>
    </row>
    <row r="1401" spans="2:6">
      <c r="B1401" s="78" t="s">
        <v>2388</v>
      </c>
      <c r="C1401" s="81"/>
      <c r="D1401" s="81"/>
      <c r="E1401" s="81"/>
      <c r="F1401" s="81" t="s">
        <v>1723</v>
      </c>
    </row>
    <row r="1402" spans="2:6">
      <c r="B1402" s="78" t="s">
        <v>3187</v>
      </c>
      <c r="C1402" s="81"/>
      <c r="D1402" s="81"/>
      <c r="E1402" s="81"/>
      <c r="F1402" s="81" t="s">
        <v>1724</v>
      </c>
    </row>
    <row r="1403" spans="2:6">
      <c r="B1403" s="78"/>
      <c r="C1403" s="81"/>
      <c r="D1403" s="81"/>
      <c r="E1403" s="81" t="s">
        <v>1725</v>
      </c>
      <c r="F1403" s="81"/>
    </row>
    <row r="1404" spans="2:6">
      <c r="B1404" s="78" t="s">
        <v>2389</v>
      </c>
      <c r="C1404" s="81"/>
      <c r="D1404" s="81"/>
      <c r="E1404" s="81"/>
      <c r="F1404" s="81" t="s">
        <v>1725</v>
      </c>
    </row>
    <row r="1405" spans="2:6">
      <c r="B1405" s="78"/>
      <c r="C1405" s="81"/>
      <c r="D1405" s="81"/>
      <c r="E1405" s="81" t="s">
        <v>1726</v>
      </c>
      <c r="F1405" s="81"/>
    </row>
    <row r="1406" spans="2:6">
      <c r="B1406" s="78" t="s">
        <v>3188</v>
      </c>
      <c r="C1406" s="81"/>
      <c r="D1406" s="81"/>
      <c r="E1406" s="81"/>
      <c r="F1406" s="81" t="s">
        <v>1727</v>
      </c>
    </row>
    <row r="1407" spans="2:6">
      <c r="B1407" s="78" t="s">
        <v>2390</v>
      </c>
      <c r="C1407" s="81"/>
      <c r="D1407" s="81"/>
      <c r="E1407" s="81"/>
      <c r="F1407" s="81" t="s">
        <v>1728</v>
      </c>
    </row>
    <row r="1408" spans="2:6">
      <c r="B1408" s="78"/>
      <c r="C1408" s="81"/>
      <c r="D1408" s="81"/>
      <c r="E1408" s="81" t="s">
        <v>1729</v>
      </c>
      <c r="F1408" s="81"/>
    </row>
    <row r="1409" spans="2:6">
      <c r="B1409" s="78" t="s">
        <v>3189</v>
      </c>
      <c r="C1409" s="81"/>
      <c r="D1409" s="81"/>
      <c r="E1409" s="81"/>
      <c r="F1409" s="81" t="s">
        <v>1730</v>
      </c>
    </row>
    <row r="1410" spans="2:6">
      <c r="B1410" s="78" t="s">
        <v>3190</v>
      </c>
      <c r="C1410" s="81"/>
      <c r="D1410" s="81"/>
      <c r="E1410" s="81"/>
      <c r="F1410" s="81" t="s">
        <v>1731</v>
      </c>
    </row>
    <row r="1411" spans="2:6">
      <c r="B1411" s="78"/>
      <c r="C1411" s="81"/>
      <c r="D1411" s="81"/>
      <c r="E1411" s="81" t="s">
        <v>1732</v>
      </c>
      <c r="F1411" s="81"/>
    </row>
    <row r="1412" spans="2:6">
      <c r="B1412" s="78" t="s">
        <v>3191</v>
      </c>
      <c r="C1412" s="81"/>
      <c r="D1412" s="81"/>
      <c r="E1412" s="81"/>
      <c r="F1412" s="81" t="s">
        <v>1733</v>
      </c>
    </row>
    <row r="1413" spans="2:6">
      <c r="B1413" s="78" t="s">
        <v>3192</v>
      </c>
      <c r="C1413" s="81"/>
      <c r="D1413" s="81"/>
      <c r="E1413" s="81"/>
      <c r="F1413" s="81" t="s">
        <v>1734</v>
      </c>
    </row>
    <row r="1414" spans="2:6">
      <c r="B1414" s="78" t="s">
        <v>3193</v>
      </c>
      <c r="C1414" s="81"/>
      <c r="D1414" s="81"/>
      <c r="E1414" s="81"/>
      <c r="F1414" s="81" t="s">
        <v>1735</v>
      </c>
    </row>
    <row r="1415" spans="2:6">
      <c r="B1415" s="78" t="s">
        <v>3194</v>
      </c>
      <c r="C1415" s="81"/>
      <c r="D1415" s="81"/>
      <c r="E1415" s="81"/>
      <c r="F1415" s="81" t="s">
        <v>1736</v>
      </c>
    </row>
    <row r="1416" spans="2:6">
      <c r="B1416" s="78"/>
      <c r="C1416" s="81"/>
      <c r="D1416" s="81" t="s">
        <v>1737</v>
      </c>
      <c r="E1416" s="81"/>
      <c r="F1416" s="81"/>
    </row>
    <row r="1417" spans="2:6">
      <c r="B1417" s="78"/>
      <c r="C1417" s="81"/>
      <c r="D1417" s="81"/>
      <c r="E1417" s="81" t="s">
        <v>1738</v>
      </c>
      <c r="F1417" s="81"/>
    </row>
    <row r="1418" spans="2:6">
      <c r="B1418" s="78" t="s">
        <v>3195</v>
      </c>
      <c r="C1418" s="81"/>
      <c r="D1418" s="81"/>
      <c r="E1418" s="81"/>
      <c r="F1418" s="81" t="s">
        <v>401</v>
      </c>
    </row>
    <row r="1419" spans="2:6">
      <c r="B1419" s="78" t="s">
        <v>3196</v>
      </c>
      <c r="C1419" s="81"/>
      <c r="D1419" s="81"/>
      <c r="E1419" s="81"/>
      <c r="F1419" s="81" t="s">
        <v>1606</v>
      </c>
    </row>
    <row r="1420" spans="2:6">
      <c r="B1420" s="78" t="s">
        <v>3197</v>
      </c>
      <c r="C1420" s="81"/>
      <c r="D1420" s="81"/>
      <c r="E1420" s="81"/>
      <c r="F1420" s="81" t="s">
        <v>403</v>
      </c>
    </row>
    <row r="1421" spans="2:6">
      <c r="B1421" s="78"/>
      <c r="C1421" s="81"/>
      <c r="D1421" s="81"/>
      <c r="E1421" s="81" t="s">
        <v>1739</v>
      </c>
      <c r="F1421" s="81"/>
    </row>
    <row r="1422" spans="2:6">
      <c r="B1422" s="150" t="s">
        <v>3198</v>
      </c>
      <c r="C1422" s="81"/>
      <c r="D1422" s="81"/>
      <c r="E1422" s="81"/>
      <c r="F1422" s="149" t="s">
        <v>3681</v>
      </c>
    </row>
    <row r="1423" spans="2:6">
      <c r="B1423" s="151" t="s">
        <v>3682</v>
      </c>
      <c r="C1423" s="149"/>
      <c r="D1423" s="149"/>
      <c r="E1423" s="149"/>
      <c r="F1423" s="149" t="s">
        <v>3683</v>
      </c>
    </row>
    <row r="1424" spans="2:6">
      <c r="B1424" s="152"/>
      <c r="C1424" s="153"/>
      <c r="D1424" s="81"/>
      <c r="E1424" s="81" t="s">
        <v>1740</v>
      </c>
      <c r="F1424" s="81"/>
    </row>
    <row r="1425" spans="2:6">
      <c r="B1425" s="78" t="s">
        <v>3199</v>
      </c>
      <c r="C1425" s="81"/>
      <c r="D1425" s="81"/>
      <c r="E1425" s="81"/>
      <c r="F1425" s="81" t="s">
        <v>1741</v>
      </c>
    </row>
    <row r="1426" spans="2:6">
      <c r="B1426" s="78" t="s">
        <v>3200</v>
      </c>
      <c r="C1426" s="81"/>
      <c r="D1426" s="81"/>
      <c r="E1426" s="81"/>
      <c r="F1426" s="81" t="s">
        <v>1742</v>
      </c>
    </row>
    <row r="1427" spans="2:6">
      <c r="B1427" s="78"/>
      <c r="C1427" s="81"/>
      <c r="D1427" s="81"/>
      <c r="E1427" s="81" t="s">
        <v>1743</v>
      </c>
      <c r="F1427" s="81"/>
    </row>
    <row r="1428" spans="2:6">
      <c r="B1428" s="78" t="s">
        <v>3201</v>
      </c>
      <c r="C1428" s="81"/>
      <c r="D1428" s="81"/>
      <c r="E1428" s="81"/>
      <c r="F1428" s="81" t="s">
        <v>1744</v>
      </c>
    </row>
    <row r="1429" spans="2:6">
      <c r="B1429" s="78" t="s">
        <v>3202</v>
      </c>
      <c r="C1429" s="81"/>
      <c r="D1429" s="81"/>
      <c r="E1429" s="81"/>
      <c r="F1429" s="81" t="s">
        <v>1745</v>
      </c>
    </row>
    <row r="1430" spans="2:6">
      <c r="B1430" s="78"/>
      <c r="C1430" s="81"/>
      <c r="D1430" s="81"/>
      <c r="E1430" s="81" t="s">
        <v>1746</v>
      </c>
      <c r="F1430" s="81"/>
    </row>
    <row r="1431" spans="2:6">
      <c r="B1431" s="78" t="s">
        <v>3203</v>
      </c>
      <c r="C1431" s="81"/>
      <c r="D1431" s="81"/>
      <c r="E1431" s="81"/>
      <c r="F1431" s="81" t="s">
        <v>1746</v>
      </c>
    </row>
    <row r="1432" spans="2:6">
      <c r="B1432" s="78"/>
      <c r="C1432" s="81"/>
      <c r="D1432" s="81"/>
      <c r="E1432" s="81" t="s">
        <v>1747</v>
      </c>
      <c r="F1432" s="81"/>
    </row>
    <row r="1433" spans="2:6">
      <c r="B1433" s="78" t="s">
        <v>2391</v>
      </c>
      <c r="C1433" s="81"/>
      <c r="D1433" s="81"/>
      <c r="E1433" s="81"/>
      <c r="F1433" s="81" t="s">
        <v>1747</v>
      </c>
    </row>
    <row r="1434" spans="2:6">
      <c r="B1434" s="78"/>
      <c r="C1434" s="81"/>
      <c r="D1434" s="81"/>
      <c r="E1434" s="81" t="s">
        <v>1748</v>
      </c>
      <c r="F1434" s="81"/>
    </row>
    <row r="1435" spans="2:6">
      <c r="B1435" s="78" t="s">
        <v>3204</v>
      </c>
      <c r="C1435" s="81"/>
      <c r="D1435" s="81"/>
      <c r="E1435" s="81"/>
      <c r="F1435" s="81" t="s">
        <v>1749</v>
      </c>
    </row>
    <row r="1436" spans="2:6">
      <c r="B1436" s="78" t="s">
        <v>3205</v>
      </c>
      <c r="C1436" s="81"/>
      <c r="D1436" s="81"/>
      <c r="E1436" s="81"/>
      <c r="F1436" s="81" t="s">
        <v>1750</v>
      </c>
    </row>
    <row r="1437" spans="2:6">
      <c r="B1437" s="78" t="s">
        <v>3206</v>
      </c>
      <c r="C1437" s="81"/>
      <c r="D1437" s="81"/>
      <c r="E1437" s="81"/>
      <c r="F1437" s="81" t="s">
        <v>1751</v>
      </c>
    </row>
    <row r="1438" spans="2:6">
      <c r="B1438" s="78" t="s">
        <v>3207</v>
      </c>
      <c r="C1438" s="81"/>
      <c r="D1438" s="81"/>
      <c r="E1438" s="81"/>
      <c r="F1438" s="81" t="s">
        <v>1752</v>
      </c>
    </row>
    <row r="1439" spans="2:6">
      <c r="B1439" s="154"/>
      <c r="C1439" s="149"/>
      <c r="D1439" s="149"/>
      <c r="E1439" s="81" t="s">
        <v>1753</v>
      </c>
      <c r="F1439" s="149"/>
    </row>
    <row r="1440" spans="2:6">
      <c r="B1440" s="78" t="s">
        <v>3208</v>
      </c>
      <c r="C1440" s="149"/>
      <c r="D1440" s="149"/>
      <c r="E1440" s="149"/>
      <c r="F1440" s="149" t="s">
        <v>1754</v>
      </c>
    </row>
    <row r="1441" spans="2:6">
      <c r="B1441" s="78" t="s">
        <v>3684</v>
      </c>
      <c r="C1441" s="149"/>
      <c r="D1441" s="149"/>
      <c r="E1441" s="149"/>
      <c r="F1441" s="149" t="s">
        <v>1755</v>
      </c>
    </row>
    <row r="1442" spans="2:6">
      <c r="B1442" s="78" t="s">
        <v>3209</v>
      </c>
      <c r="C1442" s="81"/>
      <c r="D1442" s="81"/>
      <c r="E1442" s="81"/>
      <c r="F1442" s="149" t="s">
        <v>1756</v>
      </c>
    </row>
    <row r="1443" spans="2:6">
      <c r="B1443" s="78" t="s">
        <v>3210</v>
      </c>
      <c r="C1443" s="81"/>
      <c r="D1443" s="81"/>
      <c r="E1443" s="81"/>
      <c r="F1443" s="149" t="s">
        <v>1757</v>
      </c>
    </row>
    <row r="1444" spans="2:6">
      <c r="B1444" s="78" t="s">
        <v>3211</v>
      </c>
      <c r="C1444" s="81"/>
      <c r="D1444" s="81"/>
      <c r="E1444" s="81"/>
      <c r="F1444" s="149" t="s">
        <v>1758</v>
      </c>
    </row>
    <row r="1445" spans="2:6">
      <c r="B1445" s="78" t="s">
        <v>2392</v>
      </c>
      <c r="C1445" s="81"/>
      <c r="D1445" s="81"/>
      <c r="E1445" s="81"/>
      <c r="F1445" s="149" t="s">
        <v>1759</v>
      </c>
    </row>
    <row r="1446" spans="2:6">
      <c r="B1446" s="78" t="s">
        <v>3212</v>
      </c>
      <c r="C1446" s="81"/>
      <c r="D1446" s="81"/>
      <c r="E1446" s="81"/>
      <c r="F1446" s="149" t="s">
        <v>1760</v>
      </c>
    </row>
    <row r="1447" spans="2:6">
      <c r="B1447" s="78" t="s">
        <v>3213</v>
      </c>
      <c r="C1447" s="81"/>
      <c r="D1447" s="81"/>
      <c r="E1447" s="81"/>
      <c r="F1447" s="81" t="s">
        <v>1761</v>
      </c>
    </row>
    <row r="1448" spans="2:6">
      <c r="B1448" s="78"/>
      <c r="C1448" s="81"/>
      <c r="D1448" s="81" t="s">
        <v>1762</v>
      </c>
      <c r="E1448" s="81"/>
      <c r="F1448" s="81"/>
    </row>
    <row r="1449" spans="2:6">
      <c r="B1449" s="78"/>
      <c r="C1449" s="81"/>
      <c r="D1449" s="81"/>
      <c r="E1449" s="81" t="s">
        <v>1763</v>
      </c>
      <c r="F1449" s="81"/>
    </row>
    <row r="1450" spans="2:6">
      <c r="B1450" s="78" t="s">
        <v>2393</v>
      </c>
      <c r="C1450" s="81"/>
      <c r="D1450" s="81"/>
      <c r="E1450" s="81"/>
      <c r="F1450" s="81" t="s">
        <v>401</v>
      </c>
    </row>
    <row r="1451" spans="2:6">
      <c r="B1451" s="78" t="s">
        <v>3214</v>
      </c>
      <c r="C1451" s="81"/>
      <c r="D1451" s="81"/>
      <c r="E1451" s="81"/>
      <c r="F1451" s="81" t="s">
        <v>1606</v>
      </c>
    </row>
    <row r="1452" spans="2:6">
      <c r="B1452" s="78" t="s">
        <v>2394</v>
      </c>
      <c r="C1452" s="81"/>
      <c r="D1452" s="81"/>
      <c r="E1452" s="81"/>
      <c r="F1452" s="81" t="s">
        <v>403</v>
      </c>
    </row>
    <row r="1453" spans="2:6">
      <c r="B1453" s="78"/>
      <c r="C1453" s="81"/>
      <c r="D1453" s="81"/>
      <c r="E1453" s="81" t="s">
        <v>1764</v>
      </c>
      <c r="F1453" s="81"/>
    </row>
    <row r="1454" spans="2:6">
      <c r="B1454" s="78" t="s">
        <v>3215</v>
      </c>
      <c r="C1454" s="81"/>
      <c r="D1454" s="81"/>
      <c r="E1454" s="81"/>
      <c r="F1454" s="81" t="s">
        <v>1765</v>
      </c>
    </row>
    <row r="1455" spans="2:6">
      <c r="B1455" s="78" t="s">
        <v>3216</v>
      </c>
      <c r="C1455" s="81"/>
      <c r="D1455" s="81"/>
      <c r="E1455" s="81"/>
      <c r="F1455" s="81" t="s">
        <v>1766</v>
      </c>
    </row>
    <row r="1456" spans="2:6">
      <c r="B1456" s="78" t="s">
        <v>3217</v>
      </c>
      <c r="C1456" s="81"/>
      <c r="D1456" s="81"/>
      <c r="E1456" s="81"/>
      <c r="F1456" s="81" t="s">
        <v>1767</v>
      </c>
    </row>
    <row r="1457" spans="2:6">
      <c r="B1457" s="78" t="s">
        <v>3218</v>
      </c>
      <c r="C1457" s="81"/>
      <c r="D1457" s="81"/>
      <c r="E1457" s="81"/>
      <c r="F1457" s="81" t="s">
        <v>1768</v>
      </c>
    </row>
    <row r="1458" spans="2:6">
      <c r="B1458" s="78"/>
      <c r="C1458" s="81"/>
      <c r="D1458" s="81"/>
      <c r="E1458" s="81" t="s">
        <v>1769</v>
      </c>
      <c r="F1458" s="81"/>
    </row>
    <row r="1459" spans="2:6">
      <c r="B1459" s="78" t="s">
        <v>2395</v>
      </c>
      <c r="C1459" s="81"/>
      <c r="D1459" s="81"/>
      <c r="E1459" s="81"/>
      <c r="F1459" s="81" t="s">
        <v>1769</v>
      </c>
    </row>
    <row r="1460" spans="2:6">
      <c r="B1460" s="78"/>
      <c r="C1460" s="81"/>
      <c r="D1460" s="81"/>
      <c r="E1460" s="81" t="s">
        <v>1770</v>
      </c>
      <c r="F1460" s="81"/>
    </row>
    <row r="1461" spans="2:6">
      <c r="B1461" s="78" t="s">
        <v>3219</v>
      </c>
      <c r="C1461" s="81"/>
      <c r="D1461" s="81"/>
      <c r="E1461" s="81"/>
      <c r="F1461" s="81" t="s">
        <v>1771</v>
      </c>
    </row>
    <row r="1462" spans="2:6">
      <c r="B1462" s="78" t="s">
        <v>2396</v>
      </c>
      <c r="C1462" s="81"/>
      <c r="D1462" s="81"/>
      <c r="E1462" s="81"/>
      <c r="F1462" s="81" t="s">
        <v>1772</v>
      </c>
    </row>
    <row r="1463" spans="2:6">
      <c r="B1463" s="78" t="s">
        <v>3220</v>
      </c>
      <c r="C1463" s="81"/>
      <c r="D1463" s="81"/>
      <c r="E1463" s="81"/>
      <c r="F1463" s="81" t="s">
        <v>1773</v>
      </c>
    </row>
    <row r="1464" spans="2:6">
      <c r="B1464" s="78" t="s">
        <v>2397</v>
      </c>
      <c r="C1464" s="81"/>
      <c r="D1464" s="81"/>
      <c r="E1464" s="81"/>
      <c r="F1464" s="81" t="s">
        <v>1774</v>
      </c>
    </row>
    <row r="1465" spans="2:6">
      <c r="B1465" s="78"/>
      <c r="C1465" s="81"/>
      <c r="D1465" s="81" t="s">
        <v>1775</v>
      </c>
      <c r="E1465" s="81"/>
      <c r="F1465" s="81"/>
    </row>
    <row r="1466" spans="2:6">
      <c r="B1466" s="78"/>
      <c r="C1466" s="81"/>
      <c r="D1466" s="81"/>
      <c r="E1466" s="81" t="s">
        <v>1776</v>
      </c>
      <c r="F1466" s="81"/>
    </row>
    <row r="1467" spans="2:6">
      <c r="B1467" s="78" t="s">
        <v>3221</v>
      </c>
      <c r="C1467" s="81"/>
      <c r="D1467" s="81"/>
      <c r="E1467" s="81"/>
      <c r="F1467" s="81" t="s">
        <v>401</v>
      </c>
    </row>
    <row r="1468" spans="2:6">
      <c r="B1468" s="78" t="s">
        <v>3222</v>
      </c>
      <c r="C1468" s="81"/>
      <c r="D1468" s="81"/>
      <c r="E1468" s="81"/>
      <c r="F1468" s="81" t="s">
        <v>1606</v>
      </c>
    </row>
    <row r="1469" spans="2:6">
      <c r="B1469" s="78" t="s">
        <v>3223</v>
      </c>
      <c r="C1469" s="81"/>
      <c r="D1469" s="81"/>
      <c r="E1469" s="81"/>
      <c r="F1469" s="81" t="s">
        <v>403</v>
      </c>
    </row>
    <row r="1470" spans="2:6">
      <c r="B1470" s="78"/>
      <c r="C1470" s="81"/>
      <c r="D1470" s="81"/>
      <c r="E1470" s="81" t="s">
        <v>1777</v>
      </c>
      <c r="F1470" s="81"/>
    </row>
    <row r="1471" spans="2:6">
      <c r="B1471" s="78" t="s">
        <v>3224</v>
      </c>
      <c r="C1471" s="81"/>
      <c r="D1471" s="81"/>
      <c r="E1471" s="81"/>
      <c r="F1471" s="81" t="s">
        <v>1778</v>
      </c>
    </row>
    <row r="1472" spans="2:6">
      <c r="B1472" s="78" t="s">
        <v>2398</v>
      </c>
      <c r="C1472" s="81"/>
      <c r="D1472" s="81"/>
      <c r="E1472" s="81"/>
      <c r="F1472" s="81" t="s">
        <v>1779</v>
      </c>
    </row>
    <row r="1473" spans="2:6">
      <c r="B1473" s="78" t="s">
        <v>3225</v>
      </c>
      <c r="C1473" s="81"/>
      <c r="D1473" s="81"/>
      <c r="E1473" s="81"/>
      <c r="F1473" s="81" t="s">
        <v>1780</v>
      </c>
    </row>
    <row r="1474" spans="2:6">
      <c r="B1474" s="78" t="s">
        <v>3226</v>
      </c>
      <c r="C1474" s="81"/>
      <c r="D1474" s="81"/>
      <c r="E1474" s="81"/>
      <c r="F1474" s="81" t="s">
        <v>1781</v>
      </c>
    </row>
    <row r="1475" spans="2:6">
      <c r="B1475" s="78"/>
      <c r="C1475" s="81"/>
      <c r="D1475" s="81"/>
      <c r="E1475" s="81" t="s">
        <v>1782</v>
      </c>
      <c r="F1475" s="81"/>
    </row>
    <row r="1476" spans="2:6">
      <c r="B1476" s="78" t="s">
        <v>3227</v>
      </c>
      <c r="C1476" s="81"/>
      <c r="D1476" s="81"/>
      <c r="E1476" s="81"/>
      <c r="F1476" s="81" t="s">
        <v>1783</v>
      </c>
    </row>
    <row r="1477" spans="2:6">
      <c r="B1477" s="78" t="s">
        <v>3228</v>
      </c>
      <c r="C1477" s="81"/>
      <c r="D1477" s="81"/>
      <c r="E1477" s="81"/>
      <c r="F1477" s="81" t="s">
        <v>1784</v>
      </c>
    </row>
    <row r="1478" spans="2:6">
      <c r="B1478" s="78" t="s">
        <v>3229</v>
      </c>
      <c r="C1478" s="81"/>
      <c r="D1478" s="81"/>
      <c r="E1478" s="81"/>
      <c r="F1478" s="81" t="s">
        <v>1785</v>
      </c>
    </row>
    <row r="1479" spans="2:6">
      <c r="B1479" s="78" t="s">
        <v>2399</v>
      </c>
      <c r="C1479" s="81"/>
      <c r="D1479" s="81"/>
      <c r="E1479" s="81"/>
      <c r="F1479" s="81" t="s">
        <v>1786</v>
      </c>
    </row>
    <row r="1480" spans="2:6">
      <c r="B1480" s="78"/>
      <c r="C1480" s="81"/>
      <c r="D1480" s="81"/>
      <c r="E1480" s="81" t="s">
        <v>1787</v>
      </c>
      <c r="F1480" s="81"/>
    </row>
    <row r="1481" spans="2:6">
      <c r="B1481" s="78" t="s">
        <v>2400</v>
      </c>
      <c r="C1481" s="81"/>
      <c r="D1481" s="81"/>
      <c r="E1481" s="81"/>
      <c r="F1481" s="149" t="s">
        <v>3685</v>
      </c>
    </row>
    <row r="1482" spans="2:6">
      <c r="B1482" s="78" t="s">
        <v>3230</v>
      </c>
      <c r="C1482" s="81"/>
      <c r="D1482" s="81"/>
      <c r="E1482" s="81"/>
      <c r="F1482" s="149" t="s">
        <v>3686</v>
      </c>
    </row>
    <row r="1483" spans="2:6">
      <c r="B1483" s="78" t="s">
        <v>3231</v>
      </c>
      <c r="C1483" s="81"/>
      <c r="D1483" s="81"/>
      <c r="E1483" s="81"/>
      <c r="F1483" s="149" t="s">
        <v>1789</v>
      </c>
    </row>
    <row r="1484" spans="2:6">
      <c r="B1484" s="78"/>
      <c r="C1484" s="81"/>
      <c r="D1484" s="81"/>
      <c r="E1484" s="81" t="s">
        <v>1790</v>
      </c>
      <c r="F1484" s="81"/>
    </row>
    <row r="1485" spans="2:6">
      <c r="B1485" s="78" t="s">
        <v>3232</v>
      </c>
      <c r="C1485" s="81"/>
      <c r="D1485" s="81"/>
      <c r="E1485" s="81"/>
      <c r="F1485" s="81" t="s">
        <v>1791</v>
      </c>
    </row>
    <row r="1486" spans="2:6">
      <c r="B1486" s="78" t="s">
        <v>3233</v>
      </c>
      <c r="C1486" s="81"/>
      <c r="D1486" s="81"/>
      <c r="E1486" s="81"/>
      <c r="F1486" s="81" t="s">
        <v>1792</v>
      </c>
    </row>
    <row r="1487" spans="2:6">
      <c r="B1487" s="78" t="s">
        <v>3234</v>
      </c>
      <c r="C1487" s="81"/>
      <c r="D1487" s="81"/>
      <c r="E1487" s="81"/>
      <c r="F1487" s="81" t="s">
        <v>1793</v>
      </c>
    </row>
    <row r="1488" spans="2:6">
      <c r="B1488" s="78"/>
      <c r="C1488" s="81"/>
      <c r="D1488" s="81"/>
      <c r="E1488" s="81" t="s">
        <v>1794</v>
      </c>
      <c r="F1488" s="81"/>
    </row>
    <row r="1489" spans="2:6">
      <c r="B1489" s="78" t="s">
        <v>3235</v>
      </c>
      <c r="C1489" s="81"/>
      <c r="D1489" s="81"/>
      <c r="E1489" s="81"/>
      <c r="F1489" s="81" t="s">
        <v>1795</v>
      </c>
    </row>
    <row r="1490" spans="2:6">
      <c r="B1490" s="78" t="s">
        <v>3236</v>
      </c>
      <c r="C1490" s="81"/>
      <c r="D1490" s="81"/>
      <c r="E1490" s="81"/>
      <c r="F1490" s="81" t="s">
        <v>1796</v>
      </c>
    </row>
    <row r="1491" spans="2:6">
      <c r="B1491" s="78"/>
      <c r="C1491" s="81"/>
      <c r="D1491" s="81"/>
      <c r="E1491" s="81" t="s">
        <v>1797</v>
      </c>
      <c r="F1491" s="81"/>
    </row>
    <row r="1492" spans="2:6">
      <c r="B1492" s="78" t="s">
        <v>3237</v>
      </c>
      <c r="C1492" s="81"/>
      <c r="D1492" s="81"/>
      <c r="E1492" s="81"/>
      <c r="F1492" s="81" t="s">
        <v>1798</v>
      </c>
    </row>
    <row r="1493" spans="2:6">
      <c r="B1493" s="78" t="s">
        <v>3238</v>
      </c>
      <c r="C1493" s="81"/>
      <c r="D1493" s="81"/>
      <c r="E1493" s="81"/>
      <c r="F1493" s="81" t="s">
        <v>1799</v>
      </c>
    </row>
    <row r="1494" spans="2:6">
      <c r="B1494" s="78" t="s">
        <v>3239</v>
      </c>
      <c r="C1494" s="81"/>
      <c r="D1494" s="81"/>
      <c r="E1494" s="81"/>
      <c r="F1494" s="81" t="s">
        <v>1800</v>
      </c>
    </row>
    <row r="1495" spans="2:6">
      <c r="B1495" s="78" t="s">
        <v>3240</v>
      </c>
      <c r="C1495" s="81"/>
      <c r="D1495" s="81"/>
      <c r="E1495" s="81"/>
      <c r="F1495" s="81" t="s">
        <v>1801</v>
      </c>
    </row>
    <row r="1496" spans="2:6">
      <c r="B1496" s="78"/>
      <c r="C1496" s="81"/>
      <c r="D1496" s="81"/>
      <c r="E1496" s="81" t="s">
        <v>1802</v>
      </c>
      <c r="F1496" s="81"/>
    </row>
    <row r="1497" spans="2:6">
      <c r="B1497" s="78" t="s">
        <v>2401</v>
      </c>
      <c r="C1497" s="81"/>
      <c r="D1497" s="81"/>
      <c r="E1497" s="81"/>
      <c r="F1497" s="81" t="s">
        <v>1803</v>
      </c>
    </row>
    <row r="1498" spans="2:6">
      <c r="B1498" s="78" t="s">
        <v>3241</v>
      </c>
      <c r="C1498" s="81"/>
      <c r="D1498" s="81"/>
      <c r="E1498" s="81"/>
      <c r="F1498" s="81" t="s">
        <v>1804</v>
      </c>
    </row>
    <row r="1499" spans="2:6">
      <c r="B1499" s="78" t="s">
        <v>3242</v>
      </c>
      <c r="C1499" s="81"/>
      <c r="D1499" s="81"/>
      <c r="E1499" s="81"/>
      <c r="F1499" s="81" t="s">
        <v>1805</v>
      </c>
    </row>
    <row r="1500" spans="2:6">
      <c r="B1500" s="78"/>
      <c r="C1500" s="81"/>
      <c r="D1500" s="81"/>
      <c r="E1500" s="81" t="s">
        <v>1806</v>
      </c>
      <c r="F1500" s="81"/>
    </row>
    <row r="1501" spans="2:6">
      <c r="B1501" s="78" t="s">
        <v>3243</v>
      </c>
      <c r="C1501" s="81"/>
      <c r="D1501" s="81"/>
      <c r="E1501" s="81"/>
      <c r="F1501" s="81" t="s">
        <v>1807</v>
      </c>
    </row>
    <row r="1502" spans="2:6">
      <c r="B1502" s="78" t="s">
        <v>3244</v>
      </c>
      <c r="C1502" s="81"/>
      <c r="D1502" s="81"/>
      <c r="E1502" s="81"/>
      <c r="F1502" s="81" t="s">
        <v>1808</v>
      </c>
    </row>
    <row r="1503" spans="2:6">
      <c r="B1503" s="78"/>
      <c r="C1503" s="81"/>
      <c r="D1503" s="81"/>
      <c r="E1503" s="81" t="s">
        <v>1809</v>
      </c>
      <c r="F1503" s="81"/>
    </row>
    <row r="1504" spans="2:6">
      <c r="B1504" s="78" t="s">
        <v>3245</v>
      </c>
      <c r="C1504" s="81"/>
      <c r="D1504" s="81"/>
      <c r="E1504" s="81"/>
      <c r="F1504" s="149" t="s">
        <v>1811</v>
      </c>
    </row>
    <row r="1505" spans="2:6">
      <c r="B1505" s="78" t="s">
        <v>3246</v>
      </c>
      <c r="C1505" s="81"/>
      <c r="D1505" s="81"/>
      <c r="E1505" s="81"/>
      <c r="F1505" s="149" t="s">
        <v>1812</v>
      </c>
    </row>
    <row r="1506" spans="2:6">
      <c r="B1506" s="78" t="s">
        <v>2402</v>
      </c>
      <c r="C1506" s="81"/>
      <c r="D1506" s="81"/>
      <c r="E1506" s="81"/>
      <c r="F1506" s="149" t="s">
        <v>1813</v>
      </c>
    </row>
    <row r="1507" spans="2:6">
      <c r="B1507" s="78" t="s">
        <v>3247</v>
      </c>
      <c r="C1507" s="81"/>
      <c r="D1507" s="81"/>
      <c r="E1507" s="81"/>
      <c r="F1507" s="149" t="s">
        <v>1814</v>
      </c>
    </row>
    <row r="1508" spans="2:6">
      <c r="B1508" s="78" t="s">
        <v>3248</v>
      </c>
      <c r="C1508" s="81"/>
      <c r="D1508" s="81"/>
      <c r="E1508" s="81"/>
      <c r="F1508" s="149" t="s">
        <v>1815</v>
      </c>
    </row>
    <row r="1509" spans="2:6">
      <c r="B1509" s="78" t="s">
        <v>3249</v>
      </c>
      <c r="C1509" s="81"/>
      <c r="D1509" s="81"/>
      <c r="E1509" s="81"/>
      <c r="F1509" s="149" t="s">
        <v>1816</v>
      </c>
    </row>
    <row r="1510" spans="2:6">
      <c r="B1510" s="78" t="s">
        <v>3250</v>
      </c>
      <c r="C1510" s="81"/>
      <c r="D1510" s="81"/>
      <c r="E1510" s="81"/>
      <c r="F1510" s="149" t="s">
        <v>1817</v>
      </c>
    </row>
    <row r="1511" spans="2:6">
      <c r="B1511" s="78" t="s">
        <v>2403</v>
      </c>
      <c r="C1511" s="81"/>
      <c r="D1511" s="81"/>
      <c r="E1511" s="81"/>
      <c r="F1511" s="81" t="s">
        <v>1818</v>
      </c>
    </row>
    <row r="1512" spans="2:6">
      <c r="B1512" s="78"/>
      <c r="C1512" s="81"/>
      <c r="D1512" s="81" t="s">
        <v>1819</v>
      </c>
      <c r="E1512" s="81"/>
      <c r="F1512" s="81"/>
    </row>
    <row r="1513" spans="2:6">
      <c r="B1513" s="78"/>
      <c r="C1513" s="81"/>
      <c r="D1513" s="81"/>
      <c r="E1513" s="81" t="s">
        <v>1820</v>
      </c>
      <c r="F1513" s="81"/>
    </row>
    <row r="1514" spans="2:6">
      <c r="B1514" s="78" t="s">
        <v>2404</v>
      </c>
      <c r="C1514" s="81"/>
      <c r="D1514" s="81"/>
      <c r="E1514" s="81"/>
      <c r="F1514" s="81" t="s">
        <v>401</v>
      </c>
    </row>
    <row r="1515" spans="2:6">
      <c r="B1515" s="78" t="s">
        <v>3251</v>
      </c>
      <c r="C1515" s="81"/>
      <c r="D1515" s="81"/>
      <c r="E1515" s="81"/>
      <c r="F1515" s="81" t="s">
        <v>1606</v>
      </c>
    </row>
    <row r="1516" spans="2:6">
      <c r="B1516" s="78" t="s">
        <v>3252</v>
      </c>
      <c r="C1516" s="81"/>
      <c r="D1516" s="81"/>
      <c r="E1516" s="81"/>
      <c r="F1516" s="81" t="s">
        <v>403</v>
      </c>
    </row>
    <row r="1517" spans="2:6">
      <c r="B1517" s="78"/>
      <c r="C1517" s="81"/>
      <c r="D1517" s="81"/>
      <c r="E1517" s="81" t="s">
        <v>1821</v>
      </c>
      <c r="F1517" s="81"/>
    </row>
    <row r="1518" spans="2:6">
      <c r="B1518" s="78" t="s">
        <v>2405</v>
      </c>
      <c r="C1518" s="81"/>
      <c r="D1518" s="81"/>
      <c r="E1518" s="81"/>
      <c r="F1518" s="81" t="s">
        <v>1822</v>
      </c>
    </row>
    <row r="1519" spans="2:6">
      <c r="B1519" s="78" t="s">
        <v>2406</v>
      </c>
      <c r="C1519" s="81"/>
      <c r="D1519" s="81"/>
      <c r="E1519" s="81"/>
      <c r="F1519" s="81" t="s">
        <v>1823</v>
      </c>
    </row>
    <row r="1520" spans="2:6">
      <c r="B1520" s="78" t="s">
        <v>3253</v>
      </c>
      <c r="C1520" s="81"/>
      <c r="D1520" s="81"/>
      <c r="E1520" s="81"/>
      <c r="F1520" s="81" t="s">
        <v>1824</v>
      </c>
    </row>
    <row r="1521" spans="2:6">
      <c r="B1521" s="78" t="s">
        <v>3254</v>
      </c>
      <c r="C1521" s="81"/>
      <c r="D1521" s="81"/>
      <c r="E1521" s="81"/>
      <c r="F1521" s="81" t="s">
        <v>1825</v>
      </c>
    </row>
    <row r="1522" spans="2:6">
      <c r="B1522" s="78" t="s">
        <v>3255</v>
      </c>
      <c r="C1522" s="81"/>
      <c r="D1522" s="81"/>
      <c r="E1522" s="81"/>
      <c r="F1522" s="81" t="s">
        <v>1826</v>
      </c>
    </row>
    <row r="1523" spans="2:6">
      <c r="B1523" s="78"/>
      <c r="C1523" s="81"/>
      <c r="D1523" s="81"/>
      <c r="E1523" s="81" t="s">
        <v>1827</v>
      </c>
      <c r="F1523" s="81"/>
    </row>
    <row r="1524" spans="2:6">
      <c r="B1524" s="78" t="s">
        <v>3256</v>
      </c>
      <c r="C1524" s="81"/>
      <c r="D1524" s="81"/>
      <c r="E1524" s="81"/>
      <c r="F1524" s="81" t="s">
        <v>1827</v>
      </c>
    </row>
    <row r="1525" spans="2:6">
      <c r="B1525" s="78"/>
      <c r="C1525" s="81"/>
      <c r="D1525" s="81"/>
      <c r="E1525" s="81" t="s">
        <v>1828</v>
      </c>
      <c r="F1525" s="81"/>
    </row>
    <row r="1526" spans="2:6">
      <c r="B1526" s="78" t="s">
        <v>3257</v>
      </c>
      <c r="C1526" s="81"/>
      <c r="D1526" s="81"/>
      <c r="E1526" s="81"/>
      <c r="F1526" s="81" t="s">
        <v>1828</v>
      </c>
    </row>
    <row r="1527" spans="2:6">
      <c r="B1527" s="78"/>
      <c r="C1527" s="81" t="s">
        <v>1829</v>
      </c>
      <c r="D1527" s="81"/>
      <c r="E1527" s="81"/>
      <c r="F1527" s="81"/>
    </row>
    <row r="1528" spans="2:6">
      <c r="B1528" s="78"/>
      <c r="C1528" s="81"/>
      <c r="D1528" s="81" t="s">
        <v>1830</v>
      </c>
      <c r="E1528" s="81"/>
      <c r="F1528" s="81"/>
    </row>
    <row r="1529" spans="2:6">
      <c r="B1529" s="78"/>
      <c r="C1529" s="81"/>
      <c r="D1529" s="81"/>
      <c r="E1529" s="81" t="s">
        <v>1831</v>
      </c>
      <c r="F1529" s="81"/>
    </row>
    <row r="1530" spans="2:6">
      <c r="B1530" s="78" t="s">
        <v>3258</v>
      </c>
      <c r="C1530" s="81"/>
      <c r="D1530" s="81"/>
      <c r="E1530" s="81"/>
      <c r="F1530" s="81" t="s">
        <v>401</v>
      </c>
    </row>
    <row r="1531" spans="2:6">
      <c r="B1531" s="78" t="s">
        <v>3259</v>
      </c>
      <c r="C1531" s="81"/>
      <c r="D1531" s="81"/>
      <c r="E1531" s="81"/>
      <c r="F1531" s="81" t="s">
        <v>403</v>
      </c>
    </row>
    <row r="1532" spans="2:6">
      <c r="B1532" s="78"/>
      <c r="C1532" s="81"/>
      <c r="D1532" s="81"/>
      <c r="E1532" s="81" t="s">
        <v>1832</v>
      </c>
      <c r="F1532" s="81"/>
    </row>
    <row r="1533" spans="2:6">
      <c r="B1533" s="78" t="s">
        <v>3260</v>
      </c>
      <c r="C1533" s="81"/>
      <c r="D1533" s="81"/>
      <c r="E1533" s="81"/>
      <c r="F1533" s="81" t="s">
        <v>1832</v>
      </c>
    </row>
    <row r="1534" spans="2:6">
      <c r="B1534" s="78"/>
      <c r="C1534" s="81"/>
      <c r="D1534" s="81"/>
      <c r="E1534" s="81" t="s">
        <v>1833</v>
      </c>
      <c r="F1534" s="81"/>
    </row>
    <row r="1535" spans="2:6">
      <c r="B1535" s="78" t="s">
        <v>3261</v>
      </c>
      <c r="C1535" s="81"/>
      <c r="D1535" s="81"/>
      <c r="E1535" s="81"/>
      <c r="F1535" s="81" t="s">
        <v>1834</v>
      </c>
    </row>
    <row r="1536" spans="2:6">
      <c r="B1536" s="78" t="s">
        <v>2459</v>
      </c>
      <c r="C1536" s="81"/>
      <c r="D1536" s="81"/>
      <c r="E1536" s="81"/>
      <c r="F1536" s="81" t="s">
        <v>1835</v>
      </c>
    </row>
    <row r="1537" spans="2:6">
      <c r="B1537" s="78" t="s">
        <v>3262</v>
      </c>
      <c r="C1537" s="81"/>
      <c r="D1537" s="81"/>
      <c r="E1537" s="81"/>
      <c r="F1537" s="81" t="s">
        <v>1836</v>
      </c>
    </row>
    <row r="1538" spans="2:6">
      <c r="B1538" s="78" t="s">
        <v>3263</v>
      </c>
      <c r="C1538" s="81"/>
      <c r="D1538" s="81"/>
      <c r="E1538" s="81"/>
      <c r="F1538" s="81" t="s">
        <v>1837</v>
      </c>
    </row>
    <row r="1539" spans="2:6">
      <c r="B1539" s="78"/>
      <c r="C1539" s="81"/>
      <c r="D1539" s="81" t="s">
        <v>1838</v>
      </c>
      <c r="E1539" s="81"/>
      <c r="F1539" s="81"/>
    </row>
    <row r="1540" spans="2:6">
      <c r="B1540" s="78"/>
      <c r="C1540" s="81"/>
      <c r="D1540" s="81"/>
      <c r="E1540" s="81" t="s">
        <v>1839</v>
      </c>
      <c r="F1540" s="81"/>
    </row>
    <row r="1541" spans="2:6">
      <c r="B1541" s="78" t="s">
        <v>3264</v>
      </c>
      <c r="C1541" s="81"/>
      <c r="D1541" s="81"/>
      <c r="E1541" s="81"/>
      <c r="F1541" s="81" t="s">
        <v>401</v>
      </c>
    </row>
    <row r="1542" spans="2:6">
      <c r="B1542" s="78" t="s">
        <v>3265</v>
      </c>
      <c r="C1542" s="81"/>
      <c r="D1542" s="81"/>
      <c r="E1542" s="81"/>
      <c r="F1542" s="81" t="s">
        <v>403</v>
      </c>
    </row>
    <row r="1543" spans="2:6">
      <c r="B1543" s="78"/>
      <c r="C1543" s="81"/>
      <c r="D1543" s="81"/>
      <c r="E1543" s="81" t="s">
        <v>1840</v>
      </c>
      <c r="F1543" s="81"/>
    </row>
    <row r="1544" spans="2:6">
      <c r="B1544" s="78" t="s">
        <v>3266</v>
      </c>
      <c r="C1544" s="81"/>
      <c r="D1544" s="81"/>
      <c r="E1544" s="81"/>
      <c r="F1544" s="81" t="s">
        <v>1841</v>
      </c>
    </row>
    <row r="1545" spans="2:6">
      <c r="B1545" s="78" t="s">
        <v>3267</v>
      </c>
      <c r="C1545" s="81"/>
      <c r="D1545" s="81"/>
      <c r="E1545" s="81"/>
      <c r="F1545" s="81" t="s">
        <v>1842</v>
      </c>
    </row>
    <row r="1546" spans="2:6">
      <c r="B1546" s="78" t="s">
        <v>2407</v>
      </c>
      <c r="C1546" s="81"/>
      <c r="D1546" s="81"/>
      <c r="E1546" s="81"/>
      <c r="F1546" s="81" t="s">
        <v>1843</v>
      </c>
    </row>
    <row r="1547" spans="2:6">
      <c r="B1547" s="78" t="s">
        <v>3268</v>
      </c>
      <c r="C1547" s="81"/>
      <c r="D1547" s="81"/>
      <c r="E1547" s="81"/>
      <c r="F1547" s="81" t="s">
        <v>1844</v>
      </c>
    </row>
    <row r="1548" spans="2:6">
      <c r="B1548" s="78"/>
      <c r="C1548" s="81"/>
      <c r="D1548" s="81"/>
      <c r="E1548" s="81" t="s">
        <v>1845</v>
      </c>
      <c r="F1548" s="81"/>
    </row>
    <row r="1549" spans="2:6">
      <c r="B1549" s="78" t="s">
        <v>3269</v>
      </c>
      <c r="C1549" s="81"/>
      <c r="D1549" s="81"/>
      <c r="E1549" s="81"/>
      <c r="F1549" s="81" t="s">
        <v>1846</v>
      </c>
    </row>
    <row r="1550" spans="2:6">
      <c r="B1550" s="78" t="s">
        <v>3270</v>
      </c>
      <c r="C1550" s="81"/>
      <c r="D1550" s="81"/>
      <c r="E1550" s="81"/>
      <c r="F1550" s="81" t="s">
        <v>1847</v>
      </c>
    </row>
    <row r="1551" spans="2:6">
      <c r="B1551" s="78" t="s">
        <v>2460</v>
      </c>
      <c r="C1551" s="81"/>
      <c r="D1551" s="81"/>
      <c r="E1551" s="81"/>
      <c r="F1551" s="81" t="s">
        <v>1848</v>
      </c>
    </row>
    <row r="1552" spans="2:6">
      <c r="B1552" s="78" t="s">
        <v>3271</v>
      </c>
      <c r="C1552" s="81"/>
      <c r="D1552" s="81"/>
      <c r="E1552" s="81"/>
      <c r="F1552" s="81" t="s">
        <v>1849</v>
      </c>
    </row>
    <row r="1553" spans="2:6">
      <c r="B1553" s="78" t="s">
        <v>3272</v>
      </c>
      <c r="C1553" s="81"/>
      <c r="D1553" s="81"/>
      <c r="E1553" s="81"/>
      <c r="F1553" s="81" t="s">
        <v>1850</v>
      </c>
    </row>
    <row r="1554" spans="2:6">
      <c r="B1554" s="78"/>
      <c r="C1554" s="81"/>
      <c r="D1554" s="81" t="s">
        <v>1851</v>
      </c>
      <c r="E1554" s="81"/>
      <c r="F1554" s="81"/>
    </row>
    <row r="1555" spans="2:6">
      <c r="B1555" s="78"/>
      <c r="C1555" s="81"/>
      <c r="D1555" s="81"/>
      <c r="E1555" s="81" t="s">
        <v>1852</v>
      </c>
      <c r="F1555" s="81"/>
    </row>
    <row r="1556" spans="2:6">
      <c r="B1556" s="78" t="s">
        <v>3273</v>
      </c>
      <c r="C1556" s="81"/>
      <c r="D1556" s="81"/>
      <c r="E1556" s="81"/>
      <c r="F1556" s="81" t="s">
        <v>401</v>
      </c>
    </row>
    <row r="1557" spans="2:6">
      <c r="B1557" s="78" t="s">
        <v>3274</v>
      </c>
      <c r="C1557" s="81"/>
      <c r="D1557" s="81"/>
      <c r="E1557" s="81"/>
      <c r="F1557" s="81" t="s">
        <v>403</v>
      </c>
    </row>
    <row r="1558" spans="2:6">
      <c r="B1558" s="78"/>
      <c r="C1558" s="81"/>
      <c r="D1558" s="81"/>
      <c r="E1558" s="81" t="s">
        <v>1853</v>
      </c>
      <c r="F1558" s="81"/>
    </row>
    <row r="1559" spans="2:6">
      <c r="B1559" s="78" t="s">
        <v>3275</v>
      </c>
      <c r="C1559" s="81"/>
      <c r="D1559" s="81"/>
      <c r="E1559" s="81"/>
      <c r="F1559" s="81" t="s">
        <v>1854</v>
      </c>
    </row>
    <row r="1560" spans="2:6">
      <c r="B1560" s="78" t="s">
        <v>3276</v>
      </c>
      <c r="C1560" s="81"/>
      <c r="D1560" s="81"/>
      <c r="E1560" s="81"/>
      <c r="F1560" s="81" t="s">
        <v>1855</v>
      </c>
    </row>
    <row r="1561" spans="2:6">
      <c r="B1561" s="78"/>
      <c r="C1561" s="81"/>
      <c r="D1561" s="81"/>
      <c r="E1561" s="81" t="s">
        <v>1856</v>
      </c>
      <c r="F1561" s="81"/>
    </row>
    <row r="1562" spans="2:6">
      <c r="B1562" s="78" t="s">
        <v>2408</v>
      </c>
      <c r="C1562" s="81"/>
      <c r="D1562" s="81"/>
      <c r="E1562" s="81"/>
      <c r="F1562" s="81" t="s">
        <v>1856</v>
      </c>
    </row>
    <row r="1563" spans="2:6">
      <c r="B1563" s="78"/>
      <c r="C1563" s="81"/>
      <c r="D1563" s="81"/>
      <c r="E1563" s="81" t="s">
        <v>1857</v>
      </c>
      <c r="F1563" s="81"/>
    </row>
    <row r="1564" spans="2:6">
      <c r="B1564" s="78" t="s">
        <v>3277</v>
      </c>
      <c r="C1564" s="81"/>
      <c r="D1564" s="81"/>
      <c r="E1564" s="81"/>
      <c r="F1564" s="81" t="s">
        <v>1858</v>
      </c>
    </row>
    <row r="1565" spans="2:6">
      <c r="B1565" s="78" t="s">
        <v>2409</v>
      </c>
      <c r="C1565" s="81"/>
      <c r="D1565" s="81"/>
      <c r="E1565" s="81"/>
      <c r="F1565" s="81" t="s">
        <v>1859</v>
      </c>
    </row>
    <row r="1566" spans="2:6">
      <c r="B1566" s="78"/>
      <c r="C1566" s="81"/>
      <c r="D1566" s="81"/>
      <c r="E1566" s="81" t="s">
        <v>1860</v>
      </c>
      <c r="F1566" s="81"/>
    </row>
    <row r="1567" spans="2:6">
      <c r="B1567" s="78" t="s">
        <v>3278</v>
      </c>
      <c r="C1567" s="81"/>
      <c r="D1567" s="81"/>
      <c r="E1567" s="81"/>
      <c r="F1567" s="81" t="s">
        <v>1861</v>
      </c>
    </row>
    <row r="1568" spans="2:6">
      <c r="B1568" s="78" t="s">
        <v>3279</v>
      </c>
      <c r="C1568" s="81"/>
      <c r="D1568" s="81"/>
      <c r="E1568" s="81"/>
      <c r="F1568" s="81" t="s">
        <v>1862</v>
      </c>
    </row>
    <row r="1569" spans="2:6">
      <c r="B1569" s="78" t="s">
        <v>3280</v>
      </c>
      <c r="C1569" s="81"/>
      <c r="D1569" s="81"/>
      <c r="E1569" s="81"/>
      <c r="F1569" s="81" t="s">
        <v>1863</v>
      </c>
    </row>
    <row r="1570" spans="2:6">
      <c r="B1570" s="78" t="s">
        <v>3281</v>
      </c>
      <c r="C1570" s="81"/>
      <c r="D1570" s="81"/>
      <c r="E1570" s="81"/>
      <c r="F1570" s="81" t="s">
        <v>1864</v>
      </c>
    </row>
    <row r="1571" spans="2:6">
      <c r="B1571" s="78"/>
      <c r="C1571" s="81"/>
      <c r="D1571" s="81" t="s">
        <v>1865</v>
      </c>
      <c r="E1571" s="81"/>
      <c r="F1571" s="81"/>
    </row>
    <row r="1572" spans="2:6">
      <c r="B1572" s="78"/>
      <c r="C1572" s="81"/>
      <c r="D1572" s="81"/>
      <c r="E1572" s="81" t="s">
        <v>1866</v>
      </c>
      <c r="F1572" s="81"/>
    </row>
    <row r="1573" spans="2:6">
      <c r="B1573" s="78" t="s">
        <v>2410</v>
      </c>
      <c r="C1573" s="81"/>
      <c r="D1573" s="81"/>
      <c r="E1573" s="81"/>
      <c r="F1573" s="81" t="s">
        <v>401</v>
      </c>
    </row>
    <row r="1574" spans="2:6">
      <c r="B1574" s="78" t="s">
        <v>3282</v>
      </c>
      <c r="C1574" s="81"/>
      <c r="D1574" s="81"/>
      <c r="E1574" s="81"/>
      <c r="F1574" s="81" t="s">
        <v>403</v>
      </c>
    </row>
    <row r="1575" spans="2:6">
      <c r="B1575" s="78"/>
      <c r="C1575" s="81"/>
      <c r="D1575" s="81"/>
      <c r="E1575" s="81" t="s">
        <v>1867</v>
      </c>
      <c r="F1575" s="81"/>
    </row>
    <row r="1576" spans="2:6">
      <c r="B1576" s="78" t="s">
        <v>3283</v>
      </c>
      <c r="C1576" s="81"/>
      <c r="D1576" s="81"/>
      <c r="E1576" s="81"/>
      <c r="F1576" s="81" t="s">
        <v>1868</v>
      </c>
    </row>
    <row r="1577" spans="2:6">
      <c r="B1577" s="78" t="s">
        <v>3284</v>
      </c>
      <c r="C1577" s="81"/>
      <c r="D1577" s="81"/>
      <c r="E1577" s="81"/>
      <c r="F1577" s="81" t="s">
        <v>1869</v>
      </c>
    </row>
    <row r="1578" spans="2:6">
      <c r="B1578" s="78" t="s">
        <v>3285</v>
      </c>
      <c r="C1578" s="81"/>
      <c r="D1578" s="81"/>
      <c r="E1578" s="81"/>
      <c r="F1578" s="81" t="s">
        <v>1870</v>
      </c>
    </row>
    <row r="1579" spans="2:6">
      <c r="B1579" s="78" t="s">
        <v>3286</v>
      </c>
      <c r="C1579" s="81"/>
      <c r="D1579" s="81"/>
      <c r="E1579" s="81"/>
      <c r="F1579" s="81" t="s">
        <v>1871</v>
      </c>
    </row>
    <row r="1580" spans="2:6">
      <c r="B1580" s="78"/>
      <c r="C1580" s="81"/>
      <c r="D1580" s="81"/>
      <c r="E1580" s="81" t="s">
        <v>1872</v>
      </c>
      <c r="F1580" s="81"/>
    </row>
    <row r="1581" spans="2:6">
      <c r="B1581" s="78" t="s">
        <v>3287</v>
      </c>
      <c r="C1581" s="81"/>
      <c r="D1581" s="81"/>
      <c r="E1581" s="81"/>
      <c r="F1581" s="81" t="s">
        <v>1873</v>
      </c>
    </row>
    <row r="1582" spans="2:6">
      <c r="B1582" s="78" t="s">
        <v>3288</v>
      </c>
      <c r="C1582" s="81"/>
      <c r="D1582" s="81"/>
      <c r="E1582" s="81"/>
      <c r="F1582" s="81" t="s">
        <v>1874</v>
      </c>
    </row>
    <row r="1583" spans="2:6">
      <c r="B1583" s="78" t="s">
        <v>2411</v>
      </c>
      <c r="C1583" s="81"/>
      <c r="D1583" s="81"/>
      <c r="E1583" s="81"/>
      <c r="F1583" s="81" t="s">
        <v>1875</v>
      </c>
    </row>
    <row r="1584" spans="2:6">
      <c r="B1584" s="78"/>
      <c r="C1584" s="81"/>
      <c r="D1584" s="81" t="s">
        <v>1876</v>
      </c>
      <c r="E1584" s="81"/>
      <c r="F1584" s="81"/>
    </row>
    <row r="1585" spans="2:6">
      <c r="B1585" s="78"/>
      <c r="C1585" s="81"/>
      <c r="D1585" s="81"/>
      <c r="E1585" s="81" t="s">
        <v>1877</v>
      </c>
      <c r="F1585" s="81"/>
    </row>
    <row r="1586" spans="2:6">
      <c r="B1586" s="78" t="s">
        <v>3289</v>
      </c>
      <c r="C1586" s="81"/>
      <c r="D1586" s="81"/>
      <c r="E1586" s="81"/>
      <c r="F1586" s="81" t="s">
        <v>401</v>
      </c>
    </row>
    <row r="1587" spans="2:6">
      <c r="B1587" s="78" t="s">
        <v>3290</v>
      </c>
      <c r="C1587" s="81"/>
      <c r="D1587" s="81"/>
      <c r="E1587" s="81"/>
      <c r="F1587" s="81" t="s">
        <v>403</v>
      </c>
    </row>
    <row r="1588" spans="2:6">
      <c r="B1588" s="78"/>
      <c r="C1588" s="81"/>
      <c r="D1588" s="81"/>
      <c r="E1588" s="81" t="s">
        <v>1878</v>
      </c>
      <c r="F1588" s="81"/>
    </row>
    <row r="1589" spans="2:6">
      <c r="B1589" s="78" t="s">
        <v>3291</v>
      </c>
      <c r="C1589" s="81"/>
      <c r="D1589" s="81"/>
      <c r="E1589" s="81"/>
      <c r="F1589" s="81" t="s">
        <v>1879</v>
      </c>
    </row>
    <row r="1590" spans="2:6">
      <c r="B1590" s="78" t="s">
        <v>3292</v>
      </c>
      <c r="C1590" s="81"/>
      <c r="D1590" s="81"/>
      <c r="E1590" s="81"/>
      <c r="F1590" s="81" t="s">
        <v>1880</v>
      </c>
    </row>
    <row r="1591" spans="2:6">
      <c r="B1591" s="78" t="s">
        <v>3293</v>
      </c>
      <c r="C1591" s="81"/>
      <c r="D1591" s="81"/>
      <c r="E1591" s="81"/>
      <c r="F1591" s="81" t="s">
        <v>1881</v>
      </c>
    </row>
    <row r="1592" spans="2:6">
      <c r="B1592" s="78" t="s">
        <v>2412</v>
      </c>
      <c r="C1592" s="81"/>
      <c r="D1592" s="81"/>
      <c r="E1592" s="81"/>
      <c r="F1592" s="81" t="s">
        <v>1882</v>
      </c>
    </row>
    <row r="1593" spans="2:6">
      <c r="B1593" s="78" t="s">
        <v>3294</v>
      </c>
      <c r="C1593" s="81"/>
      <c r="D1593" s="81"/>
      <c r="E1593" s="81"/>
      <c r="F1593" s="81" t="s">
        <v>1883</v>
      </c>
    </row>
    <row r="1594" spans="2:6">
      <c r="B1594" s="78" t="s">
        <v>3295</v>
      </c>
      <c r="C1594" s="81"/>
      <c r="D1594" s="81"/>
      <c r="E1594" s="81"/>
      <c r="F1594" s="81" t="s">
        <v>1884</v>
      </c>
    </row>
    <row r="1595" spans="2:6">
      <c r="B1595" s="78" t="s">
        <v>3296</v>
      </c>
      <c r="C1595" s="81"/>
      <c r="D1595" s="81"/>
      <c r="E1595" s="81"/>
      <c r="F1595" s="81" t="s">
        <v>1885</v>
      </c>
    </row>
    <row r="1596" spans="2:6">
      <c r="B1596" s="78" t="s">
        <v>3297</v>
      </c>
      <c r="C1596" s="81"/>
      <c r="D1596" s="81"/>
      <c r="E1596" s="81"/>
      <c r="F1596" s="81" t="s">
        <v>1886</v>
      </c>
    </row>
    <row r="1597" spans="2:6">
      <c r="B1597" s="78" t="s">
        <v>3298</v>
      </c>
      <c r="C1597" s="81"/>
      <c r="D1597" s="81"/>
      <c r="E1597" s="81"/>
      <c r="F1597" s="81" t="s">
        <v>1887</v>
      </c>
    </row>
    <row r="1598" spans="2:6">
      <c r="B1598" s="78"/>
      <c r="C1598" s="81"/>
      <c r="D1598" s="81"/>
      <c r="E1598" s="81" t="s">
        <v>1888</v>
      </c>
      <c r="F1598" s="81"/>
    </row>
    <row r="1599" spans="2:6">
      <c r="B1599" s="78" t="s">
        <v>3299</v>
      </c>
      <c r="C1599" s="81"/>
      <c r="D1599" s="81"/>
      <c r="E1599" s="81"/>
      <c r="F1599" s="81" t="s">
        <v>1889</v>
      </c>
    </row>
    <row r="1600" spans="2:6">
      <c r="B1600" s="78" t="s">
        <v>3300</v>
      </c>
      <c r="C1600" s="81"/>
      <c r="D1600" s="81"/>
      <c r="E1600" s="81"/>
      <c r="F1600" s="81" t="s">
        <v>1890</v>
      </c>
    </row>
    <row r="1601" spans="2:6">
      <c r="B1601" s="78"/>
      <c r="C1601" s="81"/>
      <c r="D1601" s="81"/>
      <c r="E1601" s="81" t="s">
        <v>1891</v>
      </c>
      <c r="F1601" s="81"/>
    </row>
    <row r="1602" spans="2:6">
      <c r="B1602" s="78" t="s">
        <v>3301</v>
      </c>
      <c r="C1602" s="81"/>
      <c r="D1602" s="81"/>
      <c r="E1602" s="81"/>
      <c r="F1602" s="81" t="s">
        <v>1892</v>
      </c>
    </row>
    <row r="1603" spans="2:6">
      <c r="B1603" s="78" t="s">
        <v>3302</v>
      </c>
      <c r="C1603" s="81"/>
      <c r="D1603" s="81"/>
      <c r="E1603" s="81"/>
      <c r="F1603" s="81" t="s">
        <v>1893</v>
      </c>
    </row>
    <row r="1604" spans="2:6">
      <c r="B1604" s="78" t="s">
        <v>3303</v>
      </c>
      <c r="C1604" s="81"/>
      <c r="D1604" s="81"/>
      <c r="E1604" s="81"/>
      <c r="F1604" s="81" t="s">
        <v>1894</v>
      </c>
    </row>
    <row r="1605" spans="2:6">
      <c r="B1605" s="78"/>
      <c r="C1605" s="81"/>
      <c r="D1605" s="81" t="s">
        <v>1895</v>
      </c>
      <c r="E1605" s="81"/>
      <c r="F1605" s="81"/>
    </row>
    <row r="1606" spans="2:6">
      <c r="B1606" s="78"/>
      <c r="C1606" s="81"/>
      <c r="D1606" s="81"/>
      <c r="E1606" s="81" t="s">
        <v>1896</v>
      </c>
      <c r="F1606" s="81"/>
    </row>
    <row r="1607" spans="2:6">
      <c r="B1607" s="78" t="s">
        <v>3304</v>
      </c>
      <c r="C1607" s="81"/>
      <c r="D1607" s="81"/>
      <c r="E1607" s="81"/>
      <c r="F1607" s="81" t="s">
        <v>401</v>
      </c>
    </row>
    <row r="1608" spans="2:6">
      <c r="B1608" s="78" t="s">
        <v>3305</v>
      </c>
      <c r="C1608" s="81"/>
      <c r="D1608" s="81"/>
      <c r="E1608" s="81"/>
      <c r="F1608" s="81" t="s">
        <v>403</v>
      </c>
    </row>
    <row r="1609" spans="2:6">
      <c r="B1609" s="78"/>
      <c r="C1609" s="81"/>
      <c r="D1609" s="81"/>
      <c r="E1609" s="81" t="s">
        <v>1897</v>
      </c>
      <c r="F1609" s="81"/>
    </row>
    <row r="1610" spans="2:6">
      <c r="B1610" s="78" t="s">
        <v>3306</v>
      </c>
      <c r="C1610" s="81"/>
      <c r="D1610" s="81"/>
      <c r="E1610" s="81"/>
      <c r="F1610" s="81" t="s">
        <v>1898</v>
      </c>
    </row>
    <row r="1611" spans="2:6">
      <c r="B1611" s="78" t="s">
        <v>3307</v>
      </c>
      <c r="C1611" s="81"/>
      <c r="D1611" s="81"/>
      <c r="E1611" s="81"/>
      <c r="F1611" s="81" t="s">
        <v>1899</v>
      </c>
    </row>
    <row r="1612" spans="2:6">
      <c r="B1612" s="78" t="s">
        <v>3308</v>
      </c>
      <c r="C1612" s="81"/>
      <c r="D1612" s="81"/>
      <c r="E1612" s="81"/>
      <c r="F1612" s="81" t="s">
        <v>1900</v>
      </c>
    </row>
    <row r="1613" spans="2:6">
      <c r="B1613" s="78" t="s">
        <v>3309</v>
      </c>
      <c r="C1613" s="81"/>
      <c r="D1613" s="81"/>
      <c r="E1613" s="81"/>
      <c r="F1613" s="81" t="s">
        <v>1901</v>
      </c>
    </row>
    <row r="1614" spans="2:6">
      <c r="B1614" s="78"/>
      <c r="C1614" s="81"/>
      <c r="D1614" s="81"/>
      <c r="E1614" s="81" t="s">
        <v>1902</v>
      </c>
      <c r="F1614" s="81"/>
    </row>
    <row r="1615" spans="2:6">
      <c r="B1615" s="78" t="s">
        <v>3310</v>
      </c>
      <c r="C1615" s="81"/>
      <c r="D1615" s="81"/>
      <c r="E1615" s="81"/>
      <c r="F1615" s="81" t="s">
        <v>1903</v>
      </c>
    </row>
    <row r="1616" spans="2:6">
      <c r="B1616" s="78" t="s">
        <v>3311</v>
      </c>
      <c r="C1616" s="81"/>
      <c r="D1616" s="81"/>
      <c r="E1616" s="81"/>
      <c r="F1616" s="81" t="s">
        <v>1904</v>
      </c>
    </row>
    <row r="1617" spans="2:6">
      <c r="B1617" s="78" t="s">
        <v>2413</v>
      </c>
      <c r="C1617" s="81"/>
      <c r="D1617" s="81"/>
      <c r="E1617" s="81"/>
      <c r="F1617" s="81" t="s">
        <v>1905</v>
      </c>
    </row>
    <row r="1618" spans="2:6">
      <c r="B1618" s="78"/>
      <c r="C1618" s="81"/>
      <c r="D1618" s="81"/>
      <c r="E1618" s="81" t="s">
        <v>1906</v>
      </c>
      <c r="F1618" s="81"/>
    </row>
    <row r="1619" spans="2:6">
      <c r="B1619" s="78" t="s">
        <v>2414</v>
      </c>
      <c r="C1619" s="81"/>
      <c r="D1619" s="81"/>
      <c r="E1619" s="81"/>
      <c r="F1619" s="81" t="s">
        <v>1907</v>
      </c>
    </row>
    <row r="1620" spans="2:6">
      <c r="B1620" s="78" t="s">
        <v>3312</v>
      </c>
      <c r="C1620" s="81"/>
      <c r="D1620" s="81"/>
      <c r="E1620" s="81"/>
      <c r="F1620" s="81" t="s">
        <v>1908</v>
      </c>
    </row>
    <row r="1621" spans="2:6">
      <c r="B1621" s="78" t="s">
        <v>3313</v>
      </c>
      <c r="C1621" s="81"/>
      <c r="D1621" s="81"/>
      <c r="E1621" s="81"/>
      <c r="F1621" s="81" t="s">
        <v>1909</v>
      </c>
    </row>
    <row r="1622" spans="2:6">
      <c r="B1622" s="78"/>
      <c r="C1622" s="81"/>
      <c r="D1622" s="81"/>
      <c r="E1622" s="81" t="s">
        <v>1910</v>
      </c>
      <c r="F1622" s="81"/>
    </row>
    <row r="1623" spans="2:6">
      <c r="B1623" s="78" t="s">
        <v>2415</v>
      </c>
      <c r="C1623" s="81"/>
      <c r="D1623" s="81"/>
      <c r="E1623" s="81"/>
      <c r="F1623" s="81" t="s">
        <v>1911</v>
      </c>
    </row>
    <row r="1624" spans="2:6">
      <c r="B1624" s="78" t="s">
        <v>3314</v>
      </c>
      <c r="C1624" s="81"/>
      <c r="D1624" s="81"/>
      <c r="E1624" s="81"/>
      <c r="F1624" s="81" t="s">
        <v>1912</v>
      </c>
    </row>
    <row r="1625" spans="2:6">
      <c r="B1625" s="78" t="s">
        <v>3315</v>
      </c>
      <c r="C1625" s="81"/>
      <c r="D1625" s="81"/>
      <c r="E1625" s="81"/>
      <c r="F1625" s="81" t="s">
        <v>1913</v>
      </c>
    </row>
    <row r="1626" spans="2:6">
      <c r="B1626" s="78"/>
      <c r="C1626" s="81"/>
      <c r="D1626" s="81"/>
      <c r="E1626" s="81" t="s">
        <v>1914</v>
      </c>
      <c r="F1626" s="81"/>
    </row>
    <row r="1627" spans="2:6">
      <c r="B1627" s="78" t="s">
        <v>3316</v>
      </c>
      <c r="C1627" s="81"/>
      <c r="D1627" s="81"/>
      <c r="E1627" s="81"/>
      <c r="F1627" s="81" t="s">
        <v>1915</v>
      </c>
    </row>
    <row r="1628" spans="2:6">
      <c r="B1628" s="78" t="s">
        <v>3317</v>
      </c>
      <c r="C1628" s="81"/>
      <c r="D1628" s="81"/>
      <c r="E1628" s="81"/>
      <c r="F1628" s="81" t="s">
        <v>1916</v>
      </c>
    </row>
    <row r="1629" spans="2:6">
      <c r="B1629" s="78" t="s">
        <v>3318</v>
      </c>
      <c r="C1629" s="81"/>
      <c r="D1629" s="81"/>
      <c r="E1629" s="81"/>
      <c r="F1629" s="81" t="s">
        <v>1917</v>
      </c>
    </row>
    <row r="1630" spans="2:6">
      <c r="B1630" s="78"/>
      <c r="C1630" s="81" t="s">
        <v>1918</v>
      </c>
      <c r="D1630" s="81"/>
      <c r="E1630" s="81"/>
      <c r="F1630" s="81"/>
    </row>
    <row r="1631" spans="2:6">
      <c r="B1631" s="78"/>
      <c r="C1631" s="81"/>
      <c r="D1631" s="81" t="s">
        <v>1919</v>
      </c>
      <c r="E1631" s="81"/>
      <c r="F1631" s="81"/>
    </row>
    <row r="1632" spans="2:6">
      <c r="B1632" s="78"/>
      <c r="C1632" s="81"/>
      <c r="D1632" s="81"/>
      <c r="E1632" s="81" t="s">
        <v>1920</v>
      </c>
      <c r="F1632" s="81"/>
    </row>
    <row r="1633" spans="2:6">
      <c r="B1633" s="78" t="s">
        <v>3319</v>
      </c>
      <c r="C1633" s="81"/>
      <c r="D1633" s="81"/>
      <c r="E1633" s="81"/>
      <c r="F1633" s="81" t="s">
        <v>401</v>
      </c>
    </row>
    <row r="1634" spans="2:6">
      <c r="B1634" s="78" t="s">
        <v>3320</v>
      </c>
      <c r="C1634" s="81"/>
      <c r="D1634" s="81"/>
      <c r="E1634" s="81"/>
      <c r="F1634" s="81" t="s">
        <v>403</v>
      </c>
    </row>
    <row r="1635" spans="2:6">
      <c r="B1635" s="78"/>
      <c r="C1635" s="81"/>
      <c r="D1635" s="81"/>
      <c r="E1635" s="81" t="s">
        <v>1921</v>
      </c>
      <c r="F1635" s="81"/>
    </row>
    <row r="1636" spans="2:6">
      <c r="B1636" s="78" t="s">
        <v>3321</v>
      </c>
      <c r="C1636" s="81"/>
      <c r="D1636" s="81"/>
      <c r="E1636" s="81"/>
      <c r="F1636" s="81" t="s">
        <v>1922</v>
      </c>
    </row>
    <row r="1637" spans="2:6">
      <c r="B1637" s="78" t="s">
        <v>3322</v>
      </c>
      <c r="C1637" s="81"/>
      <c r="D1637" s="81"/>
      <c r="E1637" s="81"/>
      <c r="F1637" s="81" t="s">
        <v>1923</v>
      </c>
    </row>
    <row r="1638" spans="2:6">
      <c r="B1638" s="78"/>
      <c r="C1638" s="81"/>
      <c r="D1638" s="81"/>
      <c r="E1638" s="81" t="s">
        <v>1924</v>
      </c>
      <c r="F1638" s="81"/>
    </row>
    <row r="1639" spans="2:6">
      <c r="B1639" s="78" t="s">
        <v>3323</v>
      </c>
      <c r="C1639" s="81"/>
      <c r="D1639" s="81"/>
      <c r="E1639" s="81"/>
      <c r="F1639" s="81" t="s">
        <v>1924</v>
      </c>
    </row>
    <row r="1640" spans="2:6">
      <c r="B1640" s="78"/>
      <c r="C1640" s="81"/>
      <c r="D1640" s="81" t="s">
        <v>1925</v>
      </c>
      <c r="E1640" s="81"/>
      <c r="F1640" s="81"/>
    </row>
    <row r="1641" spans="2:6">
      <c r="B1641" s="78"/>
      <c r="C1641" s="81"/>
      <c r="D1641" s="81"/>
      <c r="E1641" s="81" t="s">
        <v>1926</v>
      </c>
      <c r="F1641" s="81"/>
    </row>
    <row r="1642" spans="2:6">
      <c r="B1642" s="78" t="s">
        <v>3324</v>
      </c>
      <c r="C1642" s="81"/>
      <c r="D1642" s="81"/>
      <c r="E1642" s="81"/>
      <c r="F1642" s="81" t="s">
        <v>401</v>
      </c>
    </row>
    <row r="1643" spans="2:6">
      <c r="B1643" s="78" t="s">
        <v>3325</v>
      </c>
      <c r="C1643" s="81"/>
      <c r="D1643" s="81"/>
      <c r="E1643" s="81"/>
      <c r="F1643" s="81" t="s">
        <v>403</v>
      </c>
    </row>
    <row r="1644" spans="2:6">
      <c r="B1644" s="78"/>
      <c r="C1644" s="81"/>
      <c r="D1644" s="81"/>
      <c r="E1644" s="81" t="s">
        <v>1927</v>
      </c>
      <c r="F1644" s="81"/>
    </row>
    <row r="1645" spans="2:6">
      <c r="B1645" s="78" t="s">
        <v>3326</v>
      </c>
      <c r="C1645" s="81"/>
      <c r="D1645" s="81"/>
      <c r="E1645" s="81"/>
      <c r="F1645" s="81" t="s">
        <v>1928</v>
      </c>
    </row>
    <row r="1646" spans="2:6">
      <c r="B1646" s="78" t="s">
        <v>3327</v>
      </c>
      <c r="C1646" s="81"/>
      <c r="D1646" s="81"/>
      <c r="E1646" s="81"/>
      <c r="F1646" s="81" t="s">
        <v>1929</v>
      </c>
    </row>
    <row r="1647" spans="2:6">
      <c r="B1647" s="78" t="s">
        <v>3328</v>
      </c>
      <c r="C1647" s="81"/>
      <c r="D1647" s="81"/>
      <c r="E1647" s="81"/>
      <c r="F1647" s="81" t="s">
        <v>1930</v>
      </c>
    </row>
    <row r="1648" spans="2:6">
      <c r="B1648" s="78"/>
      <c r="C1648" s="81"/>
      <c r="D1648" s="81"/>
      <c r="E1648" s="81" t="s">
        <v>1931</v>
      </c>
      <c r="F1648" s="81"/>
    </row>
    <row r="1649" spans="2:6">
      <c r="B1649" s="78" t="s">
        <v>3329</v>
      </c>
      <c r="C1649" s="81"/>
      <c r="D1649" s="81"/>
      <c r="E1649" s="81"/>
      <c r="F1649" s="81" t="s">
        <v>1932</v>
      </c>
    </row>
    <row r="1650" spans="2:6">
      <c r="B1650" s="78" t="s">
        <v>2416</v>
      </c>
      <c r="C1650" s="81"/>
      <c r="D1650" s="81"/>
      <c r="E1650" s="81"/>
      <c r="F1650" s="81" t="s">
        <v>1933</v>
      </c>
    </row>
    <row r="1651" spans="2:6">
      <c r="B1651" s="78"/>
      <c r="C1651" s="81"/>
      <c r="D1651" s="81"/>
      <c r="E1651" s="81" t="s">
        <v>1934</v>
      </c>
      <c r="F1651" s="81"/>
    </row>
    <row r="1652" spans="2:6">
      <c r="B1652" s="78" t="s">
        <v>3330</v>
      </c>
      <c r="C1652" s="81"/>
      <c r="D1652" s="81"/>
      <c r="E1652" s="81"/>
      <c r="F1652" s="81" t="s">
        <v>1934</v>
      </c>
    </row>
    <row r="1653" spans="2:6">
      <c r="B1653" s="78"/>
      <c r="C1653" s="81"/>
      <c r="D1653" s="81"/>
      <c r="E1653" s="81" t="s">
        <v>1935</v>
      </c>
      <c r="F1653" s="81"/>
    </row>
    <row r="1654" spans="2:6">
      <c r="B1654" s="78" t="s">
        <v>3331</v>
      </c>
      <c r="C1654" s="81"/>
      <c r="D1654" s="81"/>
      <c r="E1654" s="81"/>
      <c r="F1654" s="81" t="s">
        <v>1935</v>
      </c>
    </row>
    <row r="1655" spans="2:6">
      <c r="B1655" s="78"/>
      <c r="C1655" s="81"/>
      <c r="D1655" s="81" t="s">
        <v>1936</v>
      </c>
      <c r="E1655" s="81"/>
      <c r="F1655" s="81"/>
    </row>
    <row r="1656" spans="2:6">
      <c r="B1656" s="78"/>
      <c r="C1656" s="81"/>
      <c r="D1656" s="81"/>
      <c r="E1656" s="81" t="s">
        <v>1937</v>
      </c>
      <c r="F1656" s="81"/>
    </row>
    <row r="1657" spans="2:6">
      <c r="B1657" s="78" t="s">
        <v>3332</v>
      </c>
      <c r="C1657" s="81"/>
      <c r="D1657" s="81"/>
      <c r="E1657" s="81"/>
      <c r="F1657" s="81" t="s">
        <v>401</v>
      </c>
    </row>
    <row r="1658" spans="2:6">
      <c r="B1658" s="78" t="s">
        <v>3333</v>
      </c>
      <c r="C1658" s="81"/>
      <c r="D1658" s="81"/>
      <c r="E1658" s="81"/>
      <c r="F1658" s="81" t="s">
        <v>403</v>
      </c>
    </row>
    <row r="1659" spans="2:6">
      <c r="B1659" s="78"/>
      <c r="C1659" s="81"/>
      <c r="D1659" s="81"/>
      <c r="E1659" s="81" t="s">
        <v>1938</v>
      </c>
      <c r="F1659" s="81"/>
    </row>
    <row r="1660" spans="2:6">
      <c r="B1660" s="78" t="s">
        <v>3334</v>
      </c>
      <c r="C1660" s="81"/>
      <c r="D1660" s="81"/>
      <c r="E1660" s="81"/>
      <c r="F1660" s="81" t="s">
        <v>1939</v>
      </c>
    </row>
    <row r="1661" spans="2:6">
      <c r="B1661" s="78" t="s">
        <v>2417</v>
      </c>
      <c r="C1661" s="81"/>
      <c r="D1661" s="81"/>
      <c r="E1661" s="81"/>
      <c r="F1661" s="81" t="s">
        <v>1940</v>
      </c>
    </row>
    <row r="1662" spans="2:6">
      <c r="B1662" s="78"/>
      <c r="C1662" s="81"/>
      <c r="D1662" s="81"/>
      <c r="E1662" s="81" t="s">
        <v>1941</v>
      </c>
      <c r="F1662" s="81"/>
    </row>
    <row r="1663" spans="2:6">
      <c r="B1663" s="78" t="s">
        <v>3335</v>
      </c>
      <c r="C1663" s="81"/>
      <c r="D1663" s="81"/>
      <c r="E1663" s="81"/>
      <c r="F1663" s="81" t="s">
        <v>1942</v>
      </c>
    </row>
    <row r="1664" spans="2:6">
      <c r="B1664" s="78" t="s">
        <v>3336</v>
      </c>
      <c r="C1664" s="81"/>
      <c r="D1664" s="81"/>
      <c r="E1664" s="81"/>
      <c r="F1664" s="81" t="s">
        <v>1943</v>
      </c>
    </row>
    <row r="1665" spans="2:6">
      <c r="B1665" s="78"/>
      <c r="C1665" s="81"/>
      <c r="D1665" s="81"/>
      <c r="E1665" s="81" t="s">
        <v>1944</v>
      </c>
      <c r="F1665" s="81"/>
    </row>
    <row r="1666" spans="2:6">
      <c r="B1666" s="78" t="s">
        <v>3337</v>
      </c>
      <c r="C1666" s="81"/>
      <c r="D1666" s="81"/>
      <c r="E1666" s="81"/>
      <c r="F1666" s="81" t="s">
        <v>1945</v>
      </c>
    </row>
    <row r="1667" spans="2:6">
      <c r="B1667" s="78" t="s">
        <v>3338</v>
      </c>
      <c r="C1667" s="81"/>
      <c r="D1667" s="81"/>
      <c r="E1667" s="81"/>
      <c r="F1667" s="81" t="s">
        <v>1946</v>
      </c>
    </row>
    <row r="1668" spans="2:6">
      <c r="B1668" s="78"/>
      <c r="C1668" s="81"/>
      <c r="D1668" s="81"/>
      <c r="E1668" s="81" t="s">
        <v>1947</v>
      </c>
      <c r="F1668" s="81"/>
    </row>
    <row r="1669" spans="2:6">
      <c r="B1669" s="78" t="s">
        <v>3339</v>
      </c>
      <c r="C1669" s="81"/>
      <c r="D1669" s="81"/>
      <c r="E1669" s="81"/>
      <c r="F1669" s="81" t="s">
        <v>1947</v>
      </c>
    </row>
    <row r="1670" spans="2:6">
      <c r="B1670" s="78"/>
      <c r="C1670" s="81"/>
      <c r="D1670" s="81"/>
      <c r="E1670" s="81" t="s">
        <v>1948</v>
      </c>
      <c r="F1670" s="81"/>
    </row>
    <row r="1671" spans="2:6">
      <c r="B1671" s="78" t="s">
        <v>3340</v>
      </c>
      <c r="C1671" s="81"/>
      <c r="D1671" s="81"/>
      <c r="E1671" s="81"/>
      <c r="F1671" s="81" t="s">
        <v>1948</v>
      </c>
    </row>
    <row r="1672" spans="2:6">
      <c r="B1672" s="78"/>
      <c r="C1672" s="81"/>
      <c r="D1672" s="81"/>
      <c r="E1672" s="81" t="s">
        <v>1949</v>
      </c>
      <c r="F1672" s="81"/>
    </row>
    <row r="1673" spans="2:6">
      <c r="B1673" s="78" t="s">
        <v>2418</v>
      </c>
      <c r="C1673" s="81"/>
      <c r="D1673" s="81"/>
      <c r="E1673" s="81"/>
      <c r="F1673" s="81" t="s">
        <v>1950</v>
      </c>
    </row>
    <row r="1674" spans="2:6">
      <c r="B1674" s="78" t="s">
        <v>3341</v>
      </c>
      <c r="C1674" s="81"/>
      <c r="D1674" s="81"/>
      <c r="E1674" s="81"/>
      <c r="F1674" s="81" t="s">
        <v>1951</v>
      </c>
    </row>
    <row r="1675" spans="2:6">
      <c r="B1675" s="78" t="s">
        <v>3342</v>
      </c>
      <c r="C1675" s="81"/>
      <c r="D1675" s="81"/>
      <c r="E1675" s="81"/>
      <c r="F1675" s="81" t="s">
        <v>1952</v>
      </c>
    </row>
    <row r="1676" spans="2:6">
      <c r="B1676" s="78" t="s">
        <v>3343</v>
      </c>
      <c r="C1676" s="81"/>
      <c r="D1676" s="81"/>
      <c r="E1676" s="81"/>
      <c r="F1676" s="81" t="s">
        <v>1953</v>
      </c>
    </row>
    <row r="1677" spans="2:6">
      <c r="B1677" s="78"/>
      <c r="C1677" s="81" t="s">
        <v>1954</v>
      </c>
      <c r="D1677" s="81"/>
      <c r="E1677" s="81"/>
      <c r="F1677" s="81"/>
    </row>
    <row r="1678" spans="2:6">
      <c r="B1678" s="78"/>
      <c r="C1678" s="81"/>
      <c r="D1678" s="81" t="s">
        <v>1955</v>
      </c>
      <c r="E1678" s="81"/>
      <c r="F1678" s="81"/>
    </row>
    <row r="1679" spans="2:6">
      <c r="B1679" s="78"/>
      <c r="C1679" s="81"/>
      <c r="D1679" s="81"/>
      <c r="E1679" s="81" t="s">
        <v>1956</v>
      </c>
      <c r="F1679" s="81"/>
    </row>
    <row r="1680" spans="2:6">
      <c r="B1680" s="78" t="s">
        <v>3344</v>
      </c>
      <c r="C1680" s="81"/>
      <c r="D1680" s="81"/>
      <c r="E1680" s="81"/>
      <c r="F1680" s="81" t="s">
        <v>1602</v>
      </c>
    </row>
    <row r="1681" spans="2:6">
      <c r="B1681" s="78"/>
      <c r="C1681" s="81"/>
      <c r="D1681" s="81"/>
      <c r="E1681" s="81" t="s">
        <v>1957</v>
      </c>
      <c r="F1681" s="81"/>
    </row>
    <row r="1682" spans="2:6">
      <c r="B1682" s="78" t="s">
        <v>3345</v>
      </c>
      <c r="C1682" s="81"/>
      <c r="D1682" s="81"/>
      <c r="E1682" s="81"/>
      <c r="F1682" s="81" t="s">
        <v>1958</v>
      </c>
    </row>
    <row r="1683" spans="2:6">
      <c r="B1683" s="78" t="s">
        <v>3346</v>
      </c>
      <c r="C1683" s="81"/>
      <c r="D1683" s="81"/>
      <c r="E1683" s="81"/>
      <c r="F1683" s="81" t="s">
        <v>1959</v>
      </c>
    </row>
    <row r="1684" spans="2:6">
      <c r="B1684" s="78" t="s">
        <v>3347</v>
      </c>
      <c r="C1684" s="81"/>
      <c r="D1684" s="81"/>
      <c r="E1684" s="81"/>
      <c r="F1684" s="81" t="s">
        <v>1960</v>
      </c>
    </row>
    <row r="1685" spans="2:6">
      <c r="B1685" s="78" t="s">
        <v>3348</v>
      </c>
      <c r="C1685" s="81"/>
      <c r="D1685" s="81"/>
      <c r="E1685" s="81"/>
      <c r="F1685" s="81" t="s">
        <v>1961</v>
      </c>
    </row>
    <row r="1686" spans="2:6">
      <c r="B1686" s="78"/>
      <c r="C1686" s="81"/>
      <c r="D1686" s="81"/>
      <c r="E1686" s="81" t="s">
        <v>1962</v>
      </c>
      <c r="F1686" s="81"/>
    </row>
    <row r="1687" spans="2:6">
      <c r="B1687" s="78" t="s">
        <v>3349</v>
      </c>
      <c r="C1687" s="81"/>
      <c r="D1687" s="81"/>
      <c r="E1687" s="81"/>
      <c r="F1687" s="81" t="s">
        <v>1962</v>
      </c>
    </row>
    <row r="1688" spans="2:6">
      <c r="B1688" s="78"/>
      <c r="C1688" s="81"/>
      <c r="D1688" s="81" t="s">
        <v>1963</v>
      </c>
      <c r="E1688" s="81"/>
      <c r="F1688" s="81"/>
    </row>
    <row r="1689" spans="2:6">
      <c r="B1689" s="78"/>
      <c r="C1689" s="81"/>
      <c r="D1689" s="81"/>
      <c r="E1689" s="81" t="s">
        <v>1964</v>
      </c>
      <c r="F1689" s="81"/>
    </row>
    <row r="1690" spans="2:6">
      <c r="B1690" s="78" t="s">
        <v>2419</v>
      </c>
      <c r="C1690" s="81"/>
      <c r="D1690" s="81"/>
      <c r="E1690" s="81"/>
      <c r="F1690" s="81" t="s">
        <v>1602</v>
      </c>
    </row>
    <row r="1691" spans="2:6">
      <c r="B1691" s="78"/>
      <c r="C1691" s="81"/>
      <c r="D1691" s="81"/>
      <c r="E1691" s="81" t="s">
        <v>1965</v>
      </c>
      <c r="F1691" s="81"/>
    </row>
    <row r="1692" spans="2:6">
      <c r="B1692" s="78" t="s">
        <v>3350</v>
      </c>
      <c r="C1692" s="81"/>
      <c r="D1692" s="81"/>
      <c r="E1692" s="81"/>
      <c r="F1692" s="81" t="s">
        <v>1966</v>
      </c>
    </row>
    <row r="1693" spans="2:6">
      <c r="B1693" s="78" t="s">
        <v>3351</v>
      </c>
      <c r="C1693" s="81"/>
      <c r="D1693" s="81"/>
      <c r="E1693" s="81"/>
      <c r="F1693" s="81" t="s">
        <v>1967</v>
      </c>
    </row>
    <row r="1694" spans="2:6">
      <c r="B1694" s="78"/>
      <c r="C1694" s="81"/>
      <c r="D1694" s="81"/>
      <c r="E1694" s="81" t="s">
        <v>1968</v>
      </c>
      <c r="F1694" s="81"/>
    </row>
    <row r="1695" spans="2:6">
      <c r="B1695" s="78" t="s">
        <v>3352</v>
      </c>
      <c r="C1695" s="81"/>
      <c r="D1695" s="81"/>
      <c r="E1695" s="81"/>
      <c r="F1695" s="81" t="s">
        <v>1969</v>
      </c>
    </row>
    <row r="1696" spans="2:6">
      <c r="B1696" s="78" t="s">
        <v>3353</v>
      </c>
      <c r="C1696" s="81"/>
      <c r="D1696" s="81"/>
      <c r="E1696" s="81"/>
      <c r="F1696" s="81" t="s">
        <v>1970</v>
      </c>
    </row>
    <row r="1697" spans="2:6">
      <c r="B1697" s="78"/>
      <c r="C1697" s="81"/>
      <c r="D1697" s="81"/>
      <c r="E1697" s="81" t="s">
        <v>1971</v>
      </c>
      <c r="F1697" s="81"/>
    </row>
    <row r="1698" spans="2:6">
      <c r="B1698" s="78" t="s">
        <v>3354</v>
      </c>
      <c r="C1698" s="81"/>
      <c r="D1698" s="81"/>
      <c r="E1698" s="81"/>
      <c r="F1698" s="81" t="s">
        <v>1971</v>
      </c>
    </row>
    <row r="1699" spans="2:6">
      <c r="B1699" s="78"/>
      <c r="C1699" s="81"/>
      <c r="D1699" s="81"/>
      <c r="E1699" s="81" t="s">
        <v>1972</v>
      </c>
      <c r="F1699" s="81"/>
    </row>
    <row r="1700" spans="2:6">
      <c r="B1700" s="78" t="s">
        <v>3355</v>
      </c>
      <c r="C1700" s="81"/>
      <c r="D1700" s="81"/>
      <c r="E1700" s="81"/>
      <c r="F1700" s="81" t="s">
        <v>1973</v>
      </c>
    </row>
    <row r="1701" spans="2:6">
      <c r="B1701" s="78" t="s">
        <v>3356</v>
      </c>
      <c r="C1701" s="81"/>
      <c r="D1701" s="81"/>
      <c r="E1701" s="81"/>
      <c r="F1701" s="81" t="s">
        <v>1974</v>
      </c>
    </row>
    <row r="1702" spans="2:6">
      <c r="B1702" s="78"/>
      <c r="C1702" s="81"/>
      <c r="D1702" s="81"/>
      <c r="E1702" s="81" t="s">
        <v>1975</v>
      </c>
      <c r="F1702" s="81"/>
    </row>
    <row r="1703" spans="2:6">
      <c r="B1703" s="78" t="s">
        <v>3357</v>
      </c>
      <c r="C1703" s="81"/>
      <c r="D1703" s="81"/>
      <c r="E1703" s="81"/>
      <c r="F1703" s="81" t="s">
        <v>1975</v>
      </c>
    </row>
    <row r="1704" spans="2:6">
      <c r="B1704" s="78"/>
      <c r="C1704" s="81"/>
      <c r="D1704" s="81"/>
      <c r="E1704" s="81" t="s">
        <v>1976</v>
      </c>
      <c r="F1704" s="81"/>
    </row>
    <row r="1705" spans="2:6">
      <c r="B1705" s="78" t="s">
        <v>3358</v>
      </c>
      <c r="C1705" s="81"/>
      <c r="D1705" s="81"/>
      <c r="E1705" s="81"/>
      <c r="F1705" s="81" t="s">
        <v>1976</v>
      </c>
    </row>
    <row r="1706" spans="2:6">
      <c r="B1706" s="78"/>
      <c r="C1706" s="81"/>
      <c r="D1706" s="81"/>
      <c r="E1706" s="81" t="s">
        <v>1977</v>
      </c>
      <c r="F1706" s="81"/>
    </row>
    <row r="1707" spans="2:6">
      <c r="B1707" s="78" t="s">
        <v>3359</v>
      </c>
      <c r="C1707" s="81"/>
      <c r="D1707" s="81"/>
      <c r="E1707" s="81"/>
      <c r="F1707" s="81" t="s">
        <v>1978</v>
      </c>
    </row>
    <row r="1708" spans="2:6">
      <c r="B1708" s="78" t="s">
        <v>3360</v>
      </c>
      <c r="C1708" s="81"/>
      <c r="D1708" s="81"/>
      <c r="E1708" s="81"/>
      <c r="F1708" s="81" t="s">
        <v>1979</v>
      </c>
    </row>
    <row r="1709" spans="2:6">
      <c r="B1709" s="78"/>
      <c r="C1709" s="81"/>
      <c r="D1709" s="81"/>
      <c r="E1709" s="81" t="s">
        <v>1980</v>
      </c>
      <c r="F1709" s="81"/>
    </row>
    <row r="1710" spans="2:6">
      <c r="B1710" s="78" t="s">
        <v>3361</v>
      </c>
      <c r="C1710" s="81"/>
      <c r="D1710" s="81"/>
      <c r="E1710" s="81"/>
      <c r="F1710" s="81" t="s">
        <v>1981</v>
      </c>
    </row>
    <row r="1711" spans="2:6">
      <c r="B1711" s="78" t="s">
        <v>3362</v>
      </c>
      <c r="C1711" s="81"/>
      <c r="D1711" s="81"/>
      <c r="E1711" s="81"/>
      <c r="F1711" s="81" t="s">
        <v>1982</v>
      </c>
    </row>
    <row r="1712" spans="2:6">
      <c r="B1712" s="78"/>
      <c r="C1712" s="81"/>
      <c r="D1712" s="81"/>
      <c r="E1712" s="81" t="s">
        <v>1983</v>
      </c>
      <c r="F1712" s="81"/>
    </row>
    <row r="1713" spans="2:6">
      <c r="B1713" s="78" t="s">
        <v>3363</v>
      </c>
      <c r="C1713" s="81"/>
      <c r="D1713" s="81"/>
      <c r="E1713" s="81"/>
      <c r="F1713" s="81" t="s">
        <v>1984</v>
      </c>
    </row>
    <row r="1714" spans="2:6">
      <c r="B1714" s="78" t="s">
        <v>3364</v>
      </c>
      <c r="C1714" s="81"/>
      <c r="D1714" s="81"/>
      <c r="E1714" s="81"/>
      <c r="F1714" s="81" t="s">
        <v>1985</v>
      </c>
    </row>
    <row r="1715" spans="2:6">
      <c r="B1715" s="78" t="s">
        <v>2420</v>
      </c>
      <c r="C1715" s="81"/>
      <c r="D1715" s="81"/>
      <c r="E1715" s="81"/>
      <c r="F1715" s="81" t="s">
        <v>1986</v>
      </c>
    </row>
    <row r="1716" spans="2:6">
      <c r="B1716" s="78" t="s">
        <v>3365</v>
      </c>
      <c r="C1716" s="81"/>
      <c r="D1716" s="81"/>
      <c r="E1716" s="81"/>
      <c r="F1716" s="81" t="s">
        <v>1987</v>
      </c>
    </row>
    <row r="1717" spans="2:6">
      <c r="B1717" s="78" t="s">
        <v>2421</v>
      </c>
      <c r="C1717" s="81"/>
      <c r="D1717" s="81"/>
      <c r="E1717" s="81"/>
      <c r="F1717" s="81" t="s">
        <v>1988</v>
      </c>
    </row>
    <row r="1718" spans="2:6">
      <c r="B1718" s="78"/>
      <c r="C1718" s="81"/>
      <c r="D1718" s="81" t="s">
        <v>1989</v>
      </c>
      <c r="E1718" s="81"/>
      <c r="F1718" s="81"/>
    </row>
    <row r="1719" spans="2:6">
      <c r="B1719" s="78"/>
      <c r="C1719" s="81"/>
      <c r="D1719" s="81"/>
      <c r="E1719" s="81" t="s">
        <v>1990</v>
      </c>
      <c r="F1719" s="81"/>
    </row>
    <row r="1720" spans="2:6">
      <c r="B1720" s="78" t="s">
        <v>3366</v>
      </c>
      <c r="C1720" s="81"/>
      <c r="D1720" s="81"/>
      <c r="E1720" s="81"/>
      <c r="F1720" s="81" t="s">
        <v>401</v>
      </c>
    </row>
    <row r="1721" spans="2:6">
      <c r="B1721" s="78" t="s">
        <v>3367</v>
      </c>
      <c r="C1721" s="81"/>
      <c r="D1721" s="81"/>
      <c r="E1721" s="81"/>
      <c r="F1721" s="81" t="s">
        <v>403</v>
      </c>
    </row>
    <row r="1722" spans="2:6">
      <c r="B1722" s="78"/>
      <c r="C1722" s="81"/>
      <c r="D1722" s="81"/>
      <c r="E1722" s="81" t="s">
        <v>1989</v>
      </c>
      <c r="F1722" s="81"/>
    </row>
    <row r="1723" spans="2:6">
      <c r="B1723" s="78" t="s">
        <v>3368</v>
      </c>
      <c r="C1723" s="81"/>
      <c r="D1723" s="81"/>
      <c r="E1723" s="81"/>
      <c r="F1723" s="81" t="s">
        <v>1989</v>
      </c>
    </row>
    <row r="1724" spans="2:6">
      <c r="B1724" s="78"/>
      <c r="C1724" s="81"/>
      <c r="D1724" s="81" t="s">
        <v>1991</v>
      </c>
      <c r="E1724" s="81"/>
      <c r="F1724" s="81"/>
    </row>
    <row r="1725" spans="2:6">
      <c r="B1725" s="78"/>
      <c r="C1725" s="81"/>
      <c r="D1725" s="81"/>
      <c r="E1725" s="81" t="s">
        <v>1992</v>
      </c>
      <c r="F1725" s="81"/>
    </row>
    <row r="1726" spans="2:6">
      <c r="B1726" s="78" t="s">
        <v>3369</v>
      </c>
      <c r="C1726" s="81"/>
      <c r="D1726" s="81"/>
      <c r="E1726" s="81"/>
      <c r="F1726" s="81" t="s">
        <v>1602</v>
      </c>
    </row>
    <row r="1727" spans="2:6">
      <c r="B1727" s="78"/>
      <c r="C1727" s="81"/>
      <c r="D1727" s="81"/>
      <c r="E1727" s="81" t="s">
        <v>1993</v>
      </c>
      <c r="F1727" s="81"/>
    </row>
    <row r="1728" spans="2:6">
      <c r="B1728" s="78" t="s">
        <v>3370</v>
      </c>
      <c r="C1728" s="81"/>
      <c r="D1728" s="81"/>
      <c r="E1728" s="81"/>
      <c r="F1728" s="81" t="s">
        <v>1993</v>
      </c>
    </row>
    <row r="1729" spans="2:6">
      <c r="B1729" s="78"/>
      <c r="C1729" s="81"/>
      <c r="D1729" s="81"/>
      <c r="E1729" s="81" t="s">
        <v>1994</v>
      </c>
      <c r="F1729" s="81"/>
    </row>
    <row r="1730" spans="2:6">
      <c r="B1730" s="78" t="s">
        <v>2422</v>
      </c>
      <c r="C1730" s="81"/>
      <c r="D1730" s="81"/>
      <c r="E1730" s="81"/>
      <c r="F1730" s="81" t="s">
        <v>1995</v>
      </c>
    </row>
    <row r="1731" spans="2:6">
      <c r="B1731" s="78" t="s">
        <v>2423</v>
      </c>
      <c r="C1731" s="81"/>
      <c r="D1731" s="81"/>
      <c r="E1731" s="81"/>
      <c r="F1731" s="81" t="s">
        <v>1996</v>
      </c>
    </row>
    <row r="1732" spans="2:6">
      <c r="B1732" s="78" t="s">
        <v>3371</v>
      </c>
      <c r="C1732" s="81"/>
      <c r="D1732" s="81"/>
      <c r="E1732" s="81"/>
      <c r="F1732" s="81" t="s">
        <v>1997</v>
      </c>
    </row>
    <row r="1733" spans="2:6">
      <c r="B1733" s="78"/>
      <c r="C1733" s="81"/>
      <c r="D1733" s="81"/>
      <c r="E1733" s="81" t="s">
        <v>1998</v>
      </c>
      <c r="F1733" s="81"/>
    </row>
    <row r="1734" spans="2:6">
      <c r="B1734" s="78" t="s">
        <v>3372</v>
      </c>
      <c r="C1734" s="81"/>
      <c r="D1734" s="81"/>
      <c r="E1734" s="81"/>
      <c r="F1734" s="81" t="s">
        <v>1998</v>
      </c>
    </row>
    <row r="1735" spans="2:6">
      <c r="B1735" s="78"/>
      <c r="C1735" s="81"/>
      <c r="D1735" s="81"/>
      <c r="E1735" s="81" t="s">
        <v>1999</v>
      </c>
      <c r="F1735" s="81"/>
    </row>
    <row r="1736" spans="2:6">
      <c r="B1736" s="78" t="s">
        <v>3373</v>
      </c>
      <c r="C1736" s="81"/>
      <c r="D1736" s="81"/>
      <c r="E1736" s="81"/>
      <c r="F1736" s="81" t="s">
        <v>2000</v>
      </c>
    </row>
    <row r="1737" spans="2:6">
      <c r="B1737" s="78" t="s">
        <v>3374</v>
      </c>
      <c r="C1737" s="81"/>
      <c r="D1737" s="81"/>
      <c r="E1737" s="81"/>
      <c r="F1737" s="81" t="s">
        <v>2001</v>
      </c>
    </row>
    <row r="1738" spans="2:6">
      <c r="B1738" s="78"/>
      <c r="C1738" s="81"/>
      <c r="D1738" s="81"/>
      <c r="E1738" s="81" t="s">
        <v>2002</v>
      </c>
      <c r="F1738" s="81"/>
    </row>
    <row r="1739" spans="2:6">
      <c r="B1739" s="78" t="s">
        <v>3375</v>
      </c>
      <c r="C1739" s="81"/>
      <c r="D1739" s="81"/>
      <c r="E1739" s="81"/>
      <c r="F1739" s="81" t="s">
        <v>2003</v>
      </c>
    </row>
    <row r="1740" spans="2:6">
      <c r="B1740" s="78" t="s">
        <v>2424</v>
      </c>
      <c r="C1740" s="81"/>
      <c r="D1740" s="81"/>
      <c r="E1740" s="81"/>
      <c r="F1740" s="81" t="s">
        <v>2004</v>
      </c>
    </row>
    <row r="1741" spans="2:6">
      <c r="B1741" s="78" t="s">
        <v>3376</v>
      </c>
      <c r="C1741" s="81"/>
      <c r="D1741" s="81"/>
      <c r="E1741" s="81"/>
      <c r="F1741" s="81" t="s">
        <v>2005</v>
      </c>
    </row>
    <row r="1742" spans="2:6">
      <c r="B1742" s="78"/>
      <c r="C1742" s="81"/>
      <c r="D1742" s="81"/>
      <c r="E1742" s="81" t="s">
        <v>2006</v>
      </c>
      <c r="F1742" s="81"/>
    </row>
    <row r="1743" spans="2:6">
      <c r="B1743" s="78" t="s">
        <v>2425</v>
      </c>
      <c r="C1743" s="81"/>
      <c r="D1743" s="81"/>
      <c r="E1743" s="81"/>
      <c r="F1743" s="81" t="s">
        <v>2007</v>
      </c>
    </row>
    <row r="1744" spans="2:6">
      <c r="B1744" s="78" t="s">
        <v>3377</v>
      </c>
      <c r="C1744" s="81"/>
      <c r="D1744" s="81"/>
      <c r="E1744" s="81"/>
      <c r="F1744" s="81" t="s">
        <v>2008</v>
      </c>
    </row>
    <row r="1745" spans="2:6">
      <c r="B1745" s="78"/>
      <c r="C1745" s="81"/>
      <c r="D1745" s="81"/>
      <c r="E1745" s="81" t="s">
        <v>2009</v>
      </c>
      <c r="F1745" s="81"/>
    </row>
    <row r="1746" spans="2:6">
      <c r="B1746" s="78" t="s">
        <v>3378</v>
      </c>
      <c r="C1746" s="81"/>
      <c r="D1746" s="81"/>
      <c r="E1746" s="81"/>
      <c r="F1746" s="81" t="s">
        <v>2009</v>
      </c>
    </row>
    <row r="1747" spans="2:6">
      <c r="B1747" s="78"/>
      <c r="C1747" s="81" t="s">
        <v>2010</v>
      </c>
      <c r="D1747" s="81"/>
      <c r="E1747" s="81"/>
      <c r="F1747" s="81"/>
    </row>
    <row r="1748" spans="2:6">
      <c r="B1748" s="78"/>
      <c r="C1748" s="81"/>
      <c r="D1748" s="81" t="s">
        <v>2011</v>
      </c>
      <c r="E1748" s="81"/>
      <c r="F1748" s="81"/>
    </row>
    <row r="1749" spans="2:6">
      <c r="B1749" s="78"/>
      <c r="C1749" s="81"/>
      <c r="D1749" s="81"/>
      <c r="E1749" s="81" t="s">
        <v>2012</v>
      </c>
      <c r="F1749" s="81"/>
    </row>
    <row r="1750" spans="2:6">
      <c r="B1750" s="78" t="s">
        <v>3379</v>
      </c>
      <c r="C1750" s="81"/>
      <c r="D1750" s="81"/>
      <c r="E1750" s="81"/>
      <c r="F1750" s="81" t="s">
        <v>401</v>
      </c>
    </row>
    <row r="1751" spans="2:6">
      <c r="B1751" s="78" t="s">
        <v>2426</v>
      </c>
      <c r="C1751" s="81"/>
      <c r="D1751" s="81"/>
      <c r="E1751" s="81"/>
      <c r="F1751" s="81" t="s">
        <v>403</v>
      </c>
    </row>
    <row r="1752" spans="2:6">
      <c r="B1752" s="78"/>
      <c r="C1752" s="81"/>
      <c r="D1752" s="81"/>
      <c r="E1752" s="81" t="s">
        <v>2013</v>
      </c>
      <c r="F1752" s="81"/>
    </row>
    <row r="1753" spans="2:6">
      <c r="B1753" s="78" t="s">
        <v>3380</v>
      </c>
      <c r="C1753" s="81"/>
      <c r="D1753" s="81"/>
      <c r="E1753" s="81"/>
      <c r="F1753" s="81" t="s">
        <v>2013</v>
      </c>
    </row>
    <row r="1754" spans="2:6">
      <c r="B1754" s="78"/>
      <c r="C1754" s="81"/>
      <c r="D1754" s="81"/>
      <c r="E1754" s="81" t="s">
        <v>2014</v>
      </c>
      <c r="F1754" s="81"/>
    </row>
    <row r="1755" spans="2:6">
      <c r="B1755" s="78" t="s">
        <v>3381</v>
      </c>
      <c r="C1755" s="81"/>
      <c r="D1755" s="81"/>
      <c r="E1755" s="81"/>
      <c r="F1755" s="81" t="s">
        <v>2014</v>
      </c>
    </row>
    <row r="1756" spans="2:6">
      <c r="B1756" s="78"/>
      <c r="C1756" s="81"/>
      <c r="D1756" s="81"/>
      <c r="E1756" s="81" t="s">
        <v>2015</v>
      </c>
      <c r="F1756" s="81"/>
    </row>
    <row r="1757" spans="2:6">
      <c r="B1757" s="78" t="s">
        <v>2427</v>
      </c>
      <c r="C1757" s="81"/>
      <c r="D1757" s="81"/>
      <c r="E1757" s="81"/>
      <c r="F1757" s="81" t="s">
        <v>2015</v>
      </c>
    </row>
    <row r="1758" spans="2:6">
      <c r="B1758" s="78"/>
      <c r="C1758" s="81"/>
      <c r="D1758" s="81"/>
      <c r="E1758" s="81" t="s">
        <v>2016</v>
      </c>
      <c r="F1758" s="81"/>
    </row>
    <row r="1759" spans="2:6">
      <c r="B1759" s="78" t="s">
        <v>3382</v>
      </c>
      <c r="C1759" s="81"/>
      <c r="D1759" s="81"/>
      <c r="E1759" s="81"/>
      <c r="F1759" s="81" t="s">
        <v>2017</v>
      </c>
    </row>
    <row r="1760" spans="2:6">
      <c r="B1760" s="78" t="s">
        <v>3383</v>
      </c>
      <c r="C1760" s="81"/>
      <c r="D1760" s="81"/>
      <c r="E1760" s="81"/>
      <c r="F1760" s="81" t="s">
        <v>2018</v>
      </c>
    </row>
    <row r="1761" spans="2:6">
      <c r="B1761" s="78" t="s">
        <v>3384</v>
      </c>
      <c r="C1761" s="81"/>
      <c r="D1761" s="81"/>
      <c r="E1761" s="81"/>
      <c r="F1761" s="81" t="s">
        <v>2019</v>
      </c>
    </row>
    <row r="1762" spans="2:6">
      <c r="B1762" s="78"/>
      <c r="C1762" s="81"/>
      <c r="D1762" s="81" t="s">
        <v>2020</v>
      </c>
      <c r="E1762" s="81"/>
      <c r="F1762" s="81"/>
    </row>
    <row r="1763" spans="2:6">
      <c r="B1763" s="78"/>
      <c r="C1763" s="81"/>
      <c r="D1763" s="81"/>
      <c r="E1763" s="81" t="s">
        <v>2021</v>
      </c>
      <c r="F1763" s="81"/>
    </row>
    <row r="1764" spans="2:6">
      <c r="B1764" s="78" t="s">
        <v>3385</v>
      </c>
      <c r="C1764" s="81"/>
      <c r="D1764" s="81"/>
      <c r="E1764" s="81"/>
      <c r="F1764" s="81" t="s">
        <v>401</v>
      </c>
    </row>
    <row r="1765" spans="2:6">
      <c r="B1765" s="78" t="s">
        <v>3386</v>
      </c>
      <c r="C1765" s="81"/>
      <c r="D1765" s="81"/>
      <c r="E1765" s="81"/>
      <c r="F1765" s="81" t="s">
        <v>403</v>
      </c>
    </row>
    <row r="1766" spans="2:6">
      <c r="B1766" s="78"/>
      <c r="C1766" s="81"/>
      <c r="D1766" s="81"/>
      <c r="E1766" s="81" t="s">
        <v>2022</v>
      </c>
      <c r="F1766" s="81"/>
    </row>
    <row r="1767" spans="2:6">
      <c r="B1767" s="78" t="s">
        <v>2428</v>
      </c>
      <c r="C1767" s="81"/>
      <c r="D1767" s="81"/>
      <c r="E1767" s="81"/>
      <c r="F1767" s="81" t="s">
        <v>2022</v>
      </c>
    </row>
    <row r="1768" spans="2:6">
      <c r="B1768" s="78"/>
      <c r="C1768" s="81"/>
      <c r="D1768" s="81"/>
      <c r="E1768" s="81" t="s">
        <v>2023</v>
      </c>
      <c r="F1768" s="81"/>
    </row>
    <row r="1769" spans="2:6">
      <c r="B1769" s="78" t="s">
        <v>2429</v>
      </c>
      <c r="C1769" s="81"/>
      <c r="D1769" s="81"/>
      <c r="E1769" s="81"/>
      <c r="F1769" s="81" t="s">
        <v>2024</v>
      </c>
    </row>
    <row r="1770" spans="2:6">
      <c r="B1770" s="78" t="s">
        <v>3387</v>
      </c>
      <c r="C1770" s="81"/>
      <c r="D1770" s="81"/>
      <c r="E1770" s="81"/>
      <c r="F1770" s="81" t="s">
        <v>2025</v>
      </c>
    </row>
    <row r="1771" spans="2:6">
      <c r="B1771" s="78" t="s">
        <v>3388</v>
      </c>
      <c r="C1771" s="81"/>
      <c r="D1771" s="81"/>
      <c r="E1771" s="81"/>
      <c r="F1771" s="81" t="s">
        <v>2026</v>
      </c>
    </row>
    <row r="1772" spans="2:6">
      <c r="B1772" s="78" t="s">
        <v>3389</v>
      </c>
      <c r="C1772" s="81"/>
      <c r="D1772" s="81"/>
      <c r="E1772" s="81"/>
      <c r="F1772" s="81" t="s">
        <v>2027</v>
      </c>
    </row>
    <row r="1773" spans="2:6">
      <c r="B1773" s="78" t="s">
        <v>3390</v>
      </c>
      <c r="C1773" s="81"/>
      <c r="D1773" s="81"/>
      <c r="E1773" s="81"/>
      <c r="F1773" s="81" t="s">
        <v>2028</v>
      </c>
    </row>
    <row r="1774" spans="2:6">
      <c r="B1774" s="78">
        <v>7629</v>
      </c>
      <c r="C1774" s="81"/>
      <c r="D1774" s="81"/>
      <c r="E1774" s="81"/>
      <c r="F1774" s="81" t="s">
        <v>2029</v>
      </c>
    </row>
    <row r="1775" spans="2:6">
      <c r="B1775" s="78"/>
      <c r="C1775" s="81"/>
      <c r="D1775" s="81"/>
      <c r="E1775" s="81" t="s">
        <v>2030</v>
      </c>
      <c r="F1775" s="81"/>
    </row>
    <row r="1776" spans="2:6">
      <c r="B1776" s="78" t="s">
        <v>2430</v>
      </c>
      <c r="C1776" s="81"/>
      <c r="D1776" s="81"/>
      <c r="E1776" s="81"/>
      <c r="F1776" s="81" t="s">
        <v>2030</v>
      </c>
    </row>
    <row r="1777" spans="2:6">
      <c r="B1777" s="78"/>
      <c r="C1777" s="81"/>
      <c r="D1777" s="81"/>
      <c r="E1777" s="81" t="s">
        <v>2031</v>
      </c>
      <c r="F1777" s="81"/>
    </row>
    <row r="1778" spans="2:6">
      <c r="B1778" s="78" t="s">
        <v>3391</v>
      </c>
      <c r="C1778" s="81"/>
      <c r="D1778" s="81"/>
      <c r="E1778" s="81"/>
      <c r="F1778" s="81" t="s">
        <v>2031</v>
      </c>
    </row>
    <row r="1779" spans="2:6">
      <c r="B1779" s="78"/>
      <c r="C1779" s="81"/>
      <c r="D1779" s="81"/>
      <c r="E1779" s="81" t="s">
        <v>2032</v>
      </c>
      <c r="F1779" s="81"/>
    </row>
    <row r="1780" spans="2:6">
      <c r="B1780" s="78" t="s">
        <v>2431</v>
      </c>
      <c r="C1780" s="81"/>
      <c r="D1780" s="81"/>
      <c r="E1780" s="81"/>
      <c r="F1780" s="81" t="s">
        <v>2032</v>
      </c>
    </row>
    <row r="1781" spans="2:6">
      <c r="B1781" s="78"/>
      <c r="C1781" s="81"/>
      <c r="D1781" s="81"/>
      <c r="E1781" s="81" t="s">
        <v>2033</v>
      </c>
      <c r="F1781" s="81"/>
    </row>
    <row r="1782" spans="2:6">
      <c r="B1782" s="78" t="s">
        <v>3392</v>
      </c>
      <c r="C1782" s="81"/>
      <c r="D1782" s="81"/>
      <c r="E1782" s="81"/>
      <c r="F1782" s="81" t="s">
        <v>2033</v>
      </c>
    </row>
    <row r="1783" spans="2:6">
      <c r="B1783" s="78"/>
      <c r="C1783" s="81"/>
      <c r="D1783" s="81"/>
      <c r="E1783" s="81" t="s">
        <v>2034</v>
      </c>
      <c r="F1783" s="81"/>
    </row>
    <row r="1784" spans="2:6">
      <c r="B1784" s="78" t="s">
        <v>3393</v>
      </c>
      <c r="C1784" s="81"/>
      <c r="D1784" s="81"/>
      <c r="E1784" s="81"/>
      <c r="F1784" s="81" t="s">
        <v>2034</v>
      </c>
    </row>
    <row r="1785" spans="2:6">
      <c r="B1785" s="78"/>
      <c r="C1785" s="81"/>
      <c r="D1785" s="81"/>
      <c r="E1785" s="81" t="s">
        <v>2035</v>
      </c>
      <c r="F1785" s="81"/>
    </row>
    <row r="1786" spans="2:6">
      <c r="B1786" s="78" t="s">
        <v>3394</v>
      </c>
      <c r="C1786" s="81"/>
      <c r="D1786" s="81"/>
      <c r="E1786" s="81"/>
      <c r="F1786" s="81" t="s">
        <v>2036</v>
      </c>
    </row>
    <row r="1787" spans="2:6">
      <c r="B1787" s="78" t="s">
        <v>3395</v>
      </c>
      <c r="C1787" s="81"/>
      <c r="D1787" s="81"/>
      <c r="E1787" s="81"/>
      <c r="F1787" s="81" t="s">
        <v>2037</v>
      </c>
    </row>
    <row r="1788" spans="2:6">
      <c r="B1788" s="78" t="s">
        <v>3396</v>
      </c>
      <c r="C1788" s="81"/>
      <c r="D1788" s="81"/>
      <c r="E1788" s="81"/>
      <c r="F1788" s="81" t="s">
        <v>2038</v>
      </c>
    </row>
    <row r="1789" spans="2:6">
      <c r="B1789" s="78"/>
      <c r="C1789" s="81"/>
      <c r="D1789" s="81" t="s">
        <v>2039</v>
      </c>
      <c r="E1789" s="81"/>
      <c r="F1789" s="81"/>
    </row>
    <row r="1790" spans="2:6">
      <c r="B1790" s="78"/>
      <c r="C1790" s="81"/>
      <c r="D1790" s="81"/>
      <c r="E1790" s="81" t="s">
        <v>2040</v>
      </c>
      <c r="F1790" s="81"/>
    </row>
    <row r="1791" spans="2:6">
      <c r="B1791" s="78" t="s">
        <v>2432</v>
      </c>
      <c r="C1791" s="81"/>
      <c r="D1791" s="81"/>
      <c r="E1791" s="81"/>
      <c r="F1791" s="81" t="s">
        <v>401</v>
      </c>
    </row>
    <row r="1792" spans="2:6">
      <c r="B1792" s="78" t="s">
        <v>3397</v>
      </c>
      <c r="C1792" s="81"/>
      <c r="D1792" s="81"/>
      <c r="E1792" s="81"/>
      <c r="F1792" s="81" t="s">
        <v>403</v>
      </c>
    </row>
    <row r="1793" spans="2:6">
      <c r="B1793" s="78"/>
      <c r="C1793" s="81"/>
      <c r="D1793" s="81"/>
      <c r="E1793" s="81" t="s">
        <v>2041</v>
      </c>
      <c r="F1793" s="81"/>
    </row>
    <row r="1794" spans="2:6">
      <c r="B1794" s="78" t="s">
        <v>3398</v>
      </c>
      <c r="C1794" s="81"/>
      <c r="D1794" s="81"/>
      <c r="E1794" s="81"/>
      <c r="F1794" s="81" t="s">
        <v>2041</v>
      </c>
    </row>
    <row r="1795" spans="2:6">
      <c r="B1795" s="78"/>
      <c r="C1795" s="81"/>
      <c r="D1795" s="81"/>
      <c r="E1795" s="81" t="s">
        <v>2042</v>
      </c>
      <c r="F1795" s="81"/>
    </row>
    <row r="1796" spans="2:6">
      <c r="B1796" s="78" t="s">
        <v>2433</v>
      </c>
      <c r="C1796" s="81"/>
      <c r="D1796" s="81"/>
      <c r="E1796" s="81"/>
      <c r="F1796" s="81" t="s">
        <v>2042</v>
      </c>
    </row>
    <row r="1797" spans="2:6">
      <c r="B1797" s="78"/>
      <c r="C1797" s="81"/>
      <c r="D1797" s="81"/>
      <c r="E1797" s="149" t="s">
        <v>3687</v>
      </c>
      <c r="F1797" s="149"/>
    </row>
    <row r="1798" spans="2:6">
      <c r="B1798" s="150" t="s">
        <v>3688</v>
      </c>
      <c r="C1798" s="81"/>
      <c r="D1798" s="81"/>
      <c r="E1798" s="81"/>
      <c r="F1798" s="149" t="s">
        <v>3687</v>
      </c>
    </row>
    <row r="1799" spans="2:6">
      <c r="B1799" s="78"/>
      <c r="C1799" s="81" t="s">
        <v>2043</v>
      </c>
      <c r="D1799" s="81"/>
      <c r="E1799" s="81"/>
      <c r="F1799" s="81"/>
    </row>
    <row r="1800" spans="2:6">
      <c r="B1800" s="78"/>
      <c r="C1800" s="81"/>
      <c r="D1800" s="81" t="s">
        <v>2044</v>
      </c>
      <c r="E1800" s="81"/>
      <c r="F1800" s="81"/>
    </row>
    <row r="1801" spans="2:6">
      <c r="B1801" s="78"/>
      <c r="C1801" s="81"/>
      <c r="D1801" s="81"/>
      <c r="E1801" s="81" t="s">
        <v>2045</v>
      </c>
      <c r="F1801" s="81"/>
    </row>
    <row r="1802" spans="2:6">
      <c r="B1802" s="78" t="s">
        <v>3399</v>
      </c>
      <c r="C1802" s="81"/>
      <c r="D1802" s="81"/>
      <c r="E1802" s="81"/>
      <c r="F1802" s="81" t="s">
        <v>401</v>
      </c>
    </row>
    <row r="1803" spans="2:6">
      <c r="B1803" s="78" t="s">
        <v>3400</v>
      </c>
      <c r="C1803" s="81"/>
      <c r="D1803" s="81"/>
      <c r="E1803" s="81"/>
      <c r="F1803" s="81" t="s">
        <v>403</v>
      </c>
    </row>
    <row r="1804" spans="2:6">
      <c r="B1804" s="78"/>
      <c r="C1804" s="81"/>
      <c r="D1804" s="81"/>
      <c r="E1804" s="81" t="s">
        <v>2046</v>
      </c>
      <c r="F1804" s="81"/>
    </row>
    <row r="1805" spans="2:6">
      <c r="B1805" s="78" t="s">
        <v>3401</v>
      </c>
      <c r="C1805" s="81"/>
      <c r="D1805" s="81"/>
      <c r="E1805" s="81"/>
      <c r="F1805" s="81" t="s">
        <v>2047</v>
      </c>
    </row>
    <row r="1806" spans="2:6">
      <c r="B1806" s="78" t="s">
        <v>3402</v>
      </c>
      <c r="C1806" s="81"/>
      <c r="D1806" s="81"/>
      <c r="E1806" s="81"/>
      <c r="F1806" s="81" t="s">
        <v>2048</v>
      </c>
    </row>
    <row r="1807" spans="2:6">
      <c r="B1807" s="78" t="s">
        <v>3403</v>
      </c>
      <c r="C1807" s="81"/>
      <c r="D1807" s="81"/>
      <c r="E1807" s="81"/>
      <c r="F1807" s="81" t="s">
        <v>2049</v>
      </c>
    </row>
    <row r="1808" spans="2:6">
      <c r="B1808" s="78"/>
      <c r="C1808" s="81"/>
      <c r="D1808" s="81"/>
      <c r="E1808" s="81" t="s">
        <v>2050</v>
      </c>
      <c r="F1808" s="81"/>
    </row>
    <row r="1809" spans="2:6">
      <c r="B1809" s="78" t="s">
        <v>3404</v>
      </c>
      <c r="C1809" s="81"/>
      <c r="D1809" s="81"/>
      <c r="E1809" s="81"/>
      <c r="F1809" s="81" t="s">
        <v>2050</v>
      </c>
    </row>
    <row r="1810" spans="2:6">
      <c r="B1810" s="78"/>
      <c r="C1810" s="81"/>
      <c r="D1810" s="81"/>
      <c r="E1810" s="81" t="s">
        <v>2051</v>
      </c>
      <c r="F1810" s="81"/>
    </row>
    <row r="1811" spans="2:6">
      <c r="B1811" s="78" t="s">
        <v>2434</v>
      </c>
      <c r="C1811" s="81"/>
      <c r="D1811" s="81"/>
      <c r="E1811" s="81"/>
      <c r="F1811" s="81" t="s">
        <v>2051</v>
      </c>
    </row>
    <row r="1812" spans="2:6">
      <c r="B1812" s="78"/>
      <c r="C1812" s="81"/>
      <c r="D1812" s="81"/>
      <c r="E1812" s="81" t="s">
        <v>2052</v>
      </c>
      <c r="F1812" s="81"/>
    </row>
    <row r="1813" spans="2:6">
      <c r="B1813" s="78" t="s">
        <v>3405</v>
      </c>
      <c r="C1813" s="81"/>
      <c r="D1813" s="81"/>
      <c r="E1813" s="81"/>
      <c r="F1813" s="81" t="s">
        <v>2052</v>
      </c>
    </row>
    <row r="1814" spans="2:6">
      <c r="B1814" s="78"/>
      <c r="C1814" s="81"/>
      <c r="D1814" s="81"/>
      <c r="E1814" s="81" t="s">
        <v>2053</v>
      </c>
      <c r="F1814" s="81"/>
    </row>
    <row r="1815" spans="2:6">
      <c r="B1815" s="78" t="s">
        <v>3406</v>
      </c>
      <c r="C1815" s="81"/>
      <c r="D1815" s="81"/>
      <c r="E1815" s="81"/>
      <c r="F1815" s="81" t="s">
        <v>2053</v>
      </c>
    </row>
    <row r="1816" spans="2:6">
      <c r="B1816" s="78"/>
      <c r="C1816" s="81"/>
      <c r="D1816" s="81"/>
      <c r="E1816" s="81" t="s">
        <v>2054</v>
      </c>
      <c r="F1816" s="81"/>
    </row>
    <row r="1817" spans="2:6">
      <c r="B1817" s="78" t="s">
        <v>3407</v>
      </c>
      <c r="C1817" s="81"/>
      <c r="D1817" s="81"/>
      <c r="E1817" s="81"/>
      <c r="F1817" s="81" t="s">
        <v>2055</v>
      </c>
    </row>
    <row r="1818" spans="2:6">
      <c r="B1818" s="78" t="s">
        <v>2461</v>
      </c>
      <c r="C1818" s="81"/>
      <c r="D1818" s="81"/>
      <c r="E1818" s="81"/>
      <c r="F1818" s="81" t="s">
        <v>2056</v>
      </c>
    </row>
    <row r="1819" spans="2:6">
      <c r="B1819" s="78" t="s">
        <v>3408</v>
      </c>
      <c r="C1819" s="81"/>
      <c r="D1819" s="81"/>
      <c r="E1819" s="81"/>
      <c r="F1819" s="149" t="s">
        <v>3689</v>
      </c>
    </row>
    <row r="1820" spans="2:6">
      <c r="B1820" s="78" t="s">
        <v>3409</v>
      </c>
      <c r="C1820" s="81"/>
      <c r="D1820" s="81"/>
      <c r="E1820" s="81"/>
      <c r="F1820" s="81" t="s">
        <v>2057</v>
      </c>
    </row>
    <row r="1821" spans="2:6">
      <c r="B1821" s="78" t="s">
        <v>3410</v>
      </c>
      <c r="C1821" s="81"/>
      <c r="D1821" s="81"/>
      <c r="E1821" s="81"/>
      <c r="F1821" s="81" t="s">
        <v>2058</v>
      </c>
    </row>
    <row r="1822" spans="2:6">
      <c r="B1822" s="78"/>
      <c r="C1822" s="81"/>
      <c r="D1822" s="81" t="s">
        <v>2059</v>
      </c>
      <c r="E1822" s="81"/>
      <c r="F1822" s="81"/>
    </row>
    <row r="1823" spans="2:6">
      <c r="B1823" s="78"/>
      <c r="C1823" s="81"/>
      <c r="D1823" s="81"/>
      <c r="E1823" s="81" t="s">
        <v>2060</v>
      </c>
      <c r="F1823" s="81"/>
    </row>
    <row r="1824" spans="2:6">
      <c r="B1824" s="78" t="s">
        <v>3411</v>
      </c>
      <c r="C1824" s="81"/>
      <c r="D1824" s="81"/>
      <c r="E1824" s="81"/>
      <c r="F1824" s="81" t="s">
        <v>401</v>
      </c>
    </row>
    <row r="1825" spans="2:6">
      <c r="B1825" s="78" t="s">
        <v>2462</v>
      </c>
      <c r="C1825" s="81"/>
      <c r="D1825" s="81"/>
      <c r="E1825" s="81"/>
      <c r="F1825" s="81" t="s">
        <v>403</v>
      </c>
    </row>
    <row r="1826" spans="2:6">
      <c r="B1826" s="78"/>
      <c r="C1826" s="81"/>
      <c r="D1826" s="81"/>
      <c r="E1826" s="81" t="s">
        <v>2061</v>
      </c>
      <c r="F1826" s="81"/>
    </row>
    <row r="1827" spans="2:6">
      <c r="B1827" s="78" t="s">
        <v>3412</v>
      </c>
      <c r="C1827" s="81"/>
      <c r="D1827" s="81"/>
      <c r="E1827" s="81"/>
      <c r="F1827" s="81" t="s">
        <v>2062</v>
      </c>
    </row>
    <row r="1828" spans="2:6">
      <c r="B1828" s="78" t="s">
        <v>3413</v>
      </c>
      <c r="C1828" s="81"/>
      <c r="D1828" s="81"/>
      <c r="E1828" s="81"/>
      <c r="F1828" s="81" t="s">
        <v>2063</v>
      </c>
    </row>
    <row r="1829" spans="2:6">
      <c r="B1829" s="78"/>
      <c r="C1829" s="81"/>
      <c r="D1829" s="81"/>
      <c r="E1829" s="81" t="s">
        <v>2064</v>
      </c>
      <c r="F1829" s="81"/>
    </row>
    <row r="1830" spans="2:6">
      <c r="B1830" s="78" t="s">
        <v>3414</v>
      </c>
      <c r="C1830" s="81"/>
      <c r="D1830" s="81"/>
      <c r="E1830" s="81"/>
      <c r="F1830" s="81" t="s">
        <v>2065</v>
      </c>
    </row>
    <row r="1831" spans="2:6">
      <c r="B1831" s="78" t="s">
        <v>3415</v>
      </c>
      <c r="C1831" s="81"/>
      <c r="D1831" s="81"/>
      <c r="E1831" s="81"/>
      <c r="F1831" s="81" t="s">
        <v>2066</v>
      </c>
    </row>
    <row r="1832" spans="2:6">
      <c r="B1832" s="78"/>
      <c r="C1832" s="81"/>
      <c r="D1832" s="81"/>
      <c r="E1832" s="81" t="s">
        <v>2067</v>
      </c>
      <c r="F1832" s="81"/>
    </row>
    <row r="1833" spans="2:6">
      <c r="B1833" s="78" t="s">
        <v>3416</v>
      </c>
      <c r="C1833" s="81"/>
      <c r="D1833" s="81"/>
      <c r="E1833" s="81"/>
      <c r="F1833" s="81" t="s">
        <v>2067</v>
      </c>
    </row>
    <row r="1834" spans="2:6">
      <c r="B1834" s="78"/>
      <c r="C1834" s="81"/>
      <c r="D1834" s="81"/>
      <c r="E1834" s="81" t="s">
        <v>2068</v>
      </c>
      <c r="F1834" s="81"/>
    </row>
    <row r="1835" spans="2:6">
      <c r="B1835" s="78" t="s">
        <v>3417</v>
      </c>
      <c r="C1835" s="81"/>
      <c r="D1835" s="81"/>
      <c r="E1835" s="81"/>
      <c r="F1835" s="81" t="s">
        <v>2068</v>
      </c>
    </row>
    <row r="1836" spans="2:6">
      <c r="B1836" s="78"/>
      <c r="C1836" s="81"/>
      <c r="D1836" s="81"/>
      <c r="E1836" s="81" t="s">
        <v>2069</v>
      </c>
      <c r="F1836" s="81"/>
    </row>
    <row r="1837" spans="2:6">
      <c r="B1837" s="78" t="s">
        <v>3418</v>
      </c>
      <c r="C1837" s="81"/>
      <c r="D1837" s="81"/>
      <c r="E1837" s="81"/>
      <c r="F1837" s="81" t="s">
        <v>2070</v>
      </c>
    </row>
    <row r="1838" spans="2:6">
      <c r="B1838" s="78" t="s">
        <v>3419</v>
      </c>
      <c r="C1838" s="81"/>
      <c r="D1838" s="81"/>
      <c r="E1838" s="81"/>
      <c r="F1838" s="81" t="s">
        <v>2071</v>
      </c>
    </row>
    <row r="1839" spans="2:6">
      <c r="B1839" s="78"/>
      <c r="C1839" s="81"/>
      <c r="D1839" s="81"/>
      <c r="E1839" s="81" t="s">
        <v>2072</v>
      </c>
      <c r="F1839" s="81"/>
    </row>
    <row r="1840" spans="2:6">
      <c r="B1840" s="78" t="s">
        <v>3420</v>
      </c>
      <c r="C1840" s="81"/>
      <c r="D1840" s="81"/>
      <c r="E1840" s="81"/>
      <c r="F1840" s="81" t="s">
        <v>2073</v>
      </c>
    </row>
    <row r="1841" spans="2:6">
      <c r="B1841" s="78" t="s">
        <v>3421</v>
      </c>
      <c r="C1841" s="81"/>
      <c r="D1841" s="81"/>
      <c r="E1841" s="81"/>
      <c r="F1841" s="81" t="s">
        <v>2074</v>
      </c>
    </row>
    <row r="1842" spans="2:6">
      <c r="B1842" s="78" t="s">
        <v>3422</v>
      </c>
      <c r="C1842" s="81"/>
      <c r="D1842" s="81"/>
      <c r="E1842" s="81"/>
      <c r="F1842" s="81" t="s">
        <v>2075</v>
      </c>
    </row>
    <row r="1843" spans="2:6">
      <c r="B1843" s="78"/>
      <c r="C1843" s="81"/>
      <c r="D1843" s="81"/>
      <c r="E1843" s="81" t="s">
        <v>2076</v>
      </c>
      <c r="F1843" s="81"/>
    </row>
    <row r="1844" spans="2:6">
      <c r="B1844" s="78" t="s">
        <v>3423</v>
      </c>
      <c r="C1844" s="81"/>
      <c r="D1844" s="81"/>
      <c r="E1844" s="81"/>
      <c r="F1844" s="81" t="s">
        <v>2077</v>
      </c>
    </row>
    <row r="1845" spans="2:6">
      <c r="B1845" s="78" t="s">
        <v>3424</v>
      </c>
      <c r="C1845" s="81"/>
      <c r="D1845" s="81"/>
      <c r="E1845" s="81"/>
      <c r="F1845" s="81" t="s">
        <v>2078</v>
      </c>
    </row>
    <row r="1846" spans="2:6">
      <c r="B1846" s="78" t="s">
        <v>3425</v>
      </c>
      <c r="C1846" s="81"/>
      <c r="D1846" s="81"/>
      <c r="E1846" s="81"/>
      <c r="F1846" s="81" t="s">
        <v>2079</v>
      </c>
    </row>
    <row r="1847" spans="2:6">
      <c r="B1847" s="78" t="s">
        <v>3426</v>
      </c>
      <c r="C1847" s="81"/>
      <c r="D1847" s="81"/>
      <c r="E1847" s="81"/>
      <c r="F1847" s="81" t="s">
        <v>2080</v>
      </c>
    </row>
    <row r="1848" spans="2:6">
      <c r="B1848" s="78"/>
      <c r="C1848" s="81"/>
      <c r="D1848" s="81" t="s">
        <v>2081</v>
      </c>
      <c r="E1848" s="81"/>
      <c r="F1848" s="81"/>
    </row>
    <row r="1849" spans="2:6">
      <c r="B1849" s="78"/>
      <c r="C1849" s="81"/>
      <c r="D1849" s="81"/>
      <c r="E1849" s="81" t="s">
        <v>2082</v>
      </c>
      <c r="F1849" s="81"/>
    </row>
    <row r="1850" spans="2:6">
      <c r="B1850" s="78" t="s">
        <v>3427</v>
      </c>
      <c r="C1850" s="81"/>
      <c r="D1850" s="81"/>
      <c r="E1850" s="81"/>
      <c r="F1850" s="81" t="s">
        <v>401</v>
      </c>
    </row>
    <row r="1851" spans="2:6">
      <c r="B1851" s="78" t="s">
        <v>3428</v>
      </c>
      <c r="C1851" s="81"/>
      <c r="D1851" s="81"/>
      <c r="E1851" s="81"/>
      <c r="F1851" s="81" t="s">
        <v>403</v>
      </c>
    </row>
    <row r="1852" spans="2:6">
      <c r="B1852" s="78"/>
      <c r="C1852" s="81"/>
      <c r="D1852" s="81"/>
      <c r="E1852" s="81" t="s">
        <v>2083</v>
      </c>
      <c r="F1852" s="81"/>
    </row>
    <row r="1853" spans="2:6">
      <c r="B1853" s="78" t="s">
        <v>3429</v>
      </c>
      <c r="C1853" s="81"/>
      <c r="D1853" s="81"/>
      <c r="E1853" s="81"/>
      <c r="F1853" s="81" t="s">
        <v>2083</v>
      </c>
    </row>
    <row r="1854" spans="2:6">
      <c r="B1854" s="78"/>
      <c r="C1854" s="81"/>
      <c r="D1854" s="81"/>
      <c r="E1854" s="81" t="s">
        <v>2084</v>
      </c>
      <c r="F1854" s="81"/>
    </row>
    <row r="1855" spans="2:6">
      <c r="B1855" s="78" t="s">
        <v>2435</v>
      </c>
      <c r="C1855" s="81"/>
      <c r="D1855" s="81"/>
      <c r="E1855" s="81"/>
      <c r="F1855" s="81" t="s">
        <v>2085</v>
      </c>
    </row>
    <row r="1856" spans="2:6">
      <c r="B1856" s="78" t="s">
        <v>3430</v>
      </c>
      <c r="C1856" s="81"/>
      <c r="D1856" s="81"/>
      <c r="E1856" s="81"/>
      <c r="F1856" s="81" t="s">
        <v>2086</v>
      </c>
    </row>
    <row r="1857" spans="2:6">
      <c r="B1857" s="78" t="s">
        <v>2436</v>
      </c>
      <c r="C1857" s="81"/>
      <c r="D1857" s="81"/>
      <c r="E1857" s="81"/>
      <c r="F1857" s="81" t="s">
        <v>2087</v>
      </c>
    </row>
    <row r="1858" spans="2:6">
      <c r="B1858" s="78" t="s">
        <v>3431</v>
      </c>
      <c r="C1858" s="81"/>
      <c r="D1858" s="81"/>
      <c r="E1858" s="81"/>
      <c r="F1858" s="81" t="s">
        <v>2088</v>
      </c>
    </row>
    <row r="1859" spans="2:6">
      <c r="B1859" s="78" t="s">
        <v>3432</v>
      </c>
      <c r="C1859" s="81"/>
      <c r="D1859" s="81"/>
      <c r="E1859" s="81"/>
      <c r="F1859" s="81" t="s">
        <v>2089</v>
      </c>
    </row>
    <row r="1860" spans="2:6">
      <c r="B1860" s="78"/>
      <c r="C1860" s="81"/>
      <c r="D1860" s="81"/>
      <c r="E1860" s="81" t="s">
        <v>2090</v>
      </c>
      <c r="F1860" s="81"/>
    </row>
    <row r="1861" spans="2:6">
      <c r="B1861" s="78" t="s">
        <v>2437</v>
      </c>
      <c r="C1861" s="81"/>
      <c r="D1861" s="81"/>
      <c r="E1861" s="81"/>
      <c r="F1861" s="81" t="s">
        <v>2091</v>
      </c>
    </row>
    <row r="1862" spans="2:6">
      <c r="B1862" s="78" t="s">
        <v>3433</v>
      </c>
      <c r="C1862" s="81"/>
      <c r="D1862" s="81"/>
      <c r="E1862" s="81"/>
      <c r="F1862" s="81" t="s">
        <v>2092</v>
      </c>
    </row>
    <row r="1863" spans="2:6">
      <c r="B1863" s="78" t="s">
        <v>3434</v>
      </c>
      <c r="C1863" s="81"/>
      <c r="D1863" s="81"/>
      <c r="E1863" s="81"/>
      <c r="F1863" s="149" t="s">
        <v>3690</v>
      </c>
    </row>
    <row r="1864" spans="2:6">
      <c r="B1864" s="78" t="s">
        <v>3435</v>
      </c>
      <c r="C1864" s="81"/>
      <c r="D1864" s="81"/>
      <c r="E1864" s="81"/>
      <c r="F1864" s="81" t="s">
        <v>2093</v>
      </c>
    </row>
    <row r="1865" spans="2:6">
      <c r="B1865" s="78" t="s">
        <v>3436</v>
      </c>
      <c r="C1865" s="81"/>
      <c r="D1865" s="81"/>
      <c r="E1865" s="81"/>
      <c r="F1865" s="81" t="s">
        <v>2094</v>
      </c>
    </row>
    <row r="1866" spans="2:6">
      <c r="B1866" s="78" t="s">
        <v>3437</v>
      </c>
      <c r="C1866" s="81"/>
      <c r="D1866" s="81"/>
      <c r="E1866" s="81"/>
      <c r="F1866" s="149" t="s">
        <v>3691</v>
      </c>
    </row>
    <row r="1867" spans="2:6">
      <c r="B1867" s="78"/>
      <c r="C1867" s="81"/>
      <c r="D1867" s="81"/>
      <c r="E1867" s="81" t="s">
        <v>2095</v>
      </c>
      <c r="F1867" s="81"/>
    </row>
    <row r="1868" spans="2:6">
      <c r="B1868" s="78" t="s">
        <v>3438</v>
      </c>
      <c r="C1868" s="81"/>
      <c r="D1868" s="81"/>
      <c r="E1868" s="81"/>
      <c r="F1868" s="81" t="s">
        <v>2096</v>
      </c>
    </row>
    <row r="1869" spans="2:6">
      <c r="B1869" s="78" t="s">
        <v>3439</v>
      </c>
      <c r="C1869" s="81"/>
      <c r="D1869" s="81"/>
      <c r="E1869" s="81"/>
      <c r="F1869" s="81" t="s">
        <v>2097</v>
      </c>
    </row>
    <row r="1870" spans="2:6">
      <c r="B1870" s="78" t="s">
        <v>2438</v>
      </c>
      <c r="C1870" s="81"/>
      <c r="D1870" s="81"/>
      <c r="E1870" s="81"/>
      <c r="F1870" s="81" t="s">
        <v>2098</v>
      </c>
    </row>
    <row r="1871" spans="2:6">
      <c r="B1871" s="78" t="s">
        <v>2439</v>
      </c>
      <c r="C1871" s="81"/>
      <c r="D1871" s="81"/>
      <c r="E1871" s="81"/>
      <c r="F1871" s="81" t="s">
        <v>2099</v>
      </c>
    </row>
    <row r="1872" spans="2:6">
      <c r="B1872" s="78" t="s">
        <v>3440</v>
      </c>
      <c r="C1872" s="81"/>
      <c r="D1872" s="81"/>
      <c r="E1872" s="81"/>
      <c r="F1872" s="81" t="s">
        <v>2100</v>
      </c>
    </row>
    <row r="1873" spans="2:6">
      <c r="B1873" s="78" t="s">
        <v>3441</v>
      </c>
      <c r="C1873" s="81"/>
      <c r="D1873" s="81"/>
      <c r="E1873" s="81"/>
      <c r="F1873" s="81" t="s">
        <v>2101</v>
      </c>
    </row>
    <row r="1874" spans="2:6">
      <c r="B1874" s="78" t="s">
        <v>3442</v>
      </c>
      <c r="C1874" s="81"/>
      <c r="D1874" s="81"/>
      <c r="E1874" s="81"/>
      <c r="F1874" s="81" t="s">
        <v>2102</v>
      </c>
    </row>
    <row r="1875" spans="2:6">
      <c r="B1875" s="78" t="s">
        <v>3443</v>
      </c>
      <c r="C1875" s="81"/>
      <c r="D1875" s="81"/>
      <c r="E1875" s="81"/>
      <c r="F1875" s="81" t="s">
        <v>2103</v>
      </c>
    </row>
    <row r="1876" spans="2:6">
      <c r="B1876" s="78"/>
      <c r="C1876" s="81"/>
      <c r="D1876" s="81"/>
      <c r="E1876" s="81" t="s">
        <v>2104</v>
      </c>
      <c r="F1876" s="81"/>
    </row>
    <row r="1877" spans="2:6">
      <c r="B1877" s="78" t="s">
        <v>3444</v>
      </c>
      <c r="C1877" s="81"/>
      <c r="D1877" s="81"/>
      <c r="E1877" s="81"/>
      <c r="F1877" s="81" t="s">
        <v>2105</v>
      </c>
    </row>
    <row r="1878" spans="2:6">
      <c r="B1878" s="78" t="s">
        <v>3445</v>
      </c>
      <c r="C1878" s="81"/>
      <c r="D1878" s="81"/>
      <c r="E1878" s="81"/>
      <c r="F1878" s="81" t="s">
        <v>2106</v>
      </c>
    </row>
    <row r="1879" spans="2:6">
      <c r="B1879" s="78" t="s">
        <v>2440</v>
      </c>
      <c r="C1879" s="81"/>
      <c r="D1879" s="81"/>
      <c r="E1879" s="81"/>
      <c r="F1879" s="81" t="s">
        <v>2107</v>
      </c>
    </row>
    <row r="1880" spans="2:6">
      <c r="B1880" s="78"/>
      <c r="C1880" s="81"/>
      <c r="D1880" s="81"/>
      <c r="E1880" s="81" t="s">
        <v>2108</v>
      </c>
      <c r="F1880" s="81"/>
    </row>
    <row r="1881" spans="2:6">
      <c r="B1881" s="78" t="s">
        <v>2463</v>
      </c>
      <c r="C1881" s="81"/>
      <c r="D1881" s="81"/>
      <c r="E1881" s="81"/>
      <c r="F1881" s="81" t="s">
        <v>2109</v>
      </c>
    </row>
    <row r="1882" spans="2:6">
      <c r="B1882" s="78" t="s">
        <v>3446</v>
      </c>
      <c r="C1882" s="81"/>
      <c r="D1882" s="81"/>
      <c r="E1882" s="81"/>
      <c r="F1882" s="81" t="s">
        <v>2110</v>
      </c>
    </row>
    <row r="1883" spans="2:6">
      <c r="B1883" s="78" t="s">
        <v>3447</v>
      </c>
      <c r="C1883" s="81"/>
      <c r="D1883" s="81"/>
      <c r="E1883" s="81"/>
      <c r="F1883" s="81" t="s">
        <v>2111</v>
      </c>
    </row>
    <row r="1884" spans="2:6">
      <c r="B1884" s="78" t="s">
        <v>3448</v>
      </c>
      <c r="C1884" s="81"/>
      <c r="D1884" s="81"/>
      <c r="E1884" s="81"/>
      <c r="F1884" s="81" t="s">
        <v>2112</v>
      </c>
    </row>
    <row r="1885" spans="2:6">
      <c r="B1885" s="78" t="s">
        <v>3449</v>
      </c>
      <c r="C1885" s="81"/>
      <c r="D1885" s="81"/>
      <c r="E1885" s="81"/>
      <c r="F1885" s="81" t="s">
        <v>2113</v>
      </c>
    </row>
    <row r="1886" spans="2:6">
      <c r="B1886" s="78" t="s">
        <v>3450</v>
      </c>
      <c r="C1886" s="81"/>
      <c r="D1886" s="81"/>
      <c r="E1886" s="81"/>
      <c r="F1886" s="81" t="s">
        <v>2114</v>
      </c>
    </row>
    <row r="1887" spans="2:6">
      <c r="B1887" s="78"/>
      <c r="C1887" s="81"/>
      <c r="D1887" s="81"/>
      <c r="E1887" s="81" t="s">
        <v>2115</v>
      </c>
      <c r="F1887" s="81"/>
    </row>
    <row r="1888" spans="2:6">
      <c r="B1888" s="78" t="s">
        <v>3451</v>
      </c>
      <c r="C1888" s="81"/>
      <c r="D1888" s="81"/>
      <c r="E1888" s="81"/>
      <c r="F1888" s="81" t="s">
        <v>2116</v>
      </c>
    </row>
    <row r="1889" spans="2:6">
      <c r="B1889" s="78" t="s">
        <v>3452</v>
      </c>
      <c r="C1889" s="81"/>
      <c r="D1889" s="81"/>
      <c r="E1889" s="81"/>
      <c r="F1889" s="81" t="s">
        <v>2117</v>
      </c>
    </row>
    <row r="1890" spans="2:6">
      <c r="B1890" s="78" t="s">
        <v>3453</v>
      </c>
      <c r="C1890" s="81"/>
      <c r="D1890" s="81"/>
      <c r="E1890" s="81"/>
      <c r="F1890" s="81" t="s">
        <v>2118</v>
      </c>
    </row>
    <row r="1891" spans="2:6">
      <c r="B1891" s="78" t="s">
        <v>3454</v>
      </c>
      <c r="C1891" s="81"/>
      <c r="D1891" s="81"/>
      <c r="E1891" s="81"/>
      <c r="F1891" s="81" t="s">
        <v>2119</v>
      </c>
    </row>
    <row r="1892" spans="2:6">
      <c r="B1892" s="78" t="s">
        <v>3455</v>
      </c>
      <c r="C1892" s="81"/>
      <c r="D1892" s="81"/>
      <c r="E1892" s="81"/>
      <c r="F1892" s="81" t="s">
        <v>2120</v>
      </c>
    </row>
    <row r="1893" spans="2:6">
      <c r="B1893" s="78" t="s">
        <v>3456</v>
      </c>
      <c r="C1893" s="81"/>
      <c r="D1893" s="81"/>
      <c r="E1893" s="81"/>
      <c r="F1893" s="81" t="s">
        <v>2121</v>
      </c>
    </row>
    <row r="1894" spans="2:6">
      <c r="B1894" s="78" t="s">
        <v>3457</v>
      </c>
      <c r="C1894" s="81"/>
      <c r="D1894" s="81"/>
      <c r="E1894" s="81"/>
      <c r="F1894" s="81" t="s">
        <v>2122</v>
      </c>
    </row>
    <row r="1895" spans="2:6">
      <c r="B1895" s="78"/>
      <c r="C1895" s="81" t="s">
        <v>2123</v>
      </c>
      <c r="D1895" s="81"/>
      <c r="E1895" s="81"/>
      <c r="F1895" s="81"/>
    </row>
    <row r="1896" spans="2:6">
      <c r="B1896" s="78"/>
      <c r="C1896" s="81"/>
      <c r="D1896" s="81" t="s">
        <v>2124</v>
      </c>
      <c r="E1896" s="81"/>
      <c r="F1896" s="81"/>
    </row>
    <row r="1897" spans="2:6">
      <c r="B1897" s="78"/>
      <c r="C1897" s="81"/>
      <c r="D1897" s="81"/>
      <c r="E1897" s="81" t="s">
        <v>2125</v>
      </c>
      <c r="F1897" s="81"/>
    </row>
    <row r="1898" spans="2:6">
      <c r="B1898" s="78" t="s">
        <v>3458</v>
      </c>
      <c r="C1898" s="81"/>
      <c r="D1898" s="81"/>
      <c r="E1898" s="81"/>
      <c r="F1898" s="81" t="s">
        <v>1602</v>
      </c>
    </row>
    <row r="1899" spans="2:6">
      <c r="B1899" s="78"/>
      <c r="C1899" s="81"/>
      <c r="D1899" s="81"/>
      <c r="E1899" s="81" t="s">
        <v>2126</v>
      </c>
      <c r="F1899" s="81"/>
    </row>
    <row r="1900" spans="2:6">
      <c r="B1900" s="78" t="s">
        <v>3459</v>
      </c>
      <c r="C1900" s="81"/>
      <c r="D1900" s="81"/>
      <c r="E1900" s="81"/>
      <c r="F1900" s="81" t="s">
        <v>2126</v>
      </c>
    </row>
    <row r="1901" spans="2:6">
      <c r="B1901" s="78"/>
      <c r="C1901" s="81"/>
      <c r="D1901" s="81"/>
      <c r="E1901" s="81" t="s">
        <v>2127</v>
      </c>
      <c r="F1901" s="81"/>
    </row>
    <row r="1902" spans="2:6">
      <c r="B1902" s="78" t="s">
        <v>3460</v>
      </c>
      <c r="C1902" s="81"/>
      <c r="D1902" s="81"/>
      <c r="E1902" s="81"/>
      <c r="F1902" s="81" t="s">
        <v>2127</v>
      </c>
    </row>
    <row r="1903" spans="2:6">
      <c r="B1903" s="78"/>
      <c r="C1903" s="81"/>
      <c r="D1903" s="81"/>
      <c r="E1903" s="149" t="s">
        <v>3692</v>
      </c>
      <c r="F1903" s="81"/>
    </row>
    <row r="1904" spans="2:6">
      <c r="B1904" s="78" t="s">
        <v>3461</v>
      </c>
      <c r="C1904" s="81"/>
      <c r="D1904" s="81"/>
      <c r="E1904" s="81"/>
      <c r="F1904" s="81" t="s">
        <v>2128</v>
      </c>
    </row>
    <row r="1905" spans="2:6">
      <c r="B1905" s="150" t="s">
        <v>3693</v>
      </c>
      <c r="C1905" s="81"/>
      <c r="D1905" s="81"/>
      <c r="E1905" s="81"/>
      <c r="F1905" s="149" t="s">
        <v>3694</v>
      </c>
    </row>
    <row r="1906" spans="2:6">
      <c r="B1906" s="78"/>
      <c r="C1906" s="81"/>
      <c r="D1906" s="81"/>
      <c r="E1906" s="81" t="s">
        <v>2129</v>
      </c>
      <c r="F1906" s="81"/>
    </row>
    <row r="1907" spans="2:6">
      <c r="B1907" s="78" t="s">
        <v>3462</v>
      </c>
      <c r="C1907" s="81"/>
      <c r="D1907" s="81"/>
      <c r="E1907" s="81"/>
      <c r="F1907" s="81" t="s">
        <v>2130</v>
      </c>
    </row>
    <row r="1908" spans="2:6">
      <c r="B1908" s="78" t="s">
        <v>3463</v>
      </c>
      <c r="C1908" s="81"/>
      <c r="D1908" s="81"/>
      <c r="E1908" s="81"/>
      <c r="F1908" s="81" t="s">
        <v>2131</v>
      </c>
    </row>
    <row r="1909" spans="2:6">
      <c r="B1909" s="78"/>
      <c r="C1909" s="81"/>
      <c r="D1909" s="81"/>
      <c r="E1909" s="81" t="s">
        <v>2132</v>
      </c>
      <c r="F1909" s="81"/>
    </row>
    <row r="1910" spans="2:6">
      <c r="B1910" s="78" t="s">
        <v>3464</v>
      </c>
      <c r="C1910" s="81"/>
      <c r="D1910" s="81"/>
      <c r="E1910" s="81"/>
      <c r="F1910" s="81" t="s">
        <v>2132</v>
      </c>
    </row>
    <row r="1911" spans="2:6">
      <c r="B1911" s="78"/>
      <c r="C1911" s="81"/>
      <c r="D1911" s="81"/>
      <c r="E1911" s="81" t="s">
        <v>2133</v>
      </c>
      <c r="F1911" s="81"/>
    </row>
    <row r="1912" spans="2:6">
      <c r="B1912" s="78" t="s">
        <v>3465</v>
      </c>
      <c r="C1912" s="81"/>
      <c r="D1912" s="81"/>
      <c r="E1912" s="81"/>
      <c r="F1912" s="81" t="s">
        <v>2134</v>
      </c>
    </row>
    <row r="1913" spans="2:6">
      <c r="B1913" s="78" t="s">
        <v>3466</v>
      </c>
      <c r="C1913" s="81"/>
      <c r="D1913" s="81"/>
      <c r="E1913" s="81"/>
      <c r="F1913" s="81" t="s">
        <v>2135</v>
      </c>
    </row>
    <row r="1914" spans="2:6">
      <c r="B1914" s="78" t="s">
        <v>3467</v>
      </c>
      <c r="C1914" s="81"/>
      <c r="D1914" s="81"/>
      <c r="E1914" s="81"/>
      <c r="F1914" s="81" t="s">
        <v>2136</v>
      </c>
    </row>
    <row r="1915" spans="2:6">
      <c r="B1915" s="78"/>
      <c r="C1915" s="81"/>
      <c r="D1915" s="81"/>
      <c r="E1915" s="81" t="s">
        <v>2137</v>
      </c>
      <c r="F1915" s="81"/>
    </row>
    <row r="1916" spans="2:6">
      <c r="B1916" s="78" t="s">
        <v>3468</v>
      </c>
      <c r="C1916" s="81"/>
      <c r="D1916" s="81"/>
      <c r="E1916" s="81"/>
      <c r="F1916" s="81" t="s">
        <v>2138</v>
      </c>
    </row>
    <row r="1917" spans="2:6">
      <c r="B1917" s="78" t="s">
        <v>3469</v>
      </c>
      <c r="C1917" s="81"/>
      <c r="D1917" s="81"/>
      <c r="E1917" s="81"/>
      <c r="F1917" s="81" t="s">
        <v>2139</v>
      </c>
    </row>
    <row r="1918" spans="2:6">
      <c r="B1918" s="78"/>
      <c r="C1918" s="81"/>
      <c r="D1918" s="81"/>
      <c r="E1918" s="81" t="s">
        <v>2140</v>
      </c>
      <c r="F1918" s="81"/>
    </row>
    <row r="1919" spans="2:6">
      <c r="B1919" s="78" t="s">
        <v>3470</v>
      </c>
      <c r="C1919" s="81"/>
      <c r="D1919" s="81"/>
      <c r="E1919" s="81"/>
      <c r="F1919" s="149" t="s">
        <v>3695</v>
      </c>
    </row>
    <row r="1920" spans="2:6">
      <c r="B1920" s="78"/>
      <c r="C1920" s="81"/>
      <c r="D1920" s="81"/>
      <c r="E1920" s="81" t="s">
        <v>2141</v>
      </c>
      <c r="F1920" s="81"/>
    </row>
    <row r="1921" spans="2:6">
      <c r="B1921" s="78" t="s">
        <v>3471</v>
      </c>
      <c r="C1921" s="81"/>
      <c r="D1921" s="81"/>
      <c r="E1921" s="81"/>
      <c r="F1921" s="81" t="s">
        <v>2141</v>
      </c>
    </row>
    <row r="1922" spans="2:6">
      <c r="B1922" s="78"/>
      <c r="C1922" s="81"/>
      <c r="D1922" s="81" t="s">
        <v>2142</v>
      </c>
      <c r="E1922" s="81"/>
      <c r="F1922" s="81"/>
    </row>
    <row r="1923" spans="2:6">
      <c r="B1923" s="78"/>
      <c r="C1923" s="81"/>
      <c r="D1923" s="81"/>
      <c r="E1923" s="81" t="s">
        <v>2143</v>
      </c>
      <c r="F1923" s="81"/>
    </row>
    <row r="1924" spans="2:6">
      <c r="B1924" s="78" t="s">
        <v>3472</v>
      </c>
      <c r="C1924" s="81"/>
      <c r="D1924" s="81"/>
      <c r="E1924" s="81"/>
      <c r="F1924" s="81" t="s">
        <v>401</v>
      </c>
    </row>
    <row r="1925" spans="2:6">
      <c r="B1925" s="78" t="s">
        <v>2441</v>
      </c>
      <c r="C1925" s="81"/>
      <c r="D1925" s="81"/>
      <c r="E1925" s="81"/>
      <c r="F1925" s="81" t="s">
        <v>403</v>
      </c>
    </row>
    <row r="1926" spans="2:6">
      <c r="B1926" s="78"/>
      <c r="C1926" s="81"/>
      <c r="D1926" s="81"/>
      <c r="E1926" s="81" t="s">
        <v>2144</v>
      </c>
      <c r="F1926" s="81"/>
    </row>
    <row r="1927" spans="2:6">
      <c r="B1927" s="78" t="s">
        <v>3473</v>
      </c>
      <c r="C1927" s="81"/>
      <c r="D1927" s="81"/>
      <c r="E1927" s="81"/>
      <c r="F1927" s="81" t="s">
        <v>2145</v>
      </c>
    </row>
    <row r="1928" spans="2:6">
      <c r="B1928" s="78" t="s">
        <v>2464</v>
      </c>
      <c r="C1928" s="81"/>
      <c r="D1928" s="81"/>
      <c r="E1928" s="81"/>
      <c r="F1928" s="81" t="s">
        <v>2146</v>
      </c>
    </row>
    <row r="1929" spans="2:6">
      <c r="B1929" s="78" t="s">
        <v>3474</v>
      </c>
      <c r="C1929" s="81"/>
      <c r="D1929" s="81"/>
      <c r="E1929" s="81"/>
      <c r="F1929" s="81" t="s">
        <v>2147</v>
      </c>
    </row>
    <row r="1930" spans="2:6">
      <c r="B1930" s="78" t="s">
        <v>3475</v>
      </c>
      <c r="C1930" s="81"/>
      <c r="D1930" s="81"/>
      <c r="E1930" s="81"/>
      <c r="F1930" s="81" t="s">
        <v>2148</v>
      </c>
    </row>
    <row r="1931" spans="2:6">
      <c r="B1931" s="78" t="s">
        <v>3476</v>
      </c>
      <c r="C1931" s="81"/>
      <c r="D1931" s="81"/>
      <c r="E1931" s="81"/>
      <c r="F1931" s="81" t="s">
        <v>2149</v>
      </c>
    </row>
    <row r="1932" spans="2:6">
      <c r="B1932" s="78" t="s">
        <v>3477</v>
      </c>
      <c r="C1932" s="81"/>
      <c r="D1932" s="81"/>
      <c r="E1932" s="81"/>
      <c r="F1932" s="81" t="s">
        <v>2150</v>
      </c>
    </row>
    <row r="1933" spans="2:6">
      <c r="B1933" s="78" t="s">
        <v>3478</v>
      </c>
      <c r="C1933" s="81"/>
      <c r="D1933" s="81"/>
      <c r="E1933" s="81"/>
      <c r="F1933" s="81" t="s">
        <v>2151</v>
      </c>
    </row>
    <row r="1934" spans="2:6">
      <c r="B1934" s="78"/>
      <c r="C1934" s="81"/>
      <c r="D1934" s="81"/>
      <c r="E1934" s="81" t="s">
        <v>2152</v>
      </c>
      <c r="F1934" s="81"/>
    </row>
    <row r="1935" spans="2:6">
      <c r="B1935" s="78" t="s">
        <v>3479</v>
      </c>
      <c r="C1935" s="81"/>
      <c r="D1935" s="81"/>
      <c r="E1935" s="81"/>
      <c r="F1935" s="81" t="s">
        <v>2153</v>
      </c>
    </row>
    <row r="1936" spans="2:6">
      <c r="B1936" s="78" t="s">
        <v>2442</v>
      </c>
      <c r="C1936" s="81"/>
      <c r="D1936" s="81"/>
      <c r="E1936" s="81"/>
      <c r="F1936" s="81" t="s">
        <v>2154</v>
      </c>
    </row>
    <row r="1937" spans="2:6">
      <c r="B1937" s="78" t="s">
        <v>3480</v>
      </c>
      <c r="C1937" s="81"/>
      <c r="D1937" s="81"/>
      <c r="E1937" s="81"/>
      <c r="F1937" s="81" t="s">
        <v>2155</v>
      </c>
    </row>
    <row r="1938" spans="2:6">
      <c r="B1938" s="78"/>
      <c r="C1938" s="81"/>
      <c r="D1938" s="81"/>
      <c r="E1938" s="81" t="s">
        <v>2156</v>
      </c>
      <c r="F1938" s="81"/>
    </row>
    <row r="1939" spans="2:6">
      <c r="B1939" s="78" t="s">
        <v>2465</v>
      </c>
      <c r="C1939" s="81"/>
      <c r="D1939" s="81"/>
      <c r="E1939" s="81"/>
      <c r="F1939" s="81" t="s">
        <v>2156</v>
      </c>
    </row>
    <row r="1940" spans="2:6">
      <c r="B1940" s="78"/>
      <c r="C1940" s="81"/>
      <c r="D1940" s="81"/>
      <c r="E1940" s="81" t="s">
        <v>2157</v>
      </c>
      <c r="F1940" s="81"/>
    </row>
    <row r="1941" spans="2:6">
      <c r="B1941" s="78" t="s">
        <v>2443</v>
      </c>
      <c r="C1941" s="81"/>
      <c r="D1941" s="81"/>
      <c r="E1941" s="81"/>
      <c r="F1941" s="81" t="s">
        <v>2158</v>
      </c>
    </row>
    <row r="1942" spans="2:6">
      <c r="B1942" s="78" t="s">
        <v>3481</v>
      </c>
      <c r="C1942" s="81"/>
      <c r="D1942" s="81"/>
      <c r="E1942" s="81"/>
      <c r="F1942" s="81" t="s">
        <v>2159</v>
      </c>
    </row>
    <row r="1943" spans="2:6">
      <c r="B1943" s="78" t="s">
        <v>3482</v>
      </c>
      <c r="C1943" s="81"/>
      <c r="D1943" s="81"/>
      <c r="E1943" s="81"/>
      <c r="F1943" s="81" t="s">
        <v>2160</v>
      </c>
    </row>
    <row r="1944" spans="2:6">
      <c r="B1944" s="78" t="s">
        <v>3483</v>
      </c>
      <c r="C1944" s="81"/>
      <c r="D1944" s="81"/>
      <c r="E1944" s="81"/>
      <c r="F1944" s="81" t="s">
        <v>2161</v>
      </c>
    </row>
    <row r="1945" spans="2:6">
      <c r="B1945" s="78" t="s">
        <v>3484</v>
      </c>
      <c r="C1945" s="81"/>
      <c r="D1945" s="81"/>
      <c r="E1945" s="81"/>
      <c r="F1945" s="81" t="s">
        <v>2162</v>
      </c>
    </row>
    <row r="1946" spans="2:6">
      <c r="B1946" s="78" t="s">
        <v>3485</v>
      </c>
      <c r="C1946" s="81"/>
      <c r="D1946" s="81"/>
      <c r="E1946" s="81"/>
      <c r="F1946" s="81" t="s">
        <v>2163</v>
      </c>
    </row>
    <row r="1947" spans="2:6">
      <c r="B1947" s="78" t="s">
        <v>3486</v>
      </c>
      <c r="C1947" s="81"/>
      <c r="D1947" s="81"/>
      <c r="E1947" s="81"/>
      <c r="F1947" s="81" t="s">
        <v>2164</v>
      </c>
    </row>
    <row r="1948" spans="2:6">
      <c r="B1948" s="78"/>
      <c r="C1948" s="81"/>
      <c r="D1948" s="81"/>
      <c r="E1948" s="81" t="s">
        <v>2165</v>
      </c>
      <c r="F1948" s="81"/>
    </row>
    <row r="1949" spans="2:6">
      <c r="B1949" s="78" t="s">
        <v>2444</v>
      </c>
      <c r="C1949" s="81"/>
      <c r="D1949" s="81"/>
      <c r="E1949" s="81"/>
      <c r="F1949" s="81" t="s">
        <v>2165</v>
      </c>
    </row>
    <row r="1950" spans="2:6">
      <c r="B1950" s="78"/>
      <c r="C1950" s="81" t="s">
        <v>2166</v>
      </c>
      <c r="D1950" s="81"/>
      <c r="E1950" s="81"/>
      <c r="F1950" s="81"/>
    </row>
    <row r="1951" spans="2:6">
      <c r="B1951" s="78"/>
      <c r="C1951" s="81"/>
      <c r="D1951" s="81" t="s">
        <v>2167</v>
      </c>
      <c r="E1951" s="81"/>
      <c r="F1951" s="81"/>
    </row>
    <row r="1952" spans="2:6">
      <c r="B1952" s="78"/>
      <c r="C1952" s="81"/>
      <c r="D1952" s="81"/>
      <c r="E1952" s="81" t="s">
        <v>2168</v>
      </c>
      <c r="F1952" s="81"/>
    </row>
    <row r="1953" spans="2:6">
      <c r="B1953" s="78" t="s">
        <v>3487</v>
      </c>
      <c r="C1953" s="81"/>
      <c r="D1953" s="81"/>
      <c r="E1953" s="81"/>
      <c r="F1953" s="81" t="s">
        <v>401</v>
      </c>
    </row>
    <row r="1954" spans="2:6">
      <c r="B1954" s="78" t="s">
        <v>3488</v>
      </c>
      <c r="C1954" s="81"/>
      <c r="D1954" s="81"/>
      <c r="E1954" s="81"/>
      <c r="F1954" s="81" t="s">
        <v>403</v>
      </c>
    </row>
    <row r="1955" spans="2:6">
      <c r="B1955" s="78"/>
      <c r="C1955" s="81"/>
      <c r="D1955" s="81"/>
      <c r="E1955" s="81" t="s">
        <v>2169</v>
      </c>
      <c r="F1955" s="81"/>
    </row>
    <row r="1956" spans="2:6">
      <c r="B1956" s="78" t="s">
        <v>2445</v>
      </c>
      <c r="C1956" s="81"/>
      <c r="D1956" s="81"/>
      <c r="E1956" s="81"/>
      <c r="F1956" s="81" t="s">
        <v>2170</v>
      </c>
    </row>
    <row r="1957" spans="2:6">
      <c r="B1957" s="78" t="s">
        <v>3489</v>
      </c>
      <c r="C1957" s="81"/>
      <c r="D1957" s="81"/>
      <c r="E1957" s="81"/>
      <c r="F1957" s="81" t="s">
        <v>2171</v>
      </c>
    </row>
    <row r="1958" spans="2:6">
      <c r="B1958" s="78"/>
      <c r="C1958" s="81"/>
      <c r="D1958" s="81"/>
      <c r="E1958" s="81" t="s">
        <v>2172</v>
      </c>
      <c r="F1958" s="81"/>
    </row>
    <row r="1959" spans="2:6">
      <c r="B1959" s="78" t="s">
        <v>3490</v>
      </c>
      <c r="C1959" s="81"/>
      <c r="D1959" s="81"/>
      <c r="E1959" s="81"/>
      <c r="F1959" s="81" t="s">
        <v>2173</v>
      </c>
    </row>
    <row r="1960" spans="2:6">
      <c r="B1960" s="78" t="s">
        <v>3491</v>
      </c>
      <c r="C1960" s="81"/>
      <c r="D1960" s="81"/>
      <c r="E1960" s="81"/>
      <c r="F1960" s="81" t="s">
        <v>2174</v>
      </c>
    </row>
    <row r="1961" spans="2:6">
      <c r="B1961" s="78"/>
      <c r="C1961" s="81"/>
      <c r="D1961" s="81"/>
      <c r="E1961" s="81" t="s">
        <v>2175</v>
      </c>
      <c r="F1961" s="81"/>
    </row>
    <row r="1962" spans="2:6">
      <c r="B1962" s="78" t="s">
        <v>3492</v>
      </c>
      <c r="C1962" s="81"/>
      <c r="D1962" s="81"/>
      <c r="E1962" s="81"/>
      <c r="F1962" s="81" t="s">
        <v>2175</v>
      </c>
    </row>
    <row r="1963" spans="2:6">
      <c r="B1963" s="78"/>
      <c r="C1963" s="81"/>
      <c r="D1963" s="81"/>
      <c r="E1963" s="81" t="s">
        <v>2176</v>
      </c>
      <c r="F1963" s="81"/>
    </row>
    <row r="1964" spans="2:6">
      <c r="B1964" s="78" t="s">
        <v>3493</v>
      </c>
      <c r="C1964" s="81"/>
      <c r="D1964" s="81"/>
      <c r="E1964" s="81"/>
      <c r="F1964" s="81" t="s">
        <v>2177</v>
      </c>
    </row>
    <row r="1965" spans="2:6">
      <c r="B1965" s="78" t="s">
        <v>3494</v>
      </c>
      <c r="C1965" s="81"/>
      <c r="D1965" s="81"/>
      <c r="E1965" s="81"/>
      <c r="F1965" s="81" t="s">
        <v>2178</v>
      </c>
    </row>
    <row r="1966" spans="2:6">
      <c r="B1966" s="78"/>
      <c r="C1966" s="81"/>
      <c r="D1966" s="81"/>
      <c r="E1966" s="149" t="s">
        <v>3696</v>
      </c>
      <c r="F1966" s="81"/>
    </row>
    <row r="1967" spans="2:6">
      <c r="B1967" s="78" t="s">
        <v>2446</v>
      </c>
      <c r="C1967" s="81"/>
      <c r="D1967" s="81"/>
      <c r="E1967" s="81"/>
      <c r="F1967" s="81" t="s">
        <v>2180</v>
      </c>
    </row>
    <row r="1968" spans="2:6">
      <c r="B1968" s="150" t="s">
        <v>3697</v>
      </c>
      <c r="C1968" s="81"/>
      <c r="D1968" s="81"/>
      <c r="E1968" s="81"/>
      <c r="F1968" s="149" t="s">
        <v>2179</v>
      </c>
    </row>
    <row r="1969" spans="2:6">
      <c r="B1969" s="78"/>
      <c r="C1969" s="81"/>
      <c r="D1969" s="81"/>
      <c r="E1969" s="81" t="s">
        <v>2181</v>
      </c>
      <c r="F1969" s="81"/>
    </row>
    <row r="1970" spans="2:6">
      <c r="B1970" s="78" t="s">
        <v>3495</v>
      </c>
      <c r="C1970" s="81"/>
      <c r="D1970" s="81"/>
      <c r="E1970" s="81"/>
      <c r="F1970" s="81" t="s">
        <v>2182</v>
      </c>
    </row>
    <row r="1971" spans="2:6">
      <c r="B1971" s="78" t="s">
        <v>3496</v>
      </c>
      <c r="C1971" s="81"/>
      <c r="D1971" s="81"/>
      <c r="E1971" s="81"/>
      <c r="F1971" s="81" t="s">
        <v>2183</v>
      </c>
    </row>
    <row r="1972" spans="2:6">
      <c r="B1972" s="78"/>
      <c r="C1972" s="81"/>
      <c r="D1972" s="81" t="s">
        <v>2184</v>
      </c>
      <c r="E1972" s="81"/>
      <c r="F1972" s="81"/>
    </row>
    <row r="1973" spans="2:6">
      <c r="B1973" s="78"/>
      <c r="C1973" s="81"/>
      <c r="D1973" s="81"/>
      <c r="E1973" s="81" t="s">
        <v>2185</v>
      </c>
      <c r="F1973" s="81"/>
    </row>
    <row r="1974" spans="2:6">
      <c r="B1974" s="78" t="s">
        <v>3497</v>
      </c>
      <c r="C1974" s="81"/>
      <c r="D1974" s="81"/>
      <c r="E1974" s="81"/>
      <c r="F1974" s="81" t="s">
        <v>401</v>
      </c>
    </row>
    <row r="1975" spans="2:6">
      <c r="B1975" s="78" t="s">
        <v>3498</v>
      </c>
      <c r="C1975" s="81"/>
      <c r="D1975" s="81"/>
      <c r="E1975" s="81"/>
      <c r="F1975" s="81" t="s">
        <v>403</v>
      </c>
    </row>
    <row r="1976" spans="2:6">
      <c r="B1976" s="78"/>
      <c r="C1976" s="81"/>
      <c r="D1976" s="81"/>
      <c r="E1976" s="81" t="s">
        <v>2186</v>
      </c>
      <c r="F1976" s="81"/>
    </row>
    <row r="1977" spans="2:6">
      <c r="B1977" s="78" t="s">
        <v>3499</v>
      </c>
      <c r="C1977" s="81"/>
      <c r="D1977" s="81"/>
      <c r="E1977" s="81"/>
      <c r="F1977" s="81" t="s">
        <v>2186</v>
      </c>
    </row>
    <row r="1978" spans="2:6">
      <c r="B1978" s="78"/>
      <c r="C1978" s="81"/>
      <c r="D1978" s="81"/>
      <c r="E1978" s="81" t="s">
        <v>2187</v>
      </c>
      <c r="F1978" s="81"/>
    </row>
    <row r="1979" spans="2:6">
      <c r="B1979" s="78" t="s">
        <v>3500</v>
      </c>
      <c r="C1979" s="81"/>
      <c r="D1979" s="81"/>
      <c r="E1979" s="81"/>
      <c r="F1979" s="81" t="s">
        <v>2188</v>
      </c>
    </row>
    <row r="1980" spans="2:6">
      <c r="B1980" s="78" t="s">
        <v>3501</v>
      </c>
      <c r="C1980" s="81"/>
      <c r="D1980" s="81"/>
      <c r="E1980" s="81"/>
      <c r="F1980" s="81" t="s">
        <v>2189</v>
      </c>
    </row>
    <row r="1981" spans="2:6">
      <c r="B1981" s="78" t="s">
        <v>2447</v>
      </c>
      <c r="C1981" s="81"/>
      <c r="D1981" s="81"/>
      <c r="E1981" s="81"/>
      <c r="F1981" s="81" t="s">
        <v>2190</v>
      </c>
    </row>
    <row r="1982" spans="2:6">
      <c r="B1982" s="78" t="s">
        <v>3502</v>
      </c>
      <c r="C1982" s="81"/>
      <c r="D1982" s="81"/>
      <c r="E1982" s="81"/>
      <c r="F1982" s="81" t="s">
        <v>2191</v>
      </c>
    </row>
    <row r="1983" spans="2:6">
      <c r="B1983" s="78"/>
      <c r="C1983" s="81"/>
      <c r="D1983" s="81"/>
      <c r="E1983" s="81" t="s">
        <v>2192</v>
      </c>
      <c r="F1983" s="81"/>
    </row>
    <row r="1984" spans="2:6">
      <c r="B1984" s="78" t="s">
        <v>3503</v>
      </c>
      <c r="C1984" s="81"/>
      <c r="D1984" s="81"/>
      <c r="E1984" s="81"/>
      <c r="F1984" s="81" t="s">
        <v>2193</v>
      </c>
    </row>
    <row r="1985" spans="2:6">
      <c r="B1985" s="78" t="s">
        <v>3504</v>
      </c>
      <c r="C1985" s="81"/>
      <c r="D1985" s="81"/>
      <c r="E1985" s="81"/>
      <c r="F1985" s="81" t="s">
        <v>2194</v>
      </c>
    </row>
    <row r="1986" spans="2:6">
      <c r="B1986" s="78" t="s">
        <v>3505</v>
      </c>
      <c r="C1986" s="81"/>
      <c r="D1986" s="81"/>
      <c r="E1986" s="81"/>
      <c r="F1986" s="81" t="s">
        <v>2195</v>
      </c>
    </row>
    <row r="1987" spans="2:6">
      <c r="B1987" s="78"/>
      <c r="C1987" s="81"/>
      <c r="D1987" s="81" t="s">
        <v>2196</v>
      </c>
      <c r="E1987" s="81"/>
      <c r="F1987" s="81"/>
    </row>
    <row r="1988" spans="2:6">
      <c r="B1988" s="78"/>
      <c r="C1988" s="81"/>
      <c r="D1988" s="81"/>
      <c r="E1988" s="81" t="s">
        <v>2197</v>
      </c>
      <c r="F1988" s="81"/>
    </row>
    <row r="1989" spans="2:6">
      <c r="B1989" s="78" t="s">
        <v>3506</v>
      </c>
      <c r="C1989" s="81"/>
      <c r="D1989" s="81"/>
      <c r="E1989" s="81"/>
      <c r="F1989" s="81" t="s">
        <v>401</v>
      </c>
    </row>
    <row r="1990" spans="2:6">
      <c r="B1990" s="78" t="s">
        <v>3507</v>
      </c>
      <c r="C1990" s="81"/>
      <c r="D1990" s="81"/>
      <c r="E1990" s="81"/>
      <c r="F1990" s="81" t="s">
        <v>403</v>
      </c>
    </row>
    <row r="1991" spans="2:6">
      <c r="B1991" s="78"/>
      <c r="C1991" s="81"/>
      <c r="D1991" s="81"/>
      <c r="E1991" s="81" t="s">
        <v>2198</v>
      </c>
      <c r="F1991" s="81"/>
    </row>
    <row r="1992" spans="2:6">
      <c r="B1992" s="78" t="s">
        <v>3508</v>
      </c>
      <c r="C1992" s="81"/>
      <c r="D1992" s="81"/>
      <c r="E1992" s="81"/>
      <c r="F1992" s="81" t="s">
        <v>2198</v>
      </c>
    </row>
    <row r="1993" spans="2:6">
      <c r="B1993" s="78"/>
      <c r="C1993" s="81"/>
      <c r="D1993" s="81"/>
      <c r="E1993" s="81" t="s">
        <v>2199</v>
      </c>
      <c r="F1993" s="81"/>
    </row>
    <row r="1994" spans="2:6">
      <c r="B1994" s="78" t="s">
        <v>3509</v>
      </c>
      <c r="C1994" s="81"/>
      <c r="D1994" s="81"/>
      <c r="E1994" s="81"/>
      <c r="F1994" s="81" t="s">
        <v>2199</v>
      </c>
    </row>
    <row r="1995" spans="2:6">
      <c r="B1995" s="78"/>
      <c r="C1995" s="81"/>
      <c r="D1995" s="81"/>
      <c r="E1995" s="81" t="s">
        <v>2200</v>
      </c>
      <c r="F1995" s="81"/>
    </row>
    <row r="1996" spans="2:6">
      <c r="B1996" s="78" t="s">
        <v>3510</v>
      </c>
      <c r="C1996" s="81"/>
      <c r="D1996" s="81"/>
      <c r="E1996" s="81"/>
      <c r="F1996" s="81" t="s">
        <v>2201</v>
      </c>
    </row>
    <row r="1997" spans="2:6">
      <c r="B1997" s="78" t="s">
        <v>2448</v>
      </c>
      <c r="C1997" s="81"/>
      <c r="D1997" s="81"/>
      <c r="E1997" s="81"/>
      <c r="F1997" s="81" t="s">
        <v>2202</v>
      </c>
    </row>
    <row r="1998" spans="2:6">
      <c r="B1998" s="78"/>
      <c r="C1998" s="81"/>
      <c r="D1998" s="81"/>
      <c r="E1998" s="81" t="s">
        <v>2203</v>
      </c>
      <c r="F1998" s="81"/>
    </row>
    <row r="1999" spans="2:6">
      <c r="B1999" s="78" t="s">
        <v>3511</v>
      </c>
      <c r="C1999" s="81"/>
      <c r="D1999" s="81"/>
      <c r="E1999" s="81"/>
      <c r="F1999" s="81" t="s">
        <v>2204</v>
      </c>
    </row>
    <row r="2000" spans="2:6">
      <c r="B2000" s="78" t="s">
        <v>3512</v>
      </c>
      <c r="C2000" s="81"/>
      <c r="D2000" s="81"/>
      <c r="E2000" s="81"/>
      <c r="F2000" s="81" t="s">
        <v>2205</v>
      </c>
    </row>
    <row r="2001" spans="2:6">
      <c r="B2001" s="78" t="s">
        <v>3513</v>
      </c>
      <c r="C2001" s="81"/>
      <c r="D2001" s="81"/>
      <c r="E2001" s="81"/>
      <c r="F2001" s="149" t="s">
        <v>3698</v>
      </c>
    </row>
    <row r="2002" spans="2:6">
      <c r="B2002" s="78" t="s">
        <v>3514</v>
      </c>
      <c r="C2002" s="81"/>
      <c r="D2002" s="81"/>
      <c r="E2002" s="81"/>
      <c r="F2002" s="149" t="s">
        <v>2206</v>
      </c>
    </row>
    <row r="2003" spans="2:6">
      <c r="B2003" s="78" t="s">
        <v>3515</v>
      </c>
      <c r="C2003" s="81"/>
      <c r="D2003" s="81"/>
      <c r="E2003" s="81"/>
      <c r="F2003" s="149" t="s">
        <v>2207</v>
      </c>
    </row>
    <row r="2004" spans="2:6">
      <c r="B2004" s="78" t="s">
        <v>3516</v>
      </c>
      <c r="C2004" s="81"/>
      <c r="D2004" s="81"/>
      <c r="E2004" s="81"/>
      <c r="F2004" s="149" t="s">
        <v>2208</v>
      </c>
    </row>
    <row r="2005" spans="2:6">
      <c r="B2005" s="78" t="s">
        <v>3699</v>
      </c>
      <c r="C2005" s="81"/>
      <c r="D2005" s="81"/>
      <c r="E2005" s="81"/>
      <c r="F2005" s="149" t="s">
        <v>2209</v>
      </c>
    </row>
    <row r="2006" spans="2:6">
      <c r="B2006" s="78" t="s">
        <v>3517</v>
      </c>
      <c r="C2006" s="81"/>
      <c r="D2006" s="81"/>
      <c r="E2006" s="81"/>
      <c r="F2006" s="81" t="s">
        <v>2210</v>
      </c>
    </row>
    <row r="2007" spans="2:6">
      <c r="B2007" s="78"/>
      <c r="C2007" s="81"/>
      <c r="D2007" s="81"/>
      <c r="E2007" s="81" t="s">
        <v>2211</v>
      </c>
      <c r="F2007" s="81"/>
    </row>
    <row r="2008" spans="2:6">
      <c r="B2008" s="78" t="s">
        <v>3518</v>
      </c>
      <c r="C2008" s="81"/>
      <c r="D2008" s="81"/>
      <c r="E2008" s="81"/>
      <c r="F2008" s="81" t="s">
        <v>2212</v>
      </c>
    </row>
    <row r="2009" spans="2:6">
      <c r="B2009" s="78" t="s">
        <v>3519</v>
      </c>
      <c r="C2009" s="81"/>
      <c r="D2009" s="81"/>
      <c r="E2009" s="81"/>
      <c r="F2009" s="81" t="s">
        <v>2213</v>
      </c>
    </row>
    <row r="2010" spans="2:6">
      <c r="B2010" s="78"/>
      <c r="C2010" s="81"/>
      <c r="D2010" s="81"/>
      <c r="E2010" s="81" t="s">
        <v>2214</v>
      </c>
      <c r="F2010" s="81"/>
    </row>
    <row r="2011" spans="2:6">
      <c r="B2011" s="78" t="s">
        <v>3520</v>
      </c>
      <c r="C2011" s="81"/>
      <c r="D2011" s="81"/>
      <c r="E2011" s="81"/>
      <c r="F2011" s="81" t="s">
        <v>2215</v>
      </c>
    </row>
    <row r="2012" spans="2:6">
      <c r="B2012" s="78" t="s">
        <v>3521</v>
      </c>
      <c r="C2012" s="81"/>
      <c r="D2012" s="81"/>
      <c r="E2012" s="81"/>
      <c r="F2012" s="81" t="s">
        <v>2216</v>
      </c>
    </row>
    <row r="2013" spans="2:6">
      <c r="B2013" s="78"/>
      <c r="C2013" s="81" t="s">
        <v>2217</v>
      </c>
      <c r="D2013" s="81"/>
      <c r="E2013" s="81"/>
      <c r="F2013" s="81"/>
    </row>
    <row r="2014" spans="2:6">
      <c r="B2014" s="78"/>
      <c r="C2014" s="81"/>
      <c r="D2014" s="81" t="s">
        <v>2218</v>
      </c>
      <c r="E2014" s="81"/>
      <c r="F2014" s="81"/>
    </row>
    <row r="2015" spans="2:6">
      <c r="B2015" s="78"/>
      <c r="C2015" s="81"/>
      <c r="D2015" s="81"/>
      <c r="E2015" s="81" t="s">
        <v>2219</v>
      </c>
      <c r="F2015" s="81"/>
    </row>
    <row r="2016" spans="2:6">
      <c r="B2016" s="78" t="s">
        <v>3522</v>
      </c>
      <c r="C2016" s="81"/>
      <c r="D2016" s="81"/>
      <c r="E2016" s="81"/>
      <c r="F2016" s="81" t="s">
        <v>1602</v>
      </c>
    </row>
    <row r="2017" spans="2:6">
      <c r="B2017" s="78"/>
      <c r="C2017" s="81"/>
      <c r="D2017" s="81"/>
      <c r="E2017" s="81" t="s">
        <v>2218</v>
      </c>
      <c r="F2017" s="81"/>
    </row>
    <row r="2018" spans="2:6">
      <c r="B2018" s="78" t="s">
        <v>3523</v>
      </c>
      <c r="C2018" s="81"/>
      <c r="D2018" s="81"/>
      <c r="E2018" s="81"/>
      <c r="F2018" s="81" t="s">
        <v>2218</v>
      </c>
    </row>
    <row r="2019" spans="2:6">
      <c r="B2019" s="78"/>
      <c r="C2019" s="81"/>
      <c r="D2019" s="81"/>
      <c r="E2019" s="81" t="s">
        <v>2220</v>
      </c>
      <c r="F2019" s="81"/>
    </row>
    <row r="2020" spans="2:6">
      <c r="B2020" s="78" t="s">
        <v>3524</v>
      </c>
      <c r="C2020" s="81"/>
      <c r="D2020" s="81"/>
      <c r="E2020" s="81"/>
      <c r="F2020" s="81" t="s">
        <v>2221</v>
      </c>
    </row>
    <row r="2021" spans="2:6">
      <c r="B2021" s="78" t="s">
        <v>3525</v>
      </c>
      <c r="C2021" s="81"/>
      <c r="D2021" s="81"/>
      <c r="E2021" s="81"/>
      <c r="F2021" s="81" t="s">
        <v>2222</v>
      </c>
    </row>
    <row r="2022" spans="2:6">
      <c r="B2022" s="78"/>
      <c r="C2022" s="81"/>
      <c r="D2022" s="81" t="s">
        <v>2223</v>
      </c>
      <c r="E2022" s="81"/>
      <c r="F2022" s="81"/>
    </row>
    <row r="2023" spans="2:6">
      <c r="B2023" s="78"/>
      <c r="C2023" s="81"/>
      <c r="D2023" s="81"/>
      <c r="E2023" s="81" t="s">
        <v>2224</v>
      </c>
      <c r="F2023" s="81"/>
    </row>
    <row r="2024" spans="2:6">
      <c r="B2024" s="78" t="s">
        <v>3526</v>
      </c>
      <c r="C2024" s="81"/>
      <c r="D2024" s="81"/>
      <c r="E2024" s="81"/>
      <c r="F2024" s="81" t="s">
        <v>1602</v>
      </c>
    </row>
    <row r="2025" spans="2:6">
      <c r="B2025" s="78"/>
      <c r="C2025" s="81"/>
      <c r="D2025" s="81"/>
      <c r="E2025" s="81" t="s">
        <v>2225</v>
      </c>
      <c r="F2025" s="81"/>
    </row>
    <row r="2026" spans="2:6">
      <c r="B2026" s="78" t="s">
        <v>3527</v>
      </c>
      <c r="C2026" s="81"/>
      <c r="D2026" s="81"/>
      <c r="E2026" s="81"/>
      <c r="F2026" s="81" t="s">
        <v>2226</v>
      </c>
    </row>
    <row r="2027" spans="2:6">
      <c r="B2027" s="78" t="s">
        <v>3528</v>
      </c>
      <c r="C2027" s="81"/>
      <c r="D2027" s="81"/>
      <c r="E2027" s="81"/>
      <c r="F2027" s="81" t="s">
        <v>2227</v>
      </c>
    </row>
    <row r="2028" spans="2:6">
      <c r="B2028" s="78" t="s">
        <v>3529</v>
      </c>
      <c r="C2028" s="81"/>
      <c r="D2028" s="81"/>
      <c r="E2028" s="81"/>
      <c r="F2028" s="81" t="s">
        <v>2228</v>
      </c>
    </row>
    <row r="2029" spans="2:6">
      <c r="B2029" s="78" t="s">
        <v>3530</v>
      </c>
      <c r="C2029" s="81"/>
      <c r="D2029" s="81"/>
      <c r="E2029" s="81"/>
      <c r="F2029" s="81" t="s">
        <v>2229</v>
      </c>
    </row>
    <row r="2030" spans="2:6">
      <c r="B2030" s="78"/>
      <c r="C2030" s="81"/>
      <c r="D2030" s="81"/>
      <c r="E2030" s="81" t="s">
        <v>2230</v>
      </c>
      <c r="F2030" s="81"/>
    </row>
    <row r="2031" spans="2:6">
      <c r="B2031" s="78" t="s">
        <v>3531</v>
      </c>
      <c r="C2031" s="81"/>
      <c r="D2031" s="81"/>
      <c r="E2031" s="81"/>
      <c r="F2031" s="81" t="s">
        <v>2230</v>
      </c>
    </row>
    <row r="2032" spans="2:6">
      <c r="B2032" s="78"/>
      <c r="C2032" s="81" t="s">
        <v>2231</v>
      </c>
      <c r="D2032" s="81"/>
      <c r="E2032" s="81"/>
      <c r="F2032" s="81"/>
    </row>
    <row r="2033" spans="2:6">
      <c r="B2033" s="78"/>
      <c r="C2033" s="81"/>
      <c r="D2033" s="81" t="s">
        <v>2232</v>
      </c>
      <c r="E2033" s="81"/>
      <c r="F2033" s="81"/>
    </row>
    <row r="2034" spans="2:6">
      <c r="B2034" s="78"/>
      <c r="C2034" s="81"/>
      <c r="D2034" s="81"/>
      <c r="E2034" s="81" t="s">
        <v>2233</v>
      </c>
      <c r="F2034" s="81"/>
    </row>
    <row r="2035" spans="2:6">
      <c r="B2035" s="78" t="s">
        <v>2466</v>
      </c>
      <c r="C2035" s="81"/>
      <c r="D2035" s="81"/>
      <c r="E2035" s="81"/>
      <c r="F2035" s="81" t="s">
        <v>401</v>
      </c>
    </row>
    <row r="2036" spans="2:6">
      <c r="B2036" s="78" t="s">
        <v>3532</v>
      </c>
      <c r="C2036" s="81"/>
      <c r="D2036" s="81"/>
      <c r="E2036" s="81"/>
      <c r="F2036" s="81" t="s">
        <v>403</v>
      </c>
    </row>
    <row r="2037" spans="2:6">
      <c r="B2037" s="78"/>
      <c r="C2037" s="81"/>
      <c r="D2037" s="81"/>
      <c r="E2037" s="81" t="s">
        <v>2234</v>
      </c>
      <c r="F2037" s="81"/>
    </row>
    <row r="2038" spans="2:6">
      <c r="B2038" s="78" t="s">
        <v>3533</v>
      </c>
      <c r="C2038" s="81"/>
      <c r="D2038" s="81"/>
      <c r="E2038" s="81"/>
      <c r="F2038" s="81" t="s">
        <v>2235</v>
      </c>
    </row>
    <row r="2039" spans="2:6">
      <c r="B2039" s="78" t="s">
        <v>3534</v>
      </c>
      <c r="C2039" s="81"/>
      <c r="D2039" s="81"/>
      <c r="E2039" s="81"/>
      <c r="F2039" s="81" t="s">
        <v>2236</v>
      </c>
    </row>
    <row r="2040" spans="2:6">
      <c r="B2040" s="78" t="s">
        <v>2449</v>
      </c>
      <c r="C2040" s="81"/>
      <c r="D2040" s="81"/>
      <c r="E2040" s="81"/>
      <c r="F2040" s="81" t="s">
        <v>2237</v>
      </c>
    </row>
    <row r="2041" spans="2:6">
      <c r="B2041" s="78" t="s">
        <v>2450</v>
      </c>
      <c r="C2041" s="81"/>
      <c r="D2041" s="81"/>
      <c r="E2041" s="81"/>
      <c r="F2041" s="81" t="s">
        <v>2238</v>
      </c>
    </row>
    <row r="2042" spans="2:6">
      <c r="B2042" s="78" t="s">
        <v>2451</v>
      </c>
      <c r="C2042" s="81"/>
      <c r="D2042" s="81"/>
      <c r="E2042" s="81"/>
      <c r="F2042" s="81" t="s">
        <v>2239</v>
      </c>
    </row>
    <row r="2043" spans="2:6">
      <c r="B2043" s="78" t="s">
        <v>3535</v>
      </c>
      <c r="C2043" s="81"/>
      <c r="D2043" s="81"/>
      <c r="E2043" s="81"/>
      <c r="F2043" s="81" t="s">
        <v>2240</v>
      </c>
    </row>
    <row r="2044" spans="2:6">
      <c r="B2044" s="78" t="s">
        <v>3536</v>
      </c>
      <c r="C2044" s="81"/>
      <c r="D2044" s="81"/>
      <c r="E2044" s="81"/>
      <c r="F2044" s="81" t="s">
        <v>2241</v>
      </c>
    </row>
    <row r="2045" spans="2:6">
      <c r="B2045" s="78"/>
      <c r="C2045" s="81"/>
      <c r="D2045" s="81"/>
      <c r="E2045" s="81" t="s">
        <v>2242</v>
      </c>
      <c r="F2045" s="81"/>
    </row>
    <row r="2046" spans="2:6">
      <c r="B2046" s="78" t="s">
        <v>3537</v>
      </c>
      <c r="C2046" s="81"/>
      <c r="D2046" s="81"/>
      <c r="E2046" s="81"/>
      <c r="F2046" s="81" t="s">
        <v>2243</v>
      </c>
    </row>
    <row r="2047" spans="2:6">
      <c r="B2047" s="78" t="s">
        <v>3538</v>
      </c>
      <c r="C2047" s="81"/>
      <c r="D2047" s="81"/>
      <c r="E2047" s="81"/>
      <c r="F2047" s="81" t="s">
        <v>2244</v>
      </c>
    </row>
    <row r="2048" spans="2:6">
      <c r="B2048" s="78" t="s">
        <v>3539</v>
      </c>
      <c r="C2048" s="81"/>
      <c r="D2048" s="81"/>
      <c r="E2048" s="81"/>
      <c r="F2048" s="81" t="s">
        <v>2245</v>
      </c>
    </row>
    <row r="2049" spans="2:6">
      <c r="B2049" s="78" t="s">
        <v>3540</v>
      </c>
      <c r="C2049" s="81"/>
      <c r="D2049" s="81"/>
      <c r="E2049" s="81"/>
      <c r="F2049" s="81" t="s">
        <v>2246</v>
      </c>
    </row>
    <row r="2050" spans="2:6">
      <c r="B2050" s="78"/>
      <c r="C2050" s="81"/>
      <c r="D2050" s="81"/>
      <c r="E2050" s="81" t="s">
        <v>2247</v>
      </c>
      <c r="F2050" s="81"/>
    </row>
    <row r="2051" spans="2:6">
      <c r="B2051" s="78" t="s">
        <v>3541</v>
      </c>
      <c r="C2051" s="81"/>
      <c r="D2051" s="81"/>
      <c r="E2051" s="81"/>
      <c r="F2051" s="81" t="s">
        <v>2248</v>
      </c>
    </row>
    <row r="2052" spans="2:6">
      <c r="B2052" s="78" t="s">
        <v>2467</v>
      </c>
      <c r="C2052" s="81"/>
      <c r="D2052" s="81"/>
      <c r="E2052" s="81"/>
      <c r="F2052" s="81" t="s">
        <v>2249</v>
      </c>
    </row>
    <row r="2053" spans="2:6">
      <c r="B2053" s="78"/>
      <c r="C2053" s="81"/>
      <c r="D2053" s="81" t="s">
        <v>2250</v>
      </c>
      <c r="E2053" s="81"/>
      <c r="F2053" s="81"/>
    </row>
    <row r="2054" spans="2:6">
      <c r="B2054" s="78"/>
      <c r="C2054" s="81"/>
      <c r="D2054" s="81"/>
      <c r="E2054" s="81" t="s">
        <v>2251</v>
      </c>
      <c r="F2054" s="81"/>
    </row>
    <row r="2055" spans="2:6">
      <c r="B2055" s="78" t="s">
        <v>3542</v>
      </c>
      <c r="C2055" s="81"/>
      <c r="D2055" s="81"/>
      <c r="E2055" s="81"/>
      <c r="F2055" s="81" t="s">
        <v>1602</v>
      </c>
    </row>
    <row r="2056" spans="2:6">
      <c r="B2056" s="78"/>
      <c r="C2056" s="81"/>
      <c r="D2056" s="81"/>
      <c r="E2056" s="81" t="s">
        <v>2250</v>
      </c>
      <c r="F2056" s="81"/>
    </row>
    <row r="2057" spans="2:6">
      <c r="B2057" s="78" t="s">
        <v>3543</v>
      </c>
      <c r="C2057" s="81"/>
      <c r="D2057" s="81"/>
      <c r="E2057" s="81"/>
      <c r="F2057" s="81" t="s">
        <v>2252</v>
      </c>
    </row>
    <row r="2058" spans="2:6">
      <c r="B2058" s="78" t="s">
        <v>3544</v>
      </c>
      <c r="C2058" s="81"/>
      <c r="D2058" s="81"/>
      <c r="E2058" s="81"/>
      <c r="F2058" s="81" t="s">
        <v>2253</v>
      </c>
    </row>
    <row r="2059" spans="2:6">
      <c r="B2059" s="78"/>
      <c r="C2059" s="81"/>
      <c r="D2059" s="81" t="s">
        <v>2254</v>
      </c>
      <c r="E2059" s="81"/>
      <c r="F2059" s="81"/>
    </row>
    <row r="2060" spans="2:6">
      <c r="B2060" s="78"/>
      <c r="C2060" s="81"/>
      <c r="D2060" s="81"/>
      <c r="E2060" s="81" t="s">
        <v>2255</v>
      </c>
      <c r="F2060" s="81"/>
    </row>
    <row r="2061" spans="2:6">
      <c r="B2061" s="78" t="s">
        <v>3545</v>
      </c>
      <c r="C2061" s="81"/>
      <c r="D2061" s="81"/>
      <c r="E2061" s="81"/>
      <c r="F2061" s="81" t="s">
        <v>401</v>
      </c>
    </row>
    <row r="2062" spans="2:6">
      <c r="B2062" s="78" t="s">
        <v>3546</v>
      </c>
      <c r="C2062" s="81"/>
      <c r="D2062" s="81"/>
      <c r="E2062" s="81"/>
      <c r="F2062" s="81" t="s">
        <v>403</v>
      </c>
    </row>
    <row r="2063" spans="2:6">
      <c r="B2063" s="78"/>
      <c r="C2063" s="81"/>
      <c r="D2063" s="81"/>
      <c r="E2063" s="81" t="s">
        <v>2256</v>
      </c>
      <c r="F2063" s="81"/>
    </row>
    <row r="2064" spans="2:6">
      <c r="B2064" s="78" t="s">
        <v>3547</v>
      </c>
      <c r="C2064" s="81"/>
      <c r="D2064" s="81"/>
      <c r="E2064" s="81"/>
      <c r="F2064" s="81" t="s">
        <v>2257</v>
      </c>
    </row>
    <row r="2065" spans="2:6">
      <c r="B2065" s="78" t="s">
        <v>3548</v>
      </c>
      <c r="C2065" s="81"/>
      <c r="D2065" s="81"/>
      <c r="E2065" s="81"/>
      <c r="F2065" s="81" t="s">
        <v>2258</v>
      </c>
    </row>
    <row r="2066" spans="2:6">
      <c r="B2066" s="78"/>
      <c r="C2066" s="81"/>
      <c r="D2066" s="81"/>
      <c r="E2066" s="81" t="s">
        <v>2259</v>
      </c>
      <c r="F2066" s="81"/>
    </row>
    <row r="2067" spans="2:6">
      <c r="B2067" s="78" t="s">
        <v>3549</v>
      </c>
      <c r="C2067" s="81"/>
      <c r="D2067" s="81"/>
      <c r="E2067" s="81"/>
      <c r="F2067" s="81" t="s">
        <v>2259</v>
      </c>
    </row>
    <row r="2068" spans="2:6">
      <c r="B2068" s="78"/>
      <c r="C2068" s="81"/>
      <c r="D2068" s="81"/>
      <c r="E2068" s="81" t="s">
        <v>2260</v>
      </c>
      <c r="F2068" s="81"/>
    </row>
    <row r="2069" spans="2:6">
      <c r="B2069" s="78" t="s">
        <v>3550</v>
      </c>
      <c r="C2069" s="81"/>
      <c r="D2069" s="81"/>
      <c r="E2069" s="81"/>
      <c r="F2069" s="81" t="s">
        <v>2260</v>
      </c>
    </row>
    <row r="2070" spans="2:6">
      <c r="B2070" s="78"/>
      <c r="C2070" s="81"/>
      <c r="D2070" s="81"/>
      <c r="E2070" s="81" t="s">
        <v>2261</v>
      </c>
      <c r="F2070" s="81"/>
    </row>
    <row r="2071" spans="2:6">
      <c r="B2071" s="78" t="s">
        <v>3551</v>
      </c>
      <c r="C2071" s="81"/>
      <c r="D2071" s="81"/>
      <c r="E2071" s="81"/>
      <c r="F2071" s="81" t="s">
        <v>2262</v>
      </c>
    </row>
    <row r="2072" spans="2:6">
      <c r="B2072" s="78" t="s">
        <v>3552</v>
      </c>
      <c r="C2072" s="81"/>
      <c r="D2072" s="81"/>
      <c r="E2072" s="81"/>
      <c r="F2072" s="81" t="s">
        <v>2263</v>
      </c>
    </row>
    <row r="2073" spans="2:6">
      <c r="B2073" s="78" t="s">
        <v>3553</v>
      </c>
      <c r="C2073" s="81"/>
      <c r="D2073" s="81"/>
      <c r="E2073" s="81"/>
      <c r="F2073" s="81" t="s">
        <v>2264</v>
      </c>
    </row>
    <row r="2074" spans="2:6">
      <c r="B2074" s="78" t="s">
        <v>3554</v>
      </c>
      <c r="C2074" s="81"/>
      <c r="D2074" s="81"/>
      <c r="E2074" s="81"/>
      <c r="F2074" s="81" t="s">
        <v>2265</v>
      </c>
    </row>
    <row r="2075" spans="2:6">
      <c r="B2075" s="78" t="s">
        <v>3555</v>
      </c>
      <c r="C2075" s="81"/>
      <c r="D2075" s="81"/>
      <c r="E2075" s="81"/>
      <c r="F2075" s="81" t="s">
        <v>2266</v>
      </c>
    </row>
    <row r="2076" spans="2:6">
      <c r="B2076" s="78"/>
      <c r="C2076" s="81"/>
      <c r="D2076" s="81" t="s">
        <v>2267</v>
      </c>
      <c r="E2076" s="81"/>
      <c r="F2076" s="81"/>
    </row>
    <row r="2077" spans="2:6">
      <c r="B2077" s="78"/>
      <c r="C2077" s="81"/>
      <c r="D2077" s="81"/>
      <c r="E2077" s="81" t="s">
        <v>2268</v>
      </c>
      <c r="F2077" s="81"/>
    </row>
    <row r="2078" spans="2:6">
      <c r="B2078" s="78" t="s">
        <v>3556</v>
      </c>
      <c r="C2078" s="81"/>
      <c r="D2078" s="81"/>
      <c r="E2078" s="81"/>
      <c r="F2078" s="81" t="s">
        <v>401</v>
      </c>
    </row>
    <row r="2079" spans="2:6">
      <c r="B2079" s="78" t="s">
        <v>3557</v>
      </c>
      <c r="C2079" s="81"/>
      <c r="D2079" s="81"/>
      <c r="E2079" s="81"/>
      <c r="F2079" s="81" t="s">
        <v>403</v>
      </c>
    </row>
    <row r="2080" spans="2:6">
      <c r="B2080" s="78"/>
      <c r="C2080" s="81"/>
      <c r="D2080" s="81"/>
      <c r="E2080" s="81" t="s">
        <v>2269</v>
      </c>
      <c r="F2080" s="81"/>
    </row>
    <row r="2081" spans="2:6">
      <c r="B2081" s="78" t="s">
        <v>3558</v>
      </c>
      <c r="C2081" s="81"/>
      <c r="D2081" s="81"/>
      <c r="E2081" s="81"/>
      <c r="F2081" s="81" t="s">
        <v>2269</v>
      </c>
    </row>
    <row r="2082" spans="2:6">
      <c r="B2082" s="78"/>
      <c r="C2082" s="81"/>
      <c r="D2082" s="81"/>
      <c r="E2082" s="81" t="s">
        <v>2270</v>
      </c>
      <c r="F2082" s="81"/>
    </row>
    <row r="2083" spans="2:6">
      <c r="B2083" s="78" t="s">
        <v>3559</v>
      </c>
      <c r="C2083" s="81"/>
      <c r="D2083" s="81"/>
      <c r="E2083" s="81"/>
      <c r="F2083" s="81" t="s">
        <v>2270</v>
      </c>
    </row>
    <row r="2084" spans="2:6">
      <c r="B2084" s="78"/>
      <c r="C2084" s="81"/>
      <c r="D2084" s="81" t="s">
        <v>2271</v>
      </c>
      <c r="E2084" s="81"/>
      <c r="F2084" s="81"/>
    </row>
    <row r="2085" spans="2:6">
      <c r="B2085" s="78"/>
      <c r="C2085" s="81"/>
      <c r="D2085" s="81"/>
      <c r="E2085" s="81" t="s">
        <v>2272</v>
      </c>
      <c r="F2085" s="81"/>
    </row>
    <row r="2086" spans="2:6">
      <c r="B2086" s="78" t="s">
        <v>3560</v>
      </c>
      <c r="C2086" s="81"/>
      <c r="D2086" s="81"/>
      <c r="E2086" s="81"/>
      <c r="F2086" s="81" t="s">
        <v>401</v>
      </c>
    </row>
    <row r="2087" spans="2:6">
      <c r="B2087" s="78" t="s">
        <v>3561</v>
      </c>
      <c r="C2087" s="81"/>
      <c r="D2087" s="81"/>
      <c r="E2087" s="81"/>
      <c r="F2087" s="81" t="s">
        <v>403</v>
      </c>
    </row>
    <row r="2088" spans="2:6">
      <c r="B2088" s="78"/>
      <c r="C2088" s="81"/>
      <c r="D2088" s="81"/>
      <c r="E2088" s="81" t="s">
        <v>2273</v>
      </c>
      <c r="F2088" s="81"/>
    </row>
    <row r="2089" spans="2:6">
      <c r="B2089" s="78" t="s">
        <v>3562</v>
      </c>
      <c r="C2089" s="81"/>
      <c r="D2089" s="81"/>
      <c r="E2089" s="81"/>
      <c r="F2089" s="81" t="s">
        <v>2274</v>
      </c>
    </row>
    <row r="2090" spans="2:6">
      <c r="B2090" s="78" t="s">
        <v>3563</v>
      </c>
      <c r="C2090" s="81"/>
      <c r="D2090" s="81"/>
      <c r="E2090" s="81"/>
      <c r="F2090" s="81" t="s">
        <v>2275</v>
      </c>
    </row>
    <row r="2091" spans="2:6">
      <c r="B2091" s="78"/>
      <c r="C2091" s="81"/>
      <c r="D2091" s="81"/>
      <c r="E2091" s="149" t="s">
        <v>3700</v>
      </c>
      <c r="F2091" s="81"/>
    </row>
    <row r="2092" spans="2:6">
      <c r="B2092" s="78" t="s">
        <v>3564</v>
      </c>
      <c r="C2092" s="81"/>
      <c r="D2092" s="81"/>
      <c r="E2092" s="81"/>
      <c r="F2092" s="81" t="s">
        <v>2276</v>
      </c>
    </row>
    <row r="2093" spans="2:6">
      <c r="B2093" s="78" t="s">
        <v>3565</v>
      </c>
      <c r="C2093" s="81"/>
      <c r="D2093" s="81"/>
      <c r="E2093" s="81"/>
      <c r="F2093" s="149" t="s">
        <v>3701</v>
      </c>
    </row>
    <row r="2094" spans="2:6">
      <c r="B2094" s="78"/>
      <c r="C2094" s="81"/>
      <c r="D2094" s="81"/>
      <c r="E2094" s="81" t="s">
        <v>2277</v>
      </c>
      <c r="F2094" s="81"/>
    </row>
    <row r="2095" spans="2:6">
      <c r="B2095" s="78" t="s">
        <v>3566</v>
      </c>
      <c r="C2095" s="81"/>
      <c r="D2095" s="81"/>
      <c r="E2095" s="81"/>
      <c r="F2095" s="81" t="s">
        <v>2277</v>
      </c>
    </row>
    <row r="2096" spans="2:6">
      <c r="B2096" s="78"/>
      <c r="C2096" s="81"/>
      <c r="D2096" s="81"/>
      <c r="E2096" s="81" t="s">
        <v>2278</v>
      </c>
      <c r="F2096" s="81"/>
    </row>
    <row r="2097" spans="2:6">
      <c r="B2097" s="78" t="s">
        <v>3567</v>
      </c>
      <c r="C2097" s="81"/>
      <c r="D2097" s="81"/>
      <c r="E2097" s="81"/>
      <c r="F2097" s="81" t="s">
        <v>2279</v>
      </c>
    </row>
    <row r="2098" spans="2:6">
      <c r="B2098" s="78" t="s">
        <v>3568</v>
      </c>
      <c r="C2098" s="81"/>
      <c r="D2098" s="81"/>
      <c r="E2098" s="81"/>
      <c r="F2098" s="81" t="s">
        <v>2280</v>
      </c>
    </row>
    <row r="2099" spans="2:6">
      <c r="B2099" s="78" t="s">
        <v>3569</v>
      </c>
      <c r="C2099" s="81"/>
      <c r="D2099" s="81"/>
      <c r="E2099" s="81"/>
      <c r="F2099" s="81" t="s">
        <v>2281</v>
      </c>
    </row>
    <row r="2100" spans="2:6">
      <c r="B2100" s="78" t="s">
        <v>3570</v>
      </c>
      <c r="C2100" s="81"/>
      <c r="D2100" s="81"/>
      <c r="E2100" s="81"/>
      <c r="F2100" s="81" t="s">
        <v>2282</v>
      </c>
    </row>
    <row r="2101" spans="2:6">
      <c r="B2101" s="150" t="s">
        <v>3702</v>
      </c>
      <c r="C2101" s="81"/>
      <c r="D2101" s="81"/>
      <c r="E2101" s="81"/>
      <c r="F2101" s="149" t="s">
        <v>3703</v>
      </c>
    </row>
    <row r="2102" spans="2:6">
      <c r="B2102" s="78" t="s">
        <v>3571</v>
      </c>
      <c r="C2102" s="81"/>
      <c r="D2102" s="81"/>
      <c r="E2102" s="81"/>
      <c r="F2102" s="81" t="s">
        <v>2283</v>
      </c>
    </row>
    <row r="2103" spans="2:6">
      <c r="B2103" s="78"/>
      <c r="C2103" s="81"/>
      <c r="D2103" s="81" t="s">
        <v>2284</v>
      </c>
      <c r="E2103" s="81"/>
      <c r="F2103" s="81"/>
    </row>
    <row r="2104" spans="2:6">
      <c r="B2104" s="78"/>
      <c r="C2104" s="81"/>
      <c r="D2104" s="81"/>
      <c r="E2104" s="81" t="s">
        <v>2285</v>
      </c>
      <c r="F2104" s="81"/>
    </row>
    <row r="2105" spans="2:6">
      <c r="B2105" s="78" t="s">
        <v>2452</v>
      </c>
      <c r="C2105" s="81"/>
      <c r="D2105" s="81"/>
      <c r="E2105" s="81"/>
      <c r="F2105" s="81" t="s">
        <v>2286</v>
      </c>
    </row>
    <row r="2106" spans="2:6">
      <c r="B2106" s="78" t="s">
        <v>3572</v>
      </c>
      <c r="C2106" s="81"/>
      <c r="D2106" s="81"/>
      <c r="E2106" s="81"/>
      <c r="F2106" s="81" t="s">
        <v>2287</v>
      </c>
    </row>
    <row r="2107" spans="2:6">
      <c r="B2107" s="78"/>
      <c r="C2107" s="81"/>
      <c r="D2107" s="81"/>
      <c r="E2107" s="81" t="s">
        <v>2288</v>
      </c>
      <c r="F2107" s="81"/>
    </row>
    <row r="2108" spans="2:6">
      <c r="B2108" s="78" t="s">
        <v>3573</v>
      </c>
      <c r="C2108" s="81"/>
      <c r="D2108" s="81"/>
      <c r="E2108" s="81"/>
      <c r="F2108" s="81" t="s">
        <v>2288</v>
      </c>
    </row>
    <row r="2109" spans="2:6">
      <c r="B2109" s="78"/>
      <c r="C2109" s="81"/>
      <c r="D2109" s="81"/>
      <c r="E2109" s="81" t="s">
        <v>2289</v>
      </c>
      <c r="F2109" s="81"/>
    </row>
    <row r="2110" spans="2:6">
      <c r="B2110" s="78" t="s">
        <v>3574</v>
      </c>
      <c r="C2110" s="81"/>
      <c r="D2110" s="81"/>
      <c r="E2110" s="81"/>
      <c r="F2110" s="81" t="s">
        <v>2290</v>
      </c>
    </row>
    <row r="2111" spans="2:6">
      <c r="B2111" s="78" t="s">
        <v>3575</v>
      </c>
      <c r="C2111" s="81"/>
      <c r="D2111" s="81"/>
      <c r="E2111" s="81"/>
      <c r="F2111" s="81" t="s">
        <v>2291</v>
      </c>
    </row>
    <row r="2112" spans="2:6">
      <c r="B2112" s="78"/>
      <c r="C2112" s="81"/>
      <c r="D2112" s="81"/>
      <c r="E2112" s="81" t="s">
        <v>2292</v>
      </c>
      <c r="F2112" s="81"/>
    </row>
    <row r="2113" spans="2:6">
      <c r="B2113" s="78" t="s">
        <v>3576</v>
      </c>
      <c r="C2113" s="81"/>
      <c r="D2113" s="81"/>
      <c r="E2113" s="81"/>
      <c r="F2113" s="81" t="s">
        <v>2292</v>
      </c>
    </row>
    <row r="2114" spans="2:6">
      <c r="B2114" s="78"/>
      <c r="C2114" s="81"/>
      <c r="D2114" s="81"/>
      <c r="E2114" s="81" t="s">
        <v>2293</v>
      </c>
      <c r="F2114" s="81"/>
    </row>
    <row r="2115" spans="2:6">
      <c r="B2115" s="78" t="s">
        <v>2453</v>
      </c>
      <c r="C2115" s="81"/>
      <c r="D2115" s="81"/>
      <c r="E2115" s="81"/>
      <c r="F2115" s="81" t="s">
        <v>2293</v>
      </c>
    </row>
    <row r="2116" spans="2:6">
      <c r="B2116" s="78"/>
      <c r="C2116" s="81"/>
      <c r="D2116" s="81" t="s">
        <v>2294</v>
      </c>
      <c r="E2116" s="81"/>
      <c r="F2116" s="81"/>
    </row>
    <row r="2117" spans="2:6">
      <c r="B2117" s="78"/>
      <c r="C2117" s="81"/>
      <c r="D2117" s="81"/>
      <c r="E2117" s="81" t="s">
        <v>2295</v>
      </c>
      <c r="F2117" s="81"/>
    </row>
    <row r="2118" spans="2:6">
      <c r="B2118" s="78" t="s">
        <v>3577</v>
      </c>
      <c r="C2118" s="81"/>
      <c r="D2118" s="81"/>
      <c r="E2118" s="81"/>
      <c r="F2118" s="81" t="s">
        <v>2296</v>
      </c>
    </row>
    <row r="2119" spans="2:6">
      <c r="B2119" s="78" t="s">
        <v>2454</v>
      </c>
      <c r="C2119" s="81"/>
      <c r="D2119" s="81"/>
      <c r="E2119" s="81"/>
      <c r="F2119" s="81" t="s">
        <v>2297</v>
      </c>
    </row>
    <row r="2120" spans="2:6">
      <c r="B2120" s="78"/>
      <c r="C2120" s="81"/>
      <c r="D2120" s="81"/>
      <c r="E2120" s="81" t="s">
        <v>2298</v>
      </c>
      <c r="F2120" s="81"/>
    </row>
    <row r="2121" spans="2:6">
      <c r="B2121" s="78" t="s">
        <v>2455</v>
      </c>
      <c r="C2121" s="81"/>
      <c r="D2121" s="81"/>
      <c r="E2121" s="81"/>
      <c r="F2121" s="81" t="s">
        <v>2299</v>
      </c>
    </row>
    <row r="2122" spans="2:6">
      <c r="B2122" s="78" t="s">
        <v>3578</v>
      </c>
      <c r="C2122" s="81"/>
      <c r="D2122" s="81"/>
      <c r="E2122" s="81"/>
      <c r="F2122" s="81" t="s">
        <v>2300</v>
      </c>
    </row>
    <row r="2123" spans="2:6">
      <c r="B2123" s="78"/>
      <c r="C2123" s="81"/>
      <c r="D2123" s="81"/>
      <c r="E2123" s="81" t="s">
        <v>2301</v>
      </c>
      <c r="F2123" s="81"/>
    </row>
    <row r="2124" spans="2:6">
      <c r="B2124" s="78" t="s">
        <v>3579</v>
      </c>
      <c r="C2124" s="81"/>
      <c r="D2124" s="81"/>
      <c r="E2124" s="81"/>
      <c r="F2124" s="81" t="s">
        <v>2302</v>
      </c>
    </row>
    <row r="2125" spans="2:6">
      <c r="B2125" s="78" t="s">
        <v>3580</v>
      </c>
      <c r="C2125" s="81"/>
      <c r="D2125" s="81"/>
      <c r="E2125" s="81"/>
      <c r="F2125" s="81" t="s">
        <v>2303</v>
      </c>
    </row>
    <row r="2126" spans="2:6">
      <c r="B2126" s="78"/>
      <c r="C2126" s="81"/>
      <c r="D2126" s="81"/>
      <c r="E2126" s="81" t="s">
        <v>2304</v>
      </c>
      <c r="F2126" s="81"/>
    </row>
    <row r="2127" spans="2:6">
      <c r="B2127" s="78" t="s">
        <v>3581</v>
      </c>
      <c r="C2127" s="81"/>
      <c r="D2127" s="81"/>
      <c r="E2127" s="81"/>
      <c r="F2127" s="81" t="s">
        <v>2305</v>
      </c>
    </row>
    <row r="2128" spans="2:6">
      <c r="B2128" s="78" t="s">
        <v>2468</v>
      </c>
      <c r="C2128" s="81"/>
      <c r="D2128" s="81"/>
      <c r="E2128" s="81"/>
      <c r="F2128" s="81" t="s">
        <v>2306</v>
      </c>
    </row>
    <row r="2129" spans="2:6">
      <c r="B2129" s="78"/>
      <c r="C2129" s="81"/>
      <c r="D2129" s="81" t="s">
        <v>2307</v>
      </c>
      <c r="E2129" s="81"/>
      <c r="F2129" s="81"/>
    </row>
    <row r="2130" spans="2:6">
      <c r="B2130" s="78"/>
      <c r="C2130" s="81"/>
      <c r="D2130" s="81"/>
      <c r="E2130" s="81" t="s">
        <v>2308</v>
      </c>
      <c r="F2130" s="81"/>
    </row>
    <row r="2131" spans="2:6">
      <c r="B2131" s="78" t="s">
        <v>3582</v>
      </c>
      <c r="C2131" s="81"/>
      <c r="D2131" s="81"/>
      <c r="E2131" s="81"/>
      <c r="F2131" s="81" t="s">
        <v>1602</v>
      </c>
    </row>
    <row r="2132" spans="2:6">
      <c r="B2132" s="78"/>
      <c r="C2132" s="81"/>
      <c r="D2132" s="81"/>
      <c r="E2132" s="81" t="s">
        <v>2309</v>
      </c>
      <c r="F2132" s="81"/>
    </row>
    <row r="2133" spans="2:6">
      <c r="B2133" s="78" t="s">
        <v>3583</v>
      </c>
      <c r="C2133" s="81"/>
      <c r="D2133" s="81"/>
      <c r="E2133" s="81"/>
      <c r="F2133" s="81" t="s">
        <v>2309</v>
      </c>
    </row>
    <row r="2134" spans="2:6">
      <c r="B2134" s="78"/>
      <c r="C2134" s="81"/>
      <c r="D2134" s="81"/>
      <c r="E2134" s="81" t="s">
        <v>2310</v>
      </c>
      <c r="F2134" s="81"/>
    </row>
    <row r="2135" spans="2:6">
      <c r="B2135" s="78" t="s">
        <v>3584</v>
      </c>
      <c r="C2135" s="81"/>
      <c r="D2135" s="81"/>
      <c r="E2135" s="81"/>
      <c r="F2135" s="81" t="s">
        <v>2310</v>
      </c>
    </row>
    <row r="2136" spans="2:6">
      <c r="B2136" s="78"/>
      <c r="C2136" s="81"/>
      <c r="D2136" s="81"/>
      <c r="E2136" s="81" t="s">
        <v>2311</v>
      </c>
      <c r="F2136" s="81"/>
    </row>
    <row r="2137" spans="2:6">
      <c r="B2137" s="78" t="s">
        <v>2469</v>
      </c>
      <c r="C2137" s="81"/>
      <c r="D2137" s="81"/>
      <c r="E2137" s="81"/>
      <c r="F2137" s="81" t="s">
        <v>2311</v>
      </c>
    </row>
    <row r="2138" spans="2:6">
      <c r="B2138" s="78"/>
      <c r="C2138" s="81"/>
      <c r="D2138" s="81" t="s">
        <v>2312</v>
      </c>
      <c r="E2138" s="81"/>
      <c r="F2138" s="81"/>
    </row>
    <row r="2139" spans="2:6">
      <c r="B2139" s="78"/>
      <c r="C2139" s="81"/>
      <c r="D2139" s="81"/>
      <c r="E2139" s="81" t="s">
        <v>2313</v>
      </c>
      <c r="F2139" s="81"/>
    </row>
    <row r="2140" spans="2:6">
      <c r="B2140" s="78" t="s">
        <v>3585</v>
      </c>
      <c r="C2140" s="81"/>
      <c r="D2140" s="81"/>
      <c r="E2140" s="81"/>
      <c r="F2140" s="81" t="s">
        <v>2313</v>
      </c>
    </row>
    <row r="2141" spans="2:6">
      <c r="B2141" s="78"/>
      <c r="C2141" s="81"/>
      <c r="D2141" s="81"/>
      <c r="E2141" s="81" t="s">
        <v>2314</v>
      </c>
      <c r="F2141" s="81"/>
    </row>
    <row r="2142" spans="2:6">
      <c r="B2142" s="78" t="s">
        <v>3586</v>
      </c>
      <c r="C2142" s="81"/>
      <c r="D2142" s="81"/>
      <c r="E2142" s="81"/>
      <c r="F2142" s="81" t="s">
        <v>2314</v>
      </c>
    </row>
    <row r="2143" spans="2:6">
      <c r="B2143" s="78"/>
      <c r="C2143" s="81" t="s">
        <v>2315</v>
      </c>
      <c r="D2143" s="81"/>
      <c r="E2143" s="81"/>
      <c r="F2143" s="81"/>
    </row>
    <row r="2144" spans="2:6">
      <c r="B2144" s="78"/>
      <c r="C2144" s="81"/>
      <c r="D2144" s="81" t="s">
        <v>2316</v>
      </c>
      <c r="E2144" s="81"/>
      <c r="F2144" s="81"/>
    </row>
    <row r="2145" spans="2:6">
      <c r="B2145" s="78"/>
      <c r="C2145" s="81"/>
      <c r="D2145" s="81"/>
      <c r="E2145" s="81" t="s">
        <v>2317</v>
      </c>
      <c r="F2145" s="81"/>
    </row>
    <row r="2146" spans="2:6">
      <c r="B2146" s="78" t="s">
        <v>3587</v>
      </c>
      <c r="C2146" s="81"/>
      <c r="D2146" s="81"/>
      <c r="E2146" s="81"/>
      <c r="F2146" s="81" t="s">
        <v>2317</v>
      </c>
    </row>
    <row r="2147" spans="2:6">
      <c r="B2147" s="78"/>
      <c r="C2147" s="81"/>
      <c r="D2147" s="81"/>
      <c r="E2147" s="81" t="s">
        <v>2318</v>
      </c>
      <c r="F2147" s="81"/>
    </row>
    <row r="2148" spans="2:6">
      <c r="B2148" s="78" t="s">
        <v>3588</v>
      </c>
      <c r="C2148" s="81"/>
      <c r="D2148" s="81"/>
      <c r="E2148" s="81"/>
      <c r="F2148" s="81" t="s">
        <v>2318</v>
      </c>
    </row>
    <row r="2149" spans="2:6">
      <c r="B2149" s="78"/>
      <c r="C2149" s="81"/>
      <c r="D2149" s="81"/>
      <c r="E2149" s="81" t="s">
        <v>2319</v>
      </c>
      <c r="F2149" s="81"/>
    </row>
    <row r="2150" spans="2:6">
      <c r="B2150" s="78" t="s">
        <v>3589</v>
      </c>
      <c r="C2150" s="81"/>
      <c r="D2150" s="81"/>
      <c r="E2150" s="81"/>
      <c r="F2150" s="81" t="s">
        <v>2319</v>
      </c>
    </row>
    <row r="2151" spans="2:6">
      <c r="B2151" s="78"/>
      <c r="C2151" s="81"/>
      <c r="D2151" s="81" t="s">
        <v>2320</v>
      </c>
      <c r="E2151" s="81"/>
      <c r="F2151" s="81"/>
    </row>
    <row r="2152" spans="2:6">
      <c r="B2152" s="78"/>
      <c r="C2152" s="81"/>
      <c r="D2152" s="81"/>
      <c r="E2152" s="149" t="s">
        <v>3704</v>
      </c>
      <c r="F2152" s="81"/>
    </row>
    <row r="2153" spans="2:6">
      <c r="B2153" s="78" t="s">
        <v>3590</v>
      </c>
      <c r="C2153" s="81"/>
      <c r="D2153" s="81"/>
      <c r="E2153" s="81"/>
      <c r="F2153" s="149" t="s">
        <v>3704</v>
      </c>
    </row>
    <row r="2154" spans="2:6">
      <c r="B2154" s="78"/>
      <c r="C2154" s="81"/>
      <c r="D2154" s="81"/>
      <c r="E2154" s="149" t="s">
        <v>3705</v>
      </c>
      <c r="F2154" s="81"/>
    </row>
    <row r="2155" spans="2:6">
      <c r="B2155" s="78" t="s">
        <v>3591</v>
      </c>
      <c r="C2155" s="81"/>
      <c r="D2155" s="81"/>
      <c r="E2155" s="81"/>
      <c r="F2155" s="149" t="s">
        <v>3705</v>
      </c>
    </row>
    <row r="2156" spans="2:6">
      <c r="B2156" s="78"/>
      <c r="C2156" s="81" t="s">
        <v>2321</v>
      </c>
      <c r="D2156" s="81"/>
      <c r="E2156" s="81"/>
      <c r="F2156" s="81"/>
    </row>
    <row r="2157" spans="2:6">
      <c r="B2157" s="78"/>
      <c r="C2157" s="81"/>
      <c r="D2157" s="81" t="s">
        <v>2321</v>
      </c>
      <c r="E2157" s="81"/>
      <c r="F2157" s="81"/>
    </row>
    <row r="2158" spans="2:6">
      <c r="B2158" s="78"/>
      <c r="C2158" s="81"/>
      <c r="D2158" s="81"/>
      <c r="E2158" s="81" t="s">
        <v>2321</v>
      </c>
      <c r="F2158" s="81"/>
    </row>
    <row r="2159" spans="2:6">
      <c r="B2159" s="78" t="s">
        <v>3592</v>
      </c>
      <c r="C2159" s="81"/>
      <c r="D2159" s="81"/>
      <c r="E2159" s="81"/>
      <c r="F2159" s="81" t="s">
        <v>2321</v>
      </c>
    </row>
  </sheetData>
  <sheetProtection password="E7B8" sheet="1" formatCells="0"/>
  <autoFilter ref="B31:F2159"/>
  <mergeCells count="188">
    <mergeCell ref="K27:M27"/>
    <mergeCell ref="S1:AF1"/>
    <mergeCell ref="A2:N2"/>
    <mergeCell ref="S2:AF2"/>
    <mergeCell ref="A3:A14"/>
    <mergeCell ref="C3:E3"/>
    <mergeCell ref="F3:J3"/>
    <mergeCell ref="K3:L3"/>
    <mergeCell ref="M3:N3"/>
    <mergeCell ref="S3:S14"/>
    <mergeCell ref="U3:W3"/>
    <mergeCell ref="X3:AB3"/>
    <mergeCell ref="AC3:AD3"/>
    <mergeCell ref="AE3:AF3"/>
    <mergeCell ref="C4:E4"/>
    <mergeCell ref="F4:J4"/>
    <mergeCell ref="K4:L4"/>
    <mergeCell ref="M4:N4"/>
    <mergeCell ref="U4:W4"/>
    <mergeCell ref="X4:AB4"/>
    <mergeCell ref="AC4:AD4"/>
    <mergeCell ref="AE4:AF4"/>
    <mergeCell ref="C5:E5"/>
    <mergeCell ref="F5:J5"/>
    <mergeCell ref="K5:L5"/>
    <mergeCell ref="M5:N5"/>
    <mergeCell ref="U5:W5"/>
    <mergeCell ref="X5:AB5"/>
    <mergeCell ref="AC5:AD5"/>
    <mergeCell ref="AE5:AF5"/>
    <mergeCell ref="AC6:AD6"/>
    <mergeCell ref="AE6:AF6"/>
    <mergeCell ref="C7:E7"/>
    <mergeCell ref="F7:J7"/>
    <mergeCell ref="K7:L7"/>
    <mergeCell ref="M7:N7"/>
    <mergeCell ref="U7:W7"/>
    <mergeCell ref="X7:AB7"/>
    <mergeCell ref="AC7:AD7"/>
    <mergeCell ref="AE7:AF7"/>
    <mergeCell ref="C6:E6"/>
    <mergeCell ref="F6:J6"/>
    <mergeCell ref="K6:L6"/>
    <mergeCell ref="M6:N6"/>
    <mergeCell ref="U6:W6"/>
    <mergeCell ref="X6:AB6"/>
    <mergeCell ref="AC8:AD8"/>
    <mergeCell ref="AE8:AF8"/>
    <mergeCell ref="C9:E9"/>
    <mergeCell ref="F9:J9"/>
    <mergeCell ref="K9:L9"/>
    <mergeCell ref="M9:N9"/>
    <mergeCell ref="U9:W9"/>
    <mergeCell ref="X9:AB9"/>
    <mergeCell ref="AC9:AD9"/>
    <mergeCell ref="AE9:AF9"/>
    <mergeCell ref="C8:E8"/>
    <mergeCell ref="F8:J8"/>
    <mergeCell ref="K8:L8"/>
    <mergeCell ref="M8:N8"/>
    <mergeCell ref="U8:W8"/>
    <mergeCell ref="X8:AB8"/>
    <mergeCell ref="AC10:AD10"/>
    <mergeCell ref="AE10:AF10"/>
    <mergeCell ref="C11:E11"/>
    <mergeCell ref="F11:J11"/>
    <mergeCell ref="K11:L11"/>
    <mergeCell ref="M11:N11"/>
    <mergeCell ref="U11:W11"/>
    <mergeCell ref="X11:AB11"/>
    <mergeCell ref="AC11:AD11"/>
    <mergeCell ref="AE11:AF11"/>
    <mergeCell ref="C10:E10"/>
    <mergeCell ref="F10:J10"/>
    <mergeCell ref="K10:L10"/>
    <mergeCell ref="M10:N10"/>
    <mergeCell ref="U10:W10"/>
    <mergeCell ref="X10:AB10"/>
    <mergeCell ref="AC12:AD12"/>
    <mergeCell ref="AE12:AF12"/>
    <mergeCell ref="C13:E13"/>
    <mergeCell ref="F13:J13"/>
    <mergeCell ref="K13:L13"/>
    <mergeCell ref="M13:N13"/>
    <mergeCell ref="U13:W13"/>
    <mergeCell ref="X13:AB13"/>
    <mergeCell ref="AC13:AD13"/>
    <mergeCell ref="AE13:AF13"/>
    <mergeCell ref="C12:E12"/>
    <mergeCell ref="F12:J12"/>
    <mergeCell ref="K12:L12"/>
    <mergeCell ref="M12:N12"/>
    <mergeCell ref="U12:W12"/>
    <mergeCell ref="X12:AB12"/>
    <mergeCell ref="B14:N14"/>
    <mergeCell ref="T14:AF14"/>
    <mergeCell ref="B15:N15"/>
    <mergeCell ref="T15:AF15"/>
    <mergeCell ref="A16:A26"/>
    <mergeCell ref="B16:D16"/>
    <mergeCell ref="E16:H16"/>
    <mergeCell ref="I16:J16"/>
    <mergeCell ref="K16:M16"/>
    <mergeCell ref="S16:S26"/>
    <mergeCell ref="T16:V16"/>
    <mergeCell ref="W16:Z16"/>
    <mergeCell ref="AA16:AB16"/>
    <mergeCell ref="AC16:AE16"/>
    <mergeCell ref="B17:D17"/>
    <mergeCell ref="E17:H17"/>
    <mergeCell ref="I17:J17"/>
    <mergeCell ref="K17:M17"/>
    <mergeCell ref="T17:V17"/>
    <mergeCell ref="W17:Z17"/>
    <mergeCell ref="AA17:AB17"/>
    <mergeCell ref="AC17:AE17"/>
    <mergeCell ref="B18:D18"/>
    <mergeCell ref="E18:H18"/>
    <mergeCell ref="I18:J18"/>
    <mergeCell ref="K18:M18"/>
    <mergeCell ref="T18:V18"/>
    <mergeCell ref="W18:Z18"/>
    <mergeCell ref="AA18:AB18"/>
    <mergeCell ref="AC18:AE18"/>
    <mergeCell ref="AA19:AB19"/>
    <mergeCell ref="AC19:AE19"/>
    <mergeCell ref="B20:D20"/>
    <mergeCell ref="E20:H20"/>
    <mergeCell ref="I20:J20"/>
    <mergeCell ref="K20:M20"/>
    <mergeCell ref="T20:V20"/>
    <mergeCell ref="W20:Z20"/>
    <mergeCell ref="AA20:AB20"/>
    <mergeCell ref="AC20:AE20"/>
    <mergeCell ref="B19:D19"/>
    <mergeCell ref="E19:H19"/>
    <mergeCell ref="I19:J19"/>
    <mergeCell ref="K19:M19"/>
    <mergeCell ref="T19:V19"/>
    <mergeCell ref="W19:Z19"/>
    <mergeCell ref="AA21:AB21"/>
    <mergeCell ref="AC21:AE21"/>
    <mergeCell ref="B22:D22"/>
    <mergeCell ref="E22:H22"/>
    <mergeCell ref="I22:J22"/>
    <mergeCell ref="K22:M22"/>
    <mergeCell ref="T22:V22"/>
    <mergeCell ref="W22:Z22"/>
    <mergeCell ref="AA22:AB22"/>
    <mergeCell ref="AC22:AE22"/>
    <mergeCell ref="B21:D21"/>
    <mergeCell ref="E21:H21"/>
    <mergeCell ref="I21:J21"/>
    <mergeCell ref="K21:M21"/>
    <mergeCell ref="T21:V21"/>
    <mergeCell ref="W21:Z21"/>
    <mergeCell ref="AA23:AB23"/>
    <mergeCell ref="AC23:AE23"/>
    <mergeCell ref="B24:D24"/>
    <mergeCell ref="E24:H24"/>
    <mergeCell ref="I24:J24"/>
    <mergeCell ref="K24:M24"/>
    <mergeCell ref="T24:V24"/>
    <mergeCell ref="W24:Z24"/>
    <mergeCell ref="AA24:AB24"/>
    <mergeCell ref="AC24:AE24"/>
    <mergeCell ref="B23:D23"/>
    <mergeCell ref="E23:H23"/>
    <mergeCell ref="I23:J23"/>
    <mergeCell ref="K23:M23"/>
    <mergeCell ref="T23:V23"/>
    <mergeCell ref="W23:Z23"/>
    <mergeCell ref="AA25:AB25"/>
    <mergeCell ref="AC25:AE25"/>
    <mergeCell ref="B26:D26"/>
    <mergeCell ref="E26:H26"/>
    <mergeCell ref="I26:J26"/>
    <mergeCell ref="K26:M26"/>
    <mergeCell ref="T26:V26"/>
    <mergeCell ref="W26:Z26"/>
    <mergeCell ref="AA26:AB26"/>
    <mergeCell ref="AC26:AE26"/>
    <mergeCell ref="B25:D25"/>
    <mergeCell ref="E25:H25"/>
    <mergeCell ref="I25:J25"/>
    <mergeCell ref="K25:M25"/>
    <mergeCell ref="T25:V25"/>
    <mergeCell ref="W25:Z25"/>
  </mergeCells>
  <phoneticPr fontId="3"/>
  <conditionalFormatting sqref="F4:J13">
    <cfRule type="expression" dxfId="38" priority="2">
      <formula>$P4="NG"</formula>
    </cfRule>
  </conditionalFormatting>
  <conditionalFormatting sqref="E17:H26">
    <cfRule type="expression" dxfId="37" priority="1">
      <formula>$P17="NG"</formula>
    </cfRule>
  </conditionalFormatting>
  <dataValidations count="4">
    <dataValidation imeMode="halfAlpha" allowBlank="1" showInputMessage="1" showErrorMessage="1" prompt="半角数字で入力" sqref="N17:N26"/>
    <dataValidation type="list" allowBlank="1" showInputMessage="1" showErrorMessage="1" promptTitle="プルダウン選択" prompt="該当エネルギー管理指定工場等の区分を選択してください。" sqref="B4:B13">
      <formula1>$BC$1:$BC$2</formula1>
    </dataValidation>
    <dataValidation type="list" imeMode="disabled" showInputMessage="1" showErrorMessage="1" prompt="該当する細分類コードを選択" sqref="I17:J26 K5:L13">
      <formula1>$B$34:$B$2159</formula1>
    </dataValidation>
    <dataValidation type="list" imeMode="disabled" showInputMessage="1" showErrorMessage="1" prompt="該当する細分類コードを選択" sqref="K4:L4">
      <formula1>$B$34:$B$2159</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14</xdr:col>
                    <xdr:colOff>144780</xdr:colOff>
                    <xdr:row>15</xdr:row>
                    <xdr:rowOff>403860</xdr:rowOff>
                  </from>
                  <to>
                    <xdr:col>14</xdr:col>
                    <xdr:colOff>525780</xdr:colOff>
                    <xdr:row>16</xdr:row>
                    <xdr:rowOff>114300</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14</xdr:col>
                    <xdr:colOff>144780</xdr:colOff>
                    <xdr:row>9</xdr:row>
                    <xdr:rowOff>53340</xdr:rowOff>
                  </from>
                  <to>
                    <xdr:col>14</xdr:col>
                    <xdr:colOff>525780</xdr:colOff>
                    <xdr:row>10</xdr:row>
                    <xdr:rowOff>15240</xdr:rowOff>
                  </to>
                </anchor>
              </controlPr>
            </control>
          </mc:Choice>
        </mc:AlternateContent>
        <mc:AlternateContent xmlns:mc="http://schemas.openxmlformats.org/markup-compatibility/2006">
          <mc:Choice Requires="x14">
            <control shapeId="10249" r:id="rId6" name="Check Box 9">
              <controlPr defaultSize="0" autoFill="0" autoLine="0" autoPict="0">
                <anchor moveWithCells="1">
                  <from>
                    <xdr:col>14</xdr:col>
                    <xdr:colOff>137160</xdr:colOff>
                    <xdr:row>6</xdr:row>
                    <xdr:rowOff>152400</xdr:rowOff>
                  </from>
                  <to>
                    <xdr:col>14</xdr:col>
                    <xdr:colOff>518160</xdr:colOff>
                    <xdr:row>7</xdr:row>
                    <xdr:rowOff>114300</xdr:rowOff>
                  </to>
                </anchor>
              </controlPr>
            </control>
          </mc:Choice>
        </mc:AlternateContent>
        <mc:AlternateContent xmlns:mc="http://schemas.openxmlformats.org/markup-compatibility/2006">
          <mc:Choice Requires="x14">
            <control shapeId="10250" r:id="rId7" name="Check Box 10">
              <controlPr defaultSize="0" autoFill="0" autoLine="0" autoPict="0">
                <anchor moveWithCells="1">
                  <from>
                    <xdr:col>14</xdr:col>
                    <xdr:colOff>144780</xdr:colOff>
                    <xdr:row>3</xdr:row>
                    <xdr:rowOff>167640</xdr:rowOff>
                  </from>
                  <to>
                    <xdr:col>14</xdr:col>
                    <xdr:colOff>525780</xdr:colOff>
                    <xdr:row>4</xdr:row>
                    <xdr:rowOff>129540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14</xdr:col>
                    <xdr:colOff>106680</xdr:colOff>
                    <xdr:row>20</xdr:row>
                    <xdr:rowOff>30480</xdr:rowOff>
                  </from>
                  <to>
                    <xdr:col>14</xdr:col>
                    <xdr:colOff>487680</xdr:colOff>
                    <xdr:row>20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OFFSET('非表示_リスト(計画・実績報告)'!$G$159,,,,COUNTIF('非表示_リスト(計画・実績報告)'!$G$159:$P$159,"&gt;*"))</xm:f>
          </x14:formula1>
          <xm:sqref>C5:E13</xm:sqref>
        </x14:dataValidation>
        <x14:dataValidation type="list" allowBlank="1" showInputMessage="1" showErrorMessage="1" promptTitle="プルダウン選択" prompt="エネルギー管理指定工場等の名称を選択してください。">
          <x14:formula1>
            <xm:f>OFFSET('非表示_リスト(計画・実績報告)'!$G$159,,,,COUNTIF('非表示_リスト(計画・実績報告)'!$G$159:$P$159,"&gt;*"))</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BB39"/>
  <sheetViews>
    <sheetView showGridLines="0" view="pageBreakPreview" zoomScaleNormal="85" zoomScaleSheetLayoutView="100" workbookViewId="0">
      <selection activeCell="F6" sqref="F6:X6"/>
    </sheetView>
  </sheetViews>
  <sheetFormatPr defaultColWidth="9" defaultRowHeight="10.8" outlineLevelCol="1"/>
  <cols>
    <col min="1" max="2" width="1.21875" style="15" customWidth="1"/>
    <col min="3" max="6" width="5.33203125" style="15" customWidth="1"/>
    <col min="7" max="7" width="5" style="15" customWidth="1"/>
    <col min="8" max="8" width="3.44140625" style="15" customWidth="1"/>
    <col min="9" max="9" width="2.88671875" style="15" customWidth="1"/>
    <col min="10" max="10" width="4.33203125" style="58" customWidth="1"/>
    <col min="11" max="11" width="2.21875" style="15" customWidth="1"/>
    <col min="12" max="12" width="5" style="15" customWidth="1"/>
    <col min="13" max="13" width="2.21875" style="15" customWidth="1"/>
    <col min="14" max="14" width="1.109375" style="15" customWidth="1"/>
    <col min="15" max="15" width="3.21875" style="15" customWidth="1"/>
    <col min="16" max="16" width="4.44140625" style="15" customWidth="1"/>
    <col min="17" max="17" width="5" style="15" customWidth="1"/>
    <col min="18" max="18" width="3.33203125" style="15" customWidth="1"/>
    <col min="19" max="19" width="3.109375" style="15" customWidth="1"/>
    <col min="20" max="20" width="4.44140625" style="15" customWidth="1"/>
    <col min="21" max="21" width="5" style="15" customWidth="1"/>
    <col min="22" max="22" width="3.33203125" style="15" customWidth="1"/>
    <col min="23" max="23" width="2.88671875" style="15" customWidth="1"/>
    <col min="24" max="24" width="4.44140625" style="86" customWidth="1"/>
    <col min="25" max="25" width="12.21875" style="15" customWidth="1"/>
    <col min="26" max="26" width="35.88671875" style="15" customWidth="1"/>
    <col min="27" max="27" width="9" style="15" hidden="1" customWidth="1" outlineLevel="1"/>
    <col min="28" max="28" width="70.44140625" style="15" hidden="1" customWidth="1" outlineLevel="1"/>
    <col min="29" max="29" width="3.109375" style="14" customWidth="1" collapsed="1"/>
    <col min="30" max="30" width="3.109375" style="14" customWidth="1"/>
    <col min="31" max="32" width="1.21875" style="15" customWidth="1"/>
    <col min="33" max="36" width="5.33203125" style="15" customWidth="1"/>
    <col min="37" max="37" width="5" style="15" customWidth="1"/>
    <col min="38" max="38" width="3.44140625" style="15" customWidth="1"/>
    <col min="39" max="39" width="2.88671875" style="15" customWidth="1"/>
    <col min="40" max="40" width="3.33203125" style="58" customWidth="1"/>
    <col min="41" max="41" width="2.21875" style="15" customWidth="1"/>
    <col min="42" max="42" width="5" style="15" customWidth="1"/>
    <col min="43" max="43" width="2.21875" style="15" customWidth="1"/>
    <col min="44" max="44" width="1.109375" style="15" customWidth="1"/>
    <col min="45" max="45" width="3.21875" style="15" customWidth="1"/>
    <col min="46" max="46" width="4.44140625" style="15" customWidth="1"/>
    <col min="47" max="47" width="5" style="15" customWidth="1"/>
    <col min="48" max="48" width="3.33203125" style="15" customWidth="1"/>
    <col min="49" max="49" width="3.109375" style="15" customWidth="1"/>
    <col min="50" max="50" width="4.44140625" style="15" customWidth="1"/>
    <col min="51" max="51" width="5" style="15" customWidth="1"/>
    <col min="52" max="52" width="3.33203125" style="15" customWidth="1"/>
    <col min="53" max="53" width="2.88671875" style="15" customWidth="1"/>
    <col min="54" max="54" width="4.44140625" style="86" customWidth="1"/>
    <col min="55" max="55" width="5.6640625" style="15" customWidth="1"/>
    <col min="56" max="16384" width="9" style="15"/>
  </cols>
  <sheetData>
    <row r="1" spans="1:54" ht="15" customHeight="1">
      <c r="A1" s="15" t="s">
        <v>68</v>
      </c>
      <c r="J1" s="15"/>
      <c r="X1" s="75">
        <f>結果1面!$M$11</f>
        <v>0</v>
      </c>
      <c r="Z1" s="109" t="str">
        <f>結果1面!$Z$1</f>
        <v>2025ver5</v>
      </c>
      <c r="AA1" s="118" t="s">
        <v>3614</v>
      </c>
      <c r="AB1" s="118" t="s">
        <v>3608</v>
      </c>
      <c r="AC1" s="46"/>
      <c r="AD1" s="46"/>
      <c r="AE1" s="1264" t="s">
        <v>68</v>
      </c>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row>
    <row r="2" spans="1:54" ht="12" customHeight="1">
      <c r="A2" s="1223" t="s">
        <v>61</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AE2" s="1223" t="s">
        <v>61</v>
      </c>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3"/>
    </row>
    <row r="3" spans="1:54" s="92" customFormat="1" ht="22.5" customHeight="1">
      <c r="A3" s="1170" t="s">
        <v>3602</v>
      </c>
      <c r="B3" s="1682"/>
      <c r="C3" s="1682"/>
      <c r="D3" s="1682"/>
      <c r="E3" s="1682"/>
      <c r="F3" s="1682"/>
      <c r="G3" s="1682"/>
      <c r="H3" s="1682"/>
      <c r="I3" s="1682"/>
      <c r="J3" s="1682"/>
      <c r="K3" s="1682"/>
      <c r="L3" s="1682"/>
      <c r="M3" s="1682"/>
      <c r="N3" s="1682"/>
      <c r="O3" s="1682"/>
      <c r="P3" s="1682"/>
      <c r="Q3" s="1682"/>
      <c r="R3" s="1682"/>
      <c r="S3" s="1682"/>
      <c r="T3" s="1682"/>
      <c r="U3" s="1682"/>
      <c r="V3" s="1682"/>
      <c r="W3" s="1682"/>
      <c r="X3" s="1682"/>
      <c r="AC3" s="53"/>
      <c r="AD3" s="53"/>
      <c r="AE3" s="1170" t="s">
        <v>3602</v>
      </c>
      <c r="AF3" s="1682"/>
      <c r="AG3" s="1682"/>
      <c r="AH3" s="1682"/>
      <c r="AI3" s="1682"/>
      <c r="AJ3" s="1682"/>
      <c r="AK3" s="1682"/>
      <c r="AL3" s="1682"/>
      <c r="AM3" s="1682"/>
      <c r="AN3" s="1682"/>
      <c r="AO3" s="1682"/>
      <c r="AP3" s="1682"/>
      <c r="AQ3" s="1682"/>
      <c r="AR3" s="1682"/>
      <c r="AS3" s="1682"/>
      <c r="AT3" s="1682"/>
      <c r="AU3" s="1682"/>
      <c r="AV3" s="1682"/>
      <c r="AW3" s="1682"/>
      <c r="AX3" s="1682"/>
      <c r="AY3" s="1682"/>
      <c r="AZ3" s="1682"/>
      <c r="BA3" s="1682"/>
      <c r="BB3" s="1682"/>
    </row>
    <row r="4" spans="1:54" s="92" customFormat="1" ht="6.75" customHeight="1">
      <c r="A4" s="1600"/>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AC4" s="19"/>
      <c r="AD4" s="19"/>
      <c r="AE4" s="1600"/>
      <c r="AF4" s="1264"/>
      <c r="AG4" s="1264"/>
      <c r="AH4" s="1264"/>
      <c r="AI4" s="1264"/>
      <c r="AJ4" s="1264"/>
      <c r="AK4" s="1264"/>
      <c r="AL4" s="1264"/>
      <c r="AM4" s="1264"/>
      <c r="AN4" s="1264"/>
      <c r="AO4" s="1264"/>
      <c r="AP4" s="1264"/>
      <c r="AQ4" s="1264"/>
      <c r="AR4" s="1264"/>
      <c r="AS4" s="1264"/>
      <c r="AT4" s="1264"/>
      <c r="AU4" s="1264"/>
      <c r="AV4" s="1264"/>
      <c r="AW4" s="1264"/>
      <c r="AX4" s="1264"/>
      <c r="AY4" s="1264"/>
      <c r="AZ4" s="1264"/>
      <c r="BA4" s="1264"/>
      <c r="BB4" s="1264"/>
    </row>
    <row r="5" spans="1:54" s="92" customFormat="1" ht="11.4" thickBot="1">
      <c r="A5" s="1600"/>
      <c r="B5" s="1695" t="s">
        <v>133</v>
      </c>
      <c r="C5" s="1695"/>
      <c r="D5" s="1695"/>
      <c r="E5" s="1695"/>
      <c r="F5" s="1695"/>
      <c r="G5" s="1695"/>
      <c r="H5" s="1695"/>
      <c r="I5" s="1695"/>
      <c r="J5" s="1695"/>
      <c r="K5" s="1695"/>
      <c r="L5" s="1695"/>
      <c r="M5" s="1695"/>
      <c r="N5" s="1695"/>
      <c r="O5" s="1695"/>
      <c r="P5" s="1695"/>
      <c r="Q5" s="1695"/>
      <c r="R5" s="1695"/>
      <c r="S5" s="1695"/>
      <c r="T5" s="1695"/>
      <c r="U5" s="1695"/>
      <c r="V5" s="1695"/>
      <c r="W5" s="1695"/>
      <c r="X5" s="1695"/>
      <c r="AC5" s="54"/>
      <c r="AD5" s="31"/>
      <c r="AE5" s="1600"/>
      <c r="AF5" s="1695" t="s">
        <v>133</v>
      </c>
      <c r="AG5" s="1695"/>
      <c r="AH5" s="1695"/>
      <c r="AI5" s="1695"/>
      <c r="AJ5" s="1695"/>
      <c r="AK5" s="1695"/>
      <c r="AL5" s="1695"/>
      <c r="AM5" s="1695"/>
      <c r="AN5" s="1695"/>
      <c r="AO5" s="1695"/>
      <c r="AP5" s="1695"/>
      <c r="AQ5" s="1695"/>
      <c r="AR5" s="1695"/>
      <c r="AS5" s="1695"/>
      <c r="AT5" s="1695"/>
      <c r="AU5" s="1695"/>
      <c r="AV5" s="1695"/>
      <c r="AW5" s="1695"/>
      <c r="AX5" s="1695"/>
      <c r="AY5" s="1695"/>
      <c r="AZ5" s="1695"/>
      <c r="BA5" s="1695"/>
      <c r="BB5" s="1695"/>
    </row>
    <row r="6" spans="1:54" ht="30" customHeight="1">
      <c r="A6" s="1600"/>
      <c r="B6" s="1226"/>
      <c r="C6" s="1701" t="s">
        <v>16</v>
      </c>
      <c r="D6" s="1337"/>
      <c r="E6" s="1338"/>
      <c r="F6" s="1702"/>
      <c r="G6" s="1702"/>
      <c r="H6" s="1702"/>
      <c r="I6" s="1702"/>
      <c r="J6" s="1702"/>
      <c r="K6" s="1702"/>
      <c r="L6" s="1702"/>
      <c r="M6" s="1702"/>
      <c r="N6" s="1702"/>
      <c r="O6" s="1702"/>
      <c r="P6" s="1702"/>
      <c r="Q6" s="1702"/>
      <c r="R6" s="1702"/>
      <c r="S6" s="1702"/>
      <c r="T6" s="1702"/>
      <c r="U6" s="1702"/>
      <c r="V6" s="1702"/>
      <c r="W6" s="1702"/>
      <c r="X6" s="1703"/>
      <c r="AC6" s="16"/>
      <c r="AD6" s="16"/>
      <c r="AE6" s="1600"/>
      <c r="AF6" s="1226"/>
      <c r="AG6" s="1701" t="s">
        <v>16</v>
      </c>
      <c r="AH6" s="1337"/>
      <c r="AI6" s="1338"/>
      <c r="AJ6" s="1727" t="s">
        <v>231</v>
      </c>
      <c r="AK6" s="1727"/>
      <c r="AL6" s="1727"/>
      <c r="AM6" s="1727"/>
      <c r="AN6" s="1727"/>
      <c r="AO6" s="1727"/>
      <c r="AP6" s="1727"/>
      <c r="AQ6" s="1727"/>
      <c r="AR6" s="1727"/>
      <c r="AS6" s="1727"/>
      <c r="AT6" s="1727"/>
      <c r="AU6" s="1727"/>
      <c r="AV6" s="1727"/>
      <c r="AW6" s="1727"/>
      <c r="AX6" s="1727"/>
      <c r="AY6" s="1727"/>
      <c r="AZ6" s="1727"/>
      <c r="BA6" s="1727"/>
      <c r="BB6" s="1728"/>
    </row>
    <row r="7" spans="1:54" ht="30" customHeight="1">
      <c r="A7" s="1600"/>
      <c r="B7" s="1226"/>
      <c r="C7" s="1663" t="s">
        <v>9</v>
      </c>
      <c r="D7" s="1664"/>
      <c r="E7" s="1664"/>
      <c r="F7" s="1665" t="s">
        <v>3715</v>
      </c>
      <c r="G7" s="1665"/>
      <c r="H7" s="1665"/>
      <c r="I7" s="1665"/>
      <c r="J7" s="1665"/>
      <c r="K7" s="1665"/>
      <c r="L7" s="1665"/>
      <c r="M7" s="1665"/>
      <c r="N7" s="1665"/>
      <c r="O7" s="1665"/>
      <c r="P7" s="1665"/>
      <c r="Q7" s="1665"/>
      <c r="R7" s="1665"/>
      <c r="S7" s="1665"/>
      <c r="T7" s="1665"/>
      <c r="U7" s="1665"/>
      <c r="V7" s="1665"/>
      <c r="W7" s="1665"/>
      <c r="X7" s="1666"/>
      <c r="AA7" s="15" t="str">
        <f>IF(AND(F7&lt;&gt;"",COUNTIF(F7,"神奈川県*")&lt;1),"NG","OK")</f>
        <v>OK</v>
      </c>
      <c r="AB7" s="86" t="s">
        <v>3625</v>
      </c>
      <c r="AC7" s="16"/>
      <c r="AD7" s="16"/>
      <c r="AE7" s="1600"/>
      <c r="AF7" s="1226"/>
      <c r="AG7" s="1663" t="s">
        <v>9</v>
      </c>
      <c r="AH7" s="1664"/>
      <c r="AI7" s="1664"/>
      <c r="AJ7" s="1729" t="s">
        <v>232</v>
      </c>
      <c r="AK7" s="1729"/>
      <c r="AL7" s="1729"/>
      <c r="AM7" s="1729"/>
      <c r="AN7" s="1729"/>
      <c r="AO7" s="1729"/>
      <c r="AP7" s="1729"/>
      <c r="AQ7" s="1729"/>
      <c r="AR7" s="1729"/>
      <c r="AS7" s="1729"/>
      <c r="AT7" s="1729"/>
      <c r="AU7" s="1729"/>
      <c r="AV7" s="1729"/>
      <c r="AW7" s="1729"/>
      <c r="AX7" s="1729"/>
      <c r="AY7" s="1729"/>
      <c r="AZ7" s="1729"/>
      <c r="BA7" s="1729"/>
      <c r="BB7" s="1730"/>
    </row>
    <row r="8" spans="1:54" ht="30" customHeight="1">
      <c r="A8" s="1600"/>
      <c r="B8" s="1226"/>
      <c r="C8" s="1667" t="s">
        <v>50</v>
      </c>
      <c r="D8" s="1668"/>
      <c r="E8" s="1669"/>
      <c r="F8" s="1689" t="s">
        <v>96</v>
      </c>
      <c r="G8" s="1690"/>
      <c r="H8" s="1693"/>
      <c r="I8" s="1694"/>
      <c r="J8" s="1694"/>
      <c r="K8" s="1694"/>
      <c r="L8" s="1694"/>
      <c r="M8" s="1694"/>
      <c r="N8" s="1691" t="s">
        <v>108</v>
      </c>
      <c r="O8" s="1692"/>
      <c r="P8" s="1687"/>
      <c r="Q8" s="1688"/>
      <c r="R8" s="1688"/>
      <c r="S8" s="1688"/>
      <c r="T8" s="1688"/>
      <c r="U8" s="1688"/>
      <c r="V8" s="1688"/>
      <c r="W8" s="1688"/>
      <c r="X8" s="1688"/>
      <c r="AB8" s="120" t="s">
        <v>3626</v>
      </c>
      <c r="AC8" s="16"/>
      <c r="AD8" s="16"/>
      <c r="AE8" s="1600"/>
      <c r="AF8" s="1226"/>
      <c r="AG8" s="1667" t="s">
        <v>50</v>
      </c>
      <c r="AH8" s="1668"/>
      <c r="AI8" s="1669"/>
      <c r="AJ8" s="1689" t="s">
        <v>96</v>
      </c>
      <c r="AK8" s="1690"/>
      <c r="AL8" s="1731">
        <v>1000</v>
      </c>
      <c r="AM8" s="1732"/>
      <c r="AN8" s="1732"/>
      <c r="AO8" s="1732"/>
      <c r="AP8" s="1732"/>
      <c r="AQ8" s="1732"/>
      <c r="AR8" s="1691" t="s">
        <v>108</v>
      </c>
      <c r="AS8" s="1692"/>
      <c r="AT8" s="1687"/>
      <c r="AU8" s="1688"/>
      <c r="AV8" s="1688"/>
      <c r="AW8" s="1688"/>
      <c r="AX8" s="1688"/>
      <c r="AY8" s="1688"/>
      <c r="AZ8" s="1688"/>
      <c r="BA8" s="1688"/>
      <c r="BB8" s="1688"/>
    </row>
    <row r="9" spans="1:54" ht="20.100000000000001" customHeight="1">
      <c r="A9" s="1600"/>
      <c r="B9" s="1226"/>
      <c r="C9" s="1129" t="s">
        <v>134</v>
      </c>
      <c r="D9" s="1130"/>
      <c r="E9" s="1131"/>
      <c r="F9" s="1137" t="s">
        <v>5</v>
      </c>
      <c r="G9" s="1130"/>
      <c r="H9" s="1130"/>
      <c r="I9" s="1130"/>
      <c r="J9" s="1670"/>
      <c r="K9" s="1670"/>
      <c r="L9" s="1670"/>
      <c r="M9" s="1670"/>
      <c r="N9" s="1670"/>
      <c r="O9" s="1670"/>
      <c r="P9" s="1670"/>
      <c r="Q9" s="1670"/>
      <c r="R9" s="1670"/>
      <c r="S9" s="1670"/>
      <c r="T9" s="1670"/>
      <c r="U9" s="1670"/>
      <c r="V9" s="1670"/>
      <c r="W9" s="1670"/>
      <c r="X9" s="1671"/>
      <c r="AC9" s="16"/>
      <c r="AD9" s="16"/>
      <c r="AE9" s="1600"/>
      <c r="AF9" s="1226"/>
      <c r="AG9" s="1129" t="s">
        <v>134</v>
      </c>
      <c r="AH9" s="1130"/>
      <c r="AI9" s="1131"/>
      <c r="AJ9" s="1137" t="s">
        <v>5</v>
      </c>
      <c r="AK9" s="1130"/>
      <c r="AL9" s="1130"/>
      <c r="AM9" s="1130"/>
      <c r="AN9" s="1735" t="s">
        <v>234</v>
      </c>
      <c r="AO9" s="1735"/>
      <c r="AP9" s="1735"/>
      <c r="AQ9" s="1735"/>
      <c r="AR9" s="1735"/>
      <c r="AS9" s="1735"/>
      <c r="AT9" s="1735"/>
      <c r="AU9" s="1735"/>
      <c r="AV9" s="1735"/>
      <c r="AW9" s="1735"/>
      <c r="AX9" s="1735"/>
      <c r="AY9" s="1735"/>
      <c r="AZ9" s="1735"/>
      <c r="BA9" s="1735"/>
      <c r="BB9" s="1736"/>
    </row>
    <row r="10" spans="1:54" ht="20.100000000000001" customHeight="1">
      <c r="A10" s="1600"/>
      <c r="B10" s="1226"/>
      <c r="C10" s="1132"/>
      <c r="D10" s="1125"/>
      <c r="E10" s="1133"/>
      <c r="F10" s="1124" t="s">
        <v>41</v>
      </c>
      <c r="G10" s="1125"/>
      <c r="H10" s="1125"/>
      <c r="I10" s="1125"/>
      <c r="J10" s="177"/>
      <c r="K10" s="87" t="s">
        <v>125</v>
      </c>
      <c r="L10" s="177"/>
      <c r="M10" s="87" t="s">
        <v>125</v>
      </c>
      <c r="N10" s="1659"/>
      <c r="O10" s="1659"/>
      <c r="P10" s="1218"/>
      <c r="Q10" s="1218"/>
      <c r="R10" s="1218"/>
      <c r="S10" s="1218"/>
      <c r="T10" s="1218"/>
      <c r="U10" s="1218"/>
      <c r="V10" s="1218"/>
      <c r="W10" s="1218"/>
      <c r="X10" s="1681"/>
      <c r="AB10" s="142" t="s">
        <v>3636</v>
      </c>
      <c r="AC10" s="16"/>
      <c r="AD10" s="16"/>
      <c r="AE10" s="1600"/>
      <c r="AF10" s="1226"/>
      <c r="AG10" s="1132"/>
      <c r="AH10" s="1125"/>
      <c r="AI10" s="1133"/>
      <c r="AJ10" s="1124" t="s">
        <v>41</v>
      </c>
      <c r="AK10" s="1125"/>
      <c r="AL10" s="1125"/>
      <c r="AM10" s="1125"/>
      <c r="AN10" s="100" t="s">
        <v>235</v>
      </c>
      <c r="AO10" s="55" t="s">
        <v>236</v>
      </c>
      <c r="AP10" s="100" t="s">
        <v>237</v>
      </c>
      <c r="AQ10" s="55" t="s">
        <v>122</v>
      </c>
      <c r="AR10" s="1737" t="s">
        <v>222</v>
      </c>
      <c r="AS10" s="1737"/>
      <c r="AT10" s="1218"/>
      <c r="AU10" s="1218"/>
      <c r="AV10" s="1218"/>
      <c r="AW10" s="1218"/>
      <c r="AX10" s="1218"/>
      <c r="AY10" s="1218"/>
      <c r="AZ10" s="1218"/>
      <c r="BA10" s="1218"/>
      <c r="BB10" s="1681"/>
    </row>
    <row r="11" spans="1:54" ht="20.100000000000001" customHeight="1">
      <c r="A11" s="1600"/>
      <c r="B11" s="1226"/>
      <c r="C11" s="1132"/>
      <c r="D11" s="1125"/>
      <c r="E11" s="1133"/>
      <c r="F11" s="1124" t="s">
        <v>51</v>
      </c>
      <c r="G11" s="1125"/>
      <c r="H11" s="1125"/>
      <c r="I11" s="1125"/>
      <c r="J11" s="177"/>
      <c r="K11" s="87" t="s">
        <v>125</v>
      </c>
      <c r="L11" s="177"/>
      <c r="M11" s="87" t="s">
        <v>125</v>
      </c>
      <c r="N11" s="1659"/>
      <c r="O11" s="1659"/>
      <c r="P11" s="1218"/>
      <c r="Q11" s="1218"/>
      <c r="R11" s="1218"/>
      <c r="S11" s="1218"/>
      <c r="T11" s="1218"/>
      <c r="U11" s="1218"/>
      <c r="V11" s="1218"/>
      <c r="W11" s="1218"/>
      <c r="X11" s="1681"/>
      <c r="AB11" s="142" t="s">
        <v>3636</v>
      </c>
      <c r="AC11" s="16"/>
      <c r="AD11" s="16"/>
      <c r="AE11" s="1600"/>
      <c r="AF11" s="1226"/>
      <c r="AG11" s="1132"/>
      <c r="AH11" s="1125"/>
      <c r="AI11" s="1133"/>
      <c r="AJ11" s="1124" t="s">
        <v>51</v>
      </c>
      <c r="AK11" s="1125"/>
      <c r="AL11" s="1125"/>
      <c r="AM11" s="1125"/>
      <c r="AN11" s="100" t="s">
        <v>235</v>
      </c>
      <c r="AO11" s="55" t="s">
        <v>122</v>
      </c>
      <c r="AP11" s="100" t="s">
        <v>238</v>
      </c>
      <c r="AQ11" s="55" t="s">
        <v>236</v>
      </c>
      <c r="AR11" s="1737" t="s">
        <v>223</v>
      </c>
      <c r="AS11" s="1737"/>
      <c r="AT11" s="1218"/>
      <c r="AU11" s="1218"/>
      <c r="AV11" s="1218"/>
      <c r="AW11" s="1218"/>
      <c r="AX11" s="1218"/>
      <c r="AY11" s="1218"/>
      <c r="AZ11" s="1218"/>
      <c r="BA11" s="1218"/>
      <c r="BB11" s="1681"/>
    </row>
    <row r="12" spans="1:54" ht="20.100000000000001" customHeight="1">
      <c r="A12" s="1600"/>
      <c r="B12" s="1226"/>
      <c r="C12" s="1134"/>
      <c r="D12" s="1135"/>
      <c r="E12" s="1136"/>
      <c r="F12" s="1109" t="s">
        <v>42</v>
      </c>
      <c r="G12" s="1110"/>
      <c r="H12" s="1110"/>
      <c r="I12" s="1110"/>
      <c r="J12" s="1696"/>
      <c r="K12" s="1697"/>
      <c r="L12" s="1697"/>
      <c r="M12" s="1697"/>
      <c r="N12" s="1697"/>
      <c r="O12" s="1697"/>
      <c r="P12" s="1697"/>
      <c r="Q12" s="1697"/>
      <c r="R12" s="1697"/>
      <c r="S12" s="1697"/>
      <c r="T12" s="1697"/>
      <c r="U12" s="1697"/>
      <c r="V12" s="1697"/>
      <c r="W12" s="1697"/>
      <c r="X12" s="1698"/>
      <c r="AC12" s="16"/>
      <c r="AD12" s="16"/>
      <c r="AE12" s="1600"/>
      <c r="AF12" s="1226"/>
      <c r="AG12" s="1134"/>
      <c r="AH12" s="1135"/>
      <c r="AI12" s="1136"/>
      <c r="AJ12" s="1109" t="s">
        <v>42</v>
      </c>
      <c r="AK12" s="1110"/>
      <c r="AL12" s="1110"/>
      <c r="AM12" s="1110"/>
      <c r="AN12" s="1738" t="s">
        <v>239</v>
      </c>
      <c r="AO12" s="1739"/>
      <c r="AP12" s="1739"/>
      <c r="AQ12" s="1739"/>
      <c r="AR12" s="1739"/>
      <c r="AS12" s="1739"/>
      <c r="AT12" s="1739"/>
      <c r="AU12" s="1739"/>
      <c r="AV12" s="1739"/>
      <c r="AW12" s="1739"/>
      <c r="AX12" s="1739"/>
      <c r="AY12" s="1739"/>
      <c r="AZ12" s="1739"/>
      <c r="BA12" s="1739"/>
      <c r="BB12" s="1740"/>
    </row>
    <row r="13" spans="1:54">
      <c r="A13" s="1600"/>
      <c r="B13" s="1600"/>
      <c r="C13" s="1600"/>
      <c r="D13" s="1600"/>
      <c r="E13" s="1600"/>
      <c r="F13" s="1600"/>
      <c r="G13" s="1600"/>
      <c r="H13" s="1600"/>
      <c r="I13" s="1600"/>
      <c r="J13" s="1600"/>
      <c r="K13" s="1600"/>
      <c r="L13" s="1600"/>
      <c r="M13" s="1600"/>
      <c r="N13" s="1600"/>
      <c r="O13" s="1600"/>
      <c r="P13" s="1600"/>
      <c r="Q13" s="1600"/>
      <c r="R13" s="1600"/>
      <c r="S13" s="1600"/>
      <c r="T13" s="1600"/>
      <c r="U13" s="1600"/>
      <c r="V13" s="1600"/>
      <c r="W13" s="1600"/>
      <c r="X13" s="1600"/>
      <c r="AE13" s="1600"/>
      <c r="AF13" s="1600"/>
      <c r="AG13" s="1600"/>
      <c r="AH13" s="1600"/>
      <c r="AI13" s="1600"/>
      <c r="AJ13" s="1600"/>
      <c r="AK13" s="1600"/>
      <c r="AL13" s="1600"/>
      <c r="AM13" s="1600"/>
      <c r="AN13" s="1600"/>
      <c r="AO13" s="1600"/>
      <c r="AP13" s="1600"/>
      <c r="AQ13" s="1600"/>
      <c r="AR13" s="1600"/>
      <c r="AS13" s="1600"/>
      <c r="AT13" s="1600"/>
      <c r="AU13" s="1600"/>
      <c r="AV13" s="1600"/>
      <c r="AW13" s="1600"/>
      <c r="AX13" s="1600"/>
      <c r="AY13" s="1600"/>
      <c r="AZ13" s="1600"/>
      <c r="BA13" s="1600"/>
      <c r="BB13" s="1600"/>
    </row>
    <row r="14" spans="1:54" s="92" customFormat="1" ht="20.100000000000001" customHeight="1">
      <c r="A14" s="1600"/>
      <c r="B14" s="1695" t="s">
        <v>135</v>
      </c>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AC14" s="14"/>
      <c r="AD14" s="14"/>
      <c r="AE14" s="1600"/>
      <c r="AF14" s="1695" t="s">
        <v>135</v>
      </c>
      <c r="AG14" s="1695"/>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row>
    <row r="15" spans="1:54" ht="27.6" customHeight="1">
      <c r="A15" s="1600"/>
      <c r="B15" s="1226"/>
      <c r="C15" s="1232" t="s">
        <v>145</v>
      </c>
      <c r="D15" s="1233"/>
      <c r="E15" s="1233" t="s">
        <v>144</v>
      </c>
      <c r="F15" s="1233"/>
      <c r="G15" s="1676" t="s">
        <v>136</v>
      </c>
      <c r="H15" s="1676"/>
      <c r="I15" s="1676"/>
      <c r="J15" s="1676"/>
      <c r="K15" s="1676"/>
      <c r="L15" s="1676" t="s">
        <v>137</v>
      </c>
      <c r="M15" s="1676"/>
      <c r="N15" s="1676"/>
      <c r="O15" s="1676"/>
      <c r="P15" s="1676"/>
      <c r="Q15" s="1676" t="s">
        <v>138</v>
      </c>
      <c r="R15" s="1676"/>
      <c r="S15" s="1676"/>
      <c r="T15" s="1676"/>
      <c r="U15" s="1676" t="s">
        <v>139</v>
      </c>
      <c r="V15" s="1676"/>
      <c r="W15" s="1676"/>
      <c r="X15" s="1704"/>
      <c r="AE15" s="1600"/>
      <c r="AF15" s="1226"/>
      <c r="AG15" s="1232" t="s">
        <v>145</v>
      </c>
      <c r="AH15" s="1233"/>
      <c r="AI15" s="1233" t="s">
        <v>144</v>
      </c>
      <c r="AJ15" s="1233"/>
      <c r="AK15" s="1676" t="s">
        <v>136</v>
      </c>
      <c r="AL15" s="1676"/>
      <c r="AM15" s="1676"/>
      <c r="AN15" s="1676"/>
      <c r="AO15" s="1676"/>
      <c r="AP15" s="1676" t="s">
        <v>137</v>
      </c>
      <c r="AQ15" s="1676"/>
      <c r="AR15" s="1676"/>
      <c r="AS15" s="1676"/>
      <c r="AT15" s="1676"/>
      <c r="AU15" s="1676" t="s">
        <v>138</v>
      </c>
      <c r="AV15" s="1676"/>
      <c r="AW15" s="1676"/>
      <c r="AX15" s="1676"/>
      <c r="AY15" s="1676" t="s">
        <v>139</v>
      </c>
      <c r="AZ15" s="1676"/>
      <c r="BA15" s="1676"/>
      <c r="BB15" s="1704"/>
    </row>
    <row r="16" spans="1:54" ht="27.6" customHeight="1">
      <c r="A16" s="1600"/>
      <c r="B16" s="1226"/>
      <c r="C16" s="1482"/>
      <c r="D16" s="1483"/>
      <c r="E16" s="1483"/>
      <c r="F16" s="1483"/>
      <c r="G16" s="1552"/>
      <c r="H16" s="1552"/>
      <c r="I16" s="1553"/>
      <c r="J16" s="1705" t="s">
        <v>103</v>
      </c>
      <c r="K16" s="1509"/>
      <c r="L16" s="1700" t="str">
        <f ca="1">IFERROR(IF($F$6&lt;&gt;"",IF(結果2面!$D$3=結果2面!$G$3,OFFSET(参考3_排出量経年!$AB$4,112,MATCH($F$6,参考3_排出量経年!4:4,0)-29),"要入力"),""),"")</f>
        <v/>
      </c>
      <c r="M16" s="1700"/>
      <c r="N16" s="1700"/>
      <c r="O16" s="1565"/>
      <c r="P16" s="99" t="s">
        <v>103</v>
      </c>
      <c r="Q16" s="1700" t="str">
        <f ca="1">IFERROR(IF($F$6&lt;&gt;"",IF(結果2面!$D$3=結果2面!$G$3-1,OFFSET(参考3_排出量経年!$AB$4,112,MATCH($F$6,参考3_排出量経年!4:4,0)-29),IF(結果2面!$D$3&lt;結果2面!$G$3-1,"要入力","")),""),"")</f>
        <v/>
      </c>
      <c r="R16" s="1700"/>
      <c r="S16" s="1565"/>
      <c r="T16" s="99" t="s">
        <v>103</v>
      </c>
      <c r="U16" s="1700" t="str">
        <f ca="1">IFERROR(IF($F$6&lt;&gt;"",IF(結果2面!$D$3=結果2面!$G$3-2,OFFSET(参考3_排出量経年!$AB$4,112,MATCH($F$6,参考3_排出量経年!4:4,0)-29),IF(結果2面!$D$3&lt;結果2面!$G$3-2,"要入力","")),""),"")</f>
        <v/>
      </c>
      <c r="V16" s="1700"/>
      <c r="W16" s="1565"/>
      <c r="X16" s="56" t="s">
        <v>103</v>
      </c>
      <c r="Y16" s="18"/>
      <c r="AB16" s="120" t="s">
        <v>3627</v>
      </c>
      <c r="AC16" s="19"/>
      <c r="AD16" s="19"/>
      <c r="AE16" s="1600"/>
      <c r="AF16" s="1226"/>
      <c r="AG16" s="1482"/>
      <c r="AH16" s="1483"/>
      <c r="AI16" s="1483"/>
      <c r="AJ16" s="1483"/>
      <c r="AK16" s="1741">
        <v>4110</v>
      </c>
      <c r="AL16" s="1741"/>
      <c r="AM16" s="1742"/>
      <c r="AN16" s="1705" t="s">
        <v>103</v>
      </c>
      <c r="AO16" s="1509"/>
      <c r="AP16" s="1741">
        <v>4070</v>
      </c>
      <c r="AQ16" s="1741"/>
      <c r="AR16" s="1741"/>
      <c r="AS16" s="1742"/>
      <c r="AT16" s="99" t="s">
        <v>103</v>
      </c>
      <c r="AU16" s="1741">
        <v>4030</v>
      </c>
      <c r="AV16" s="1741"/>
      <c r="AW16" s="1742"/>
      <c r="AX16" s="99" t="s">
        <v>103</v>
      </c>
      <c r="AY16" s="1741">
        <v>3970</v>
      </c>
      <c r="AZ16" s="1741"/>
      <c r="BA16" s="1742"/>
      <c r="BB16" s="56" t="s">
        <v>103</v>
      </c>
    </row>
    <row r="17" spans="1:54" ht="27.6" customHeight="1">
      <c r="A17" s="1600"/>
      <c r="B17" s="1226"/>
      <c r="C17" s="1482"/>
      <c r="D17" s="1483"/>
      <c r="E17" s="1483"/>
      <c r="F17" s="1483"/>
      <c r="G17" s="1677" t="s">
        <v>140</v>
      </c>
      <c r="H17" s="1677"/>
      <c r="I17" s="1677"/>
      <c r="J17" s="1677"/>
      <c r="K17" s="1677"/>
      <c r="L17" s="1677" t="s">
        <v>141</v>
      </c>
      <c r="M17" s="1677"/>
      <c r="N17" s="1677"/>
      <c r="O17" s="1677"/>
      <c r="P17" s="1677"/>
      <c r="Q17" s="1684" t="s">
        <v>142</v>
      </c>
      <c r="R17" s="1685"/>
      <c r="S17" s="1685"/>
      <c r="T17" s="1686"/>
      <c r="U17" s="1677" t="s">
        <v>143</v>
      </c>
      <c r="V17" s="1677"/>
      <c r="W17" s="1677"/>
      <c r="X17" s="1683"/>
      <c r="Y17" s="122" t="s">
        <v>2323</v>
      </c>
      <c r="AC17" s="16"/>
      <c r="AD17" s="16"/>
      <c r="AE17" s="1600"/>
      <c r="AF17" s="1226"/>
      <c r="AG17" s="1482"/>
      <c r="AH17" s="1483"/>
      <c r="AI17" s="1483"/>
      <c r="AJ17" s="1483"/>
      <c r="AK17" s="1677" t="s">
        <v>140</v>
      </c>
      <c r="AL17" s="1677"/>
      <c r="AM17" s="1677"/>
      <c r="AN17" s="1677"/>
      <c r="AO17" s="1677"/>
      <c r="AP17" s="1677" t="s">
        <v>141</v>
      </c>
      <c r="AQ17" s="1677"/>
      <c r="AR17" s="1677"/>
      <c r="AS17" s="1677"/>
      <c r="AT17" s="1677"/>
      <c r="AU17" s="1684" t="s">
        <v>142</v>
      </c>
      <c r="AV17" s="1685"/>
      <c r="AW17" s="1685"/>
      <c r="AX17" s="1686"/>
      <c r="AY17" s="1677" t="s">
        <v>143</v>
      </c>
      <c r="AZ17" s="1677"/>
      <c r="BA17" s="1677"/>
      <c r="BB17" s="1683"/>
    </row>
    <row r="18" spans="1:54" ht="27.6" customHeight="1">
      <c r="A18" s="1600"/>
      <c r="B18" s="1226"/>
      <c r="C18" s="1242"/>
      <c r="D18" s="1243"/>
      <c r="E18" s="1243"/>
      <c r="F18" s="1243"/>
      <c r="G18" s="1544" t="str">
        <f ca="1">IFERROR(IF($F$6&lt;&gt;"",IF(結果2面!$D$3=結果2面!$G$3-3,OFFSET(参考3_排出量経年!$AB$4,112,MATCH($F$6,参考3_排出量経年!4:4,0)-29),IF(結果2面!$D$3&lt;結果2面!$G$3-3,"要入力","")),""),"")</f>
        <v/>
      </c>
      <c r="H18" s="1544"/>
      <c r="I18" s="1545"/>
      <c r="J18" s="1672" t="s">
        <v>103</v>
      </c>
      <c r="K18" s="1673"/>
      <c r="L18" s="1674" t="str">
        <f ca="1">IFERROR(IF($F$6&lt;&gt;"",IF(結果2面!$D$3=結果2面!$G$3-4,OFFSET(参考3_排出量経年!$AB$4,112,MATCH($F$6,参考3_排出量経年!4:4,0)-29),IF(結果2面!$D$3&lt;結果2面!$G$3-4,"要入力","")),""),"")</f>
        <v/>
      </c>
      <c r="M18" s="1674"/>
      <c r="N18" s="1674"/>
      <c r="O18" s="1675"/>
      <c r="P18" s="97" t="s">
        <v>103</v>
      </c>
      <c r="Q18" s="1550"/>
      <c r="R18" s="1550"/>
      <c r="S18" s="1551"/>
      <c r="T18" s="97" t="s">
        <v>103</v>
      </c>
      <c r="U18" s="1525" t="str">
        <f>IF(G16="","",IF(L18&lt;&gt;"",(G16-L18)/G16*100,IF(G18&lt;&gt;"",(G16-G18)/G16*100,IF(U16&lt;&gt;"",(G16-U16)/G16*100,IF(Q16&lt;&gt;"",(G16-Q16)/G16*100,(G16-L16)/G16*100)))))</f>
        <v/>
      </c>
      <c r="V18" s="1526"/>
      <c r="W18" s="1526"/>
      <c r="X18" s="57" t="s">
        <v>156</v>
      </c>
      <c r="Y18" s="174" t="str">
        <f>IF(G16="","",IF(L18&lt;&gt;"",IF(0&lt;=Q18-L18,"達成","非達成"),IF(G18&lt;&gt;"",IF(0&lt;=Q18-G18,"達成","非達成"),IF(U16&lt;&gt;"",IF(0&lt;=Q18-U16,"達成","非達成"),IF(Q16&lt;&gt;"",IF(0&lt;=Q18-Q16,"達成","非達成"),IF(0&lt;=Q18-L16,"達成","非達成"))))))</f>
        <v/>
      </c>
      <c r="AC18" s="22"/>
      <c r="AD18" s="22"/>
      <c r="AE18" s="1600"/>
      <c r="AF18" s="1226"/>
      <c r="AG18" s="1242"/>
      <c r="AH18" s="1243"/>
      <c r="AI18" s="1243"/>
      <c r="AJ18" s="1243"/>
      <c r="AK18" s="1733"/>
      <c r="AL18" s="1733"/>
      <c r="AM18" s="1734"/>
      <c r="AN18" s="1672" t="s">
        <v>103</v>
      </c>
      <c r="AO18" s="1673"/>
      <c r="AP18" s="1733"/>
      <c r="AQ18" s="1733"/>
      <c r="AR18" s="1733"/>
      <c r="AS18" s="1734"/>
      <c r="AT18" s="97" t="s">
        <v>103</v>
      </c>
      <c r="AU18" s="1733">
        <v>3980</v>
      </c>
      <c r="AV18" s="1733"/>
      <c r="AW18" s="1734"/>
      <c r="AX18" s="97" t="s">
        <v>103</v>
      </c>
      <c r="AY18" s="1525">
        <f>IF(AK16="","",IF(AP18&lt;&gt;"",(AK16-AP18)/AK16*100,IF(AK18&lt;&gt;"",(AK16-AK18)/AK16*100,IF(AY16&lt;&gt;"",(AK16-AY16)/AK16*100,IF(AU16&lt;&gt;"",(AK16-AU16)/AK16*100,(AK16-AP16)/AK16*100)))))</f>
        <v>3.4063260340632602</v>
      </c>
      <c r="AZ18" s="1526"/>
      <c r="BA18" s="1526"/>
      <c r="BB18" s="57" t="s">
        <v>156</v>
      </c>
    </row>
    <row r="19" spans="1:54" ht="27" customHeight="1">
      <c r="A19" s="1600"/>
      <c r="B19" s="1226"/>
      <c r="C19" s="1232" t="s">
        <v>155</v>
      </c>
      <c r="D19" s="1233"/>
      <c r="E19" s="1233" t="s">
        <v>154</v>
      </c>
      <c r="F19" s="1233"/>
      <c r="G19" s="1678"/>
      <c r="H19" s="1679"/>
      <c r="I19" s="1679"/>
      <c r="J19" s="1679"/>
      <c r="K19" s="1680"/>
      <c r="L19" s="1660" t="s">
        <v>146</v>
      </c>
      <c r="M19" s="1661"/>
      <c r="N19" s="1661"/>
      <c r="O19" s="1661"/>
      <c r="P19" s="1662"/>
      <c r="Q19" s="9" t="str">
        <f>IF(G19="","",J16&amp;"/")</f>
        <v/>
      </c>
      <c r="R19" s="1723"/>
      <c r="S19" s="1723"/>
      <c r="T19" s="1724"/>
      <c r="U19" s="1364"/>
      <c r="V19" s="1116"/>
      <c r="W19" s="1116"/>
      <c r="X19" s="1116"/>
      <c r="AE19" s="1600"/>
      <c r="AF19" s="1226"/>
      <c r="AG19" s="1232" t="s">
        <v>155</v>
      </c>
      <c r="AH19" s="1233"/>
      <c r="AI19" s="1233" t="s">
        <v>154</v>
      </c>
      <c r="AJ19" s="1233"/>
      <c r="AK19" s="1743" t="s">
        <v>240</v>
      </c>
      <c r="AL19" s="1744"/>
      <c r="AM19" s="1744"/>
      <c r="AN19" s="1744"/>
      <c r="AO19" s="1745"/>
      <c r="AP19" s="1660" t="s">
        <v>146</v>
      </c>
      <c r="AQ19" s="1661"/>
      <c r="AR19" s="1661"/>
      <c r="AS19" s="1661"/>
      <c r="AT19" s="1662"/>
      <c r="AU19" s="9" t="str">
        <f>IF(AK19="","",AN16&amp;"/")</f>
        <v>tCO2/</v>
      </c>
      <c r="AV19" s="1362" t="s">
        <v>241</v>
      </c>
      <c r="AW19" s="1362"/>
      <c r="AX19" s="1363"/>
      <c r="AY19" s="1364"/>
      <c r="AZ19" s="1116"/>
      <c r="BA19" s="1116"/>
      <c r="BB19" s="1116"/>
    </row>
    <row r="20" spans="1:54" ht="27" customHeight="1" thickBot="1">
      <c r="A20" s="1600"/>
      <c r="B20" s="1226"/>
      <c r="C20" s="1482"/>
      <c r="D20" s="1483"/>
      <c r="E20" s="1483" t="s">
        <v>0</v>
      </c>
      <c r="F20" s="1483"/>
      <c r="G20" s="1699" t="s">
        <v>147</v>
      </c>
      <c r="H20" s="1699"/>
      <c r="I20" s="1699"/>
      <c r="J20" s="1699"/>
      <c r="K20" s="1699"/>
      <c r="L20" s="1699" t="s">
        <v>148</v>
      </c>
      <c r="M20" s="1699"/>
      <c r="N20" s="1699"/>
      <c r="O20" s="1699"/>
      <c r="P20" s="1699"/>
      <c r="Q20" s="1699" t="s">
        <v>166</v>
      </c>
      <c r="R20" s="1699"/>
      <c r="S20" s="1699"/>
      <c r="T20" s="1699"/>
      <c r="U20" s="1725" t="s">
        <v>149</v>
      </c>
      <c r="V20" s="1725"/>
      <c r="W20" s="1725"/>
      <c r="X20" s="1726"/>
      <c r="Y20" s="173" t="s">
        <v>4578</v>
      </c>
      <c r="AC20" s="84"/>
      <c r="AD20" s="84"/>
      <c r="AE20" s="1600"/>
      <c r="AF20" s="1226"/>
      <c r="AG20" s="1482"/>
      <c r="AH20" s="1483"/>
      <c r="AI20" s="1483" t="s">
        <v>0</v>
      </c>
      <c r="AJ20" s="1483"/>
      <c r="AK20" s="1699" t="s">
        <v>147</v>
      </c>
      <c r="AL20" s="1699"/>
      <c r="AM20" s="1699"/>
      <c r="AN20" s="1699"/>
      <c r="AO20" s="1699"/>
      <c r="AP20" s="1699" t="s">
        <v>148</v>
      </c>
      <c r="AQ20" s="1699"/>
      <c r="AR20" s="1699"/>
      <c r="AS20" s="1699"/>
      <c r="AT20" s="1699"/>
      <c r="AU20" s="1699" t="s">
        <v>166</v>
      </c>
      <c r="AV20" s="1699"/>
      <c r="AW20" s="1699"/>
      <c r="AX20" s="1699"/>
      <c r="AY20" s="1725" t="s">
        <v>149</v>
      </c>
      <c r="AZ20" s="1725"/>
      <c r="BA20" s="1725"/>
      <c r="BB20" s="1726"/>
    </row>
    <row r="21" spans="1:54" ht="27" customHeight="1" thickBot="1">
      <c r="A21" s="1600"/>
      <c r="B21" s="1226"/>
      <c r="C21" s="1482"/>
      <c r="D21" s="1483"/>
      <c r="E21" s="1483"/>
      <c r="F21" s="1483"/>
      <c r="G21" s="1712"/>
      <c r="H21" s="1713"/>
      <c r="I21" s="1472" t="str">
        <f>Q19&amp;R19</f>
        <v/>
      </c>
      <c r="J21" s="1472"/>
      <c r="K21" s="1478"/>
      <c r="L21" s="1708" t="str">
        <f ca="1">IF(L16=0,0,IFERROR(IF($G$19&lt;&gt;"",IF(結果2面!$D$3=結果2面!$G$3,ROUND(L16/$Y$21,2-INT(LOG(L16/$Y$21))),"要入力"),""),""))</f>
        <v/>
      </c>
      <c r="M21" s="1708"/>
      <c r="N21" s="1709"/>
      <c r="O21" s="1472" t="str">
        <f>Q19&amp;R19</f>
        <v/>
      </c>
      <c r="P21" s="1478"/>
      <c r="Q21" s="1708" t="str">
        <f ca="1">IF(Q16=0,0,IFERROR(IF($G$19&lt;&gt;"",IF(結果2面!$D$3=結果2面!$G$3-1,ROUND(Q16/$Y$21,2-INT(LOG(Q16/$Y$21))),IF(結果2面!$D$3&lt;結果2面!$G$3-1,"要入力","")),""),""))</f>
        <v/>
      </c>
      <c r="R21" s="1709"/>
      <c r="S21" s="1472" t="str">
        <f>Q19&amp;R19</f>
        <v/>
      </c>
      <c r="T21" s="1478"/>
      <c r="U21" s="1710" t="str">
        <f ca="1">IF(U16=0,0,IFERROR(IF($G$19&lt;&gt;"",IF(結果2面!$D$3=結果2面!$G$3-2,ROUND(U16/$Y$21,2-INT(LOG(U16/$Y$21))),IF(結果2面!$D$3&lt;結果2面!$G$3-2,"要入力","")),""),""))</f>
        <v/>
      </c>
      <c r="V21" s="1709"/>
      <c r="W21" s="1472" t="str">
        <f>Q19&amp;R19</f>
        <v/>
      </c>
      <c r="X21" s="1472"/>
      <c r="Y21" s="178"/>
      <c r="AC21" s="22"/>
      <c r="AD21" s="22"/>
      <c r="AE21" s="1600"/>
      <c r="AF21" s="1226"/>
      <c r="AG21" s="1482"/>
      <c r="AH21" s="1483"/>
      <c r="AI21" s="1483"/>
      <c r="AJ21" s="1483"/>
      <c r="AK21" s="1751">
        <v>0.41399999999999998</v>
      </c>
      <c r="AL21" s="1752"/>
      <c r="AM21" s="1472" t="str">
        <f>AU19&amp;AV19</f>
        <v>tCO2/トン</v>
      </c>
      <c r="AN21" s="1472"/>
      <c r="AO21" s="1478"/>
      <c r="AP21" s="1751">
        <v>0.41199999999999998</v>
      </c>
      <c r="AQ21" s="1751"/>
      <c r="AR21" s="1752"/>
      <c r="AS21" s="1472" t="str">
        <f>AU19&amp;AV19</f>
        <v>tCO2/トン</v>
      </c>
      <c r="AT21" s="1478"/>
      <c r="AU21" s="1751">
        <v>0.40400000000000003</v>
      </c>
      <c r="AV21" s="1752"/>
      <c r="AW21" s="1472" t="str">
        <f>AU19&amp;AV19</f>
        <v>tCO2/トン</v>
      </c>
      <c r="AX21" s="1478"/>
      <c r="AY21" s="1751">
        <v>0.38600000000000001</v>
      </c>
      <c r="AZ21" s="1752"/>
      <c r="BA21" s="1472" t="str">
        <f>AU19&amp;AV19</f>
        <v>tCO2/トン</v>
      </c>
      <c r="BB21" s="1473"/>
    </row>
    <row r="22" spans="1:54" ht="27" customHeight="1">
      <c r="A22" s="1600"/>
      <c r="B22" s="1226"/>
      <c r="C22" s="1482"/>
      <c r="D22" s="1483"/>
      <c r="E22" s="1483"/>
      <c r="F22" s="1483"/>
      <c r="G22" s="1699" t="s">
        <v>150</v>
      </c>
      <c r="H22" s="1699"/>
      <c r="I22" s="1699"/>
      <c r="J22" s="1699"/>
      <c r="K22" s="1699"/>
      <c r="L22" s="1699" t="s">
        <v>151</v>
      </c>
      <c r="M22" s="1699"/>
      <c r="N22" s="1699"/>
      <c r="O22" s="1699"/>
      <c r="P22" s="1699"/>
      <c r="Q22" s="1699" t="s">
        <v>152</v>
      </c>
      <c r="R22" s="1699"/>
      <c r="S22" s="1699"/>
      <c r="T22" s="1699"/>
      <c r="U22" s="1310" t="s">
        <v>153</v>
      </c>
      <c r="V22" s="1311"/>
      <c r="W22" s="1311"/>
      <c r="X22" s="1711"/>
      <c r="Y22" s="172" t="s">
        <v>2323</v>
      </c>
      <c r="AE22" s="1600"/>
      <c r="AF22" s="1226"/>
      <c r="AG22" s="1482"/>
      <c r="AH22" s="1483"/>
      <c r="AI22" s="1483"/>
      <c r="AJ22" s="1483"/>
      <c r="AK22" s="1699" t="s">
        <v>150</v>
      </c>
      <c r="AL22" s="1699"/>
      <c r="AM22" s="1699"/>
      <c r="AN22" s="1699"/>
      <c r="AO22" s="1699"/>
      <c r="AP22" s="1699" t="s">
        <v>151</v>
      </c>
      <c r="AQ22" s="1699"/>
      <c r="AR22" s="1699"/>
      <c r="AS22" s="1699"/>
      <c r="AT22" s="1699"/>
      <c r="AU22" s="1699" t="s">
        <v>152</v>
      </c>
      <c r="AV22" s="1699"/>
      <c r="AW22" s="1699"/>
      <c r="AX22" s="1699"/>
      <c r="AY22" s="1310" t="s">
        <v>153</v>
      </c>
      <c r="AZ22" s="1311"/>
      <c r="BA22" s="1311"/>
      <c r="BB22" s="1711"/>
    </row>
    <row r="23" spans="1:54" ht="27" customHeight="1">
      <c r="A23" s="1600"/>
      <c r="B23" s="1226"/>
      <c r="C23" s="1242"/>
      <c r="D23" s="1243"/>
      <c r="E23" s="1243"/>
      <c r="F23" s="1243"/>
      <c r="G23" s="1716" t="str">
        <f ca="1">IF(G18=0,0,IFERROR(IF($G$19&lt;&gt;"",IF(結果2面!$D$3=結果2面!$G$3-3,ROUND(G18/$Y$21,2-INT(LOG(G18/$Y$21))),IF(結果2面!$D$3&lt;結果2面!$G$3-3,"要入力","")),""),""))</f>
        <v/>
      </c>
      <c r="H23" s="1717"/>
      <c r="I23" s="1468" t="str">
        <f>Q19&amp;R19</f>
        <v/>
      </c>
      <c r="J23" s="1468"/>
      <c r="K23" s="1469"/>
      <c r="L23" s="1706" t="str">
        <f ca="1">IF(L18=0,0,IFERROR(IF($G$19&lt;&gt;"",IF(結果2面!$D$3=結果2面!$G$3-4,ROUND(L18/$Y$21,2-INT(LOG(L18/$Y$21))),IF(結果2面!$D$3&lt;結果2面!$G$3-4,"要入力","")),""),""))</f>
        <v/>
      </c>
      <c r="M23" s="1706"/>
      <c r="N23" s="1707"/>
      <c r="O23" s="1468" t="str">
        <f>Q19&amp;R19</f>
        <v/>
      </c>
      <c r="P23" s="1469"/>
      <c r="Q23" s="1714"/>
      <c r="R23" s="1715"/>
      <c r="S23" s="1468" t="str">
        <f>Q19&amp;R19</f>
        <v/>
      </c>
      <c r="T23" s="1469"/>
      <c r="U23" s="1525" t="str">
        <f>IF(G21="","",IF(L23&lt;&gt;"",(G21-L23)/G21*100,IF(G23&lt;&gt;"",(G21-G23)/G21*100,IF(U21&lt;&gt;"",(G21-U21)/G21*100,IF(Q21&lt;&gt;"",(G21-Q21)/G21*100,(G21-L21)/G21*100)))))</f>
        <v/>
      </c>
      <c r="V23" s="1526"/>
      <c r="W23" s="1526"/>
      <c r="X23" s="57" t="s">
        <v>156</v>
      </c>
      <c r="Y23" s="174" t="str">
        <f>IF(G21="","",IF(L23&lt;&gt;"",IF(0&lt;=Q23-L23,"達成","非達成"),IF(G23&lt;&gt;"",IF(0&lt;=Q23-G23,"達成","非達成"),IF(U21&lt;&gt;"",IF(0&lt;=Q23-U21,"達成","非達成"),IF(Q21&lt;&gt;"",IF(0&lt;=Q23-Q21,"達成","非達成"),IF(0&lt;=Q23-L21,"達成","非達成"))))))</f>
        <v/>
      </c>
      <c r="AC23" s="22"/>
      <c r="AD23" s="22"/>
      <c r="AE23" s="1600"/>
      <c r="AF23" s="1226"/>
      <c r="AG23" s="1242"/>
      <c r="AH23" s="1243"/>
      <c r="AI23" s="1243"/>
      <c r="AJ23" s="1243"/>
      <c r="AK23" s="1746"/>
      <c r="AL23" s="1747"/>
      <c r="AM23" s="1468" t="str">
        <f>AU19&amp;AV19</f>
        <v>tCO2/トン</v>
      </c>
      <c r="AN23" s="1468"/>
      <c r="AO23" s="1469"/>
      <c r="AP23" s="1746"/>
      <c r="AQ23" s="1746"/>
      <c r="AR23" s="1747"/>
      <c r="AS23" s="1468" t="str">
        <f>AU19&amp;AV19</f>
        <v>tCO2/トン</v>
      </c>
      <c r="AT23" s="1469"/>
      <c r="AU23" s="1746">
        <v>0.40899999999999997</v>
      </c>
      <c r="AV23" s="1747"/>
      <c r="AW23" s="1468" t="str">
        <f>AU19&amp;AV19</f>
        <v>tCO2/トン</v>
      </c>
      <c r="AX23" s="1469"/>
      <c r="AY23" s="1525">
        <f>IF(AK21="","",IF(AP23&lt;&gt;"",(AK21-AP23)/AK21*100,IF(AK23&lt;&gt;"",(AK21-AK23)/AK21*100,IF(AY21&lt;&gt;"",(AK21-AY21)/AK21*100,IF(AU21&lt;&gt;"",(AK21-AU21)/AK21*100,(AK21-AP21)/AK21*100)))))</f>
        <v>6.7632850241545821</v>
      </c>
      <c r="AZ23" s="1526"/>
      <c r="BA23" s="1526"/>
      <c r="BB23" s="57" t="s">
        <v>156</v>
      </c>
    </row>
    <row r="24" spans="1:54" ht="287.39999999999998" customHeight="1" thickBot="1">
      <c r="A24" s="1600"/>
      <c r="B24" s="1226"/>
      <c r="C24" s="1718" t="s">
        <v>131</v>
      </c>
      <c r="D24" s="1719"/>
      <c r="E24" s="1719"/>
      <c r="F24" s="1690"/>
      <c r="G24" s="1720" t="s">
        <v>3721</v>
      </c>
      <c r="H24" s="1721"/>
      <c r="I24" s="1721"/>
      <c r="J24" s="1721"/>
      <c r="K24" s="1721"/>
      <c r="L24" s="1721"/>
      <c r="M24" s="1721"/>
      <c r="N24" s="1721"/>
      <c r="O24" s="1721"/>
      <c r="P24" s="1721"/>
      <c r="Q24" s="1721"/>
      <c r="R24" s="1721"/>
      <c r="S24" s="1721"/>
      <c r="T24" s="1721"/>
      <c r="U24" s="1721"/>
      <c r="V24" s="1721"/>
      <c r="W24" s="1721"/>
      <c r="X24" s="1722"/>
      <c r="Y24" s="18"/>
      <c r="AC24" s="54"/>
      <c r="AD24" s="31"/>
      <c r="AE24" s="1600"/>
      <c r="AF24" s="1226"/>
      <c r="AG24" s="1718" t="s">
        <v>131</v>
      </c>
      <c r="AH24" s="1719"/>
      <c r="AI24" s="1719"/>
      <c r="AJ24" s="1690"/>
      <c r="AK24" s="1748" t="s">
        <v>3722</v>
      </c>
      <c r="AL24" s="1749"/>
      <c r="AM24" s="1749"/>
      <c r="AN24" s="1749"/>
      <c r="AO24" s="1749"/>
      <c r="AP24" s="1749"/>
      <c r="AQ24" s="1749"/>
      <c r="AR24" s="1749"/>
      <c r="AS24" s="1749"/>
      <c r="AT24" s="1749"/>
      <c r="AU24" s="1749"/>
      <c r="AV24" s="1749"/>
      <c r="AW24" s="1749"/>
      <c r="AX24" s="1749"/>
      <c r="AY24" s="1749"/>
      <c r="AZ24" s="1749"/>
      <c r="BA24" s="1749"/>
      <c r="BB24" s="1750"/>
    </row>
    <row r="25" spans="1:54">
      <c r="B25" s="96"/>
      <c r="C25" s="96"/>
      <c r="D25" s="96"/>
      <c r="E25" s="96"/>
      <c r="F25" s="96"/>
      <c r="G25" s="96"/>
      <c r="H25" s="96"/>
      <c r="I25" s="96"/>
      <c r="J25" s="96"/>
      <c r="K25" s="96"/>
      <c r="L25" s="96"/>
      <c r="M25" s="96"/>
      <c r="N25" s="96"/>
      <c r="O25" s="96"/>
      <c r="P25" s="96"/>
      <c r="Q25" s="96"/>
      <c r="R25" s="96"/>
      <c r="S25" s="96"/>
      <c r="T25" s="96"/>
      <c r="U25" s="96"/>
      <c r="V25" s="96"/>
      <c r="W25" s="96"/>
      <c r="X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row>
    <row r="26" spans="1:54">
      <c r="B26" s="96"/>
      <c r="C26" s="96"/>
      <c r="D26" s="96"/>
      <c r="E26" s="96"/>
      <c r="F26" s="96"/>
      <c r="G26" s="96"/>
      <c r="H26" s="96"/>
      <c r="I26" s="96"/>
      <c r="J26" s="96"/>
      <c r="K26" s="96"/>
      <c r="L26" s="96"/>
      <c r="M26" s="96"/>
      <c r="N26" s="96"/>
      <c r="O26" s="96"/>
      <c r="P26" s="96"/>
      <c r="Q26" s="96"/>
      <c r="R26" s="96"/>
      <c r="S26" s="96"/>
      <c r="T26" s="96"/>
      <c r="U26" s="96"/>
      <c r="V26" s="96"/>
      <c r="W26" s="96"/>
      <c r="X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row>
    <row r="27" spans="1:54">
      <c r="B27" s="96"/>
      <c r="C27" s="96"/>
      <c r="D27" s="96"/>
      <c r="E27" s="96"/>
      <c r="F27" s="96"/>
      <c r="G27" s="96"/>
      <c r="H27" s="96"/>
      <c r="I27" s="96"/>
      <c r="J27" s="96"/>
      <c r="K27" s="96"/>
      <c r="L27" s="96"/>
      <c r="M27" s="96"/>
      <c r="N27" s="96"/>
      <c r="O27" s="96"/>
      <c r="P27" s="96"/>
      <c r="Q27" s="96"/>
      <c r="R27" s="96"/>
      <c r="S27" s="96"/>
      <c r="T27" s="96"/>
      <c r="U27" s="96"/>
      <c r="V27" s="96"/>
      <c r="W27" s="96"/>
      <c r="X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row>
    <row r="35" spans="29:30">
      <c r="AC35" s="16"/>
      <c r="AD35" s="16"/>
    </row>
    <row r="36" spans="29:30">
      <c r="AC36" s="16"/>
      <c r="AD36" s="16"/>
    </row>
    <row r="37" spans="29:30">
      <c r="AC37" s="16"/>
      <c r="AD37" s="16"/>
    </row>
    <row r="38" spans="29:30">
      <c r="AC38" s="16"/>
      <c r="AD38" s="16"/>
    </row>
    <row r="39" spans="29:30">
      <c r="AC39" s="16"/>
      <c r="AD39" s="16"/>
    </row>
  </sheetData>
  <sheetProtection password="E7B8" sheet="1" formatCells="0"/>
  <mergeCells count="163">
    <mergeCell ref="AP20:AT20"/>
    <mergeCell ref="AU20:AX20"/>
    <mergeCell ref="AY20:BB20"/>
    <mergeCell ref="AK21:AL21"/>
    <mergeCell ref="AM21:AO21"/>
    <mergeCell ref="AP21:AR21"/>
    <mergeCell ref="AS21:AT21"/>
    <mergeCell ref="AU21:AV21"/>
    <mergeCell ref="AW21:AX21"/>
    <mergeCell ref="AY21:AZ21"/>
    <mergeCell ref="AY16:BA16"/>
    <mergeCell ref="AK17:AO17"/>
    <mergeCell ref="AP17:AT17"/>
    <mergeCell ref="AU17:AX17"/>
    <mergeCell ref="AG24:AJ24"/>
    <mergeCell ref="AI19:AJ19"/>
    <mergeCell ref="AK19:AO19"/>
    <mergeCell ref="AP19:AT19"/>
    <mergeCell ref="AV19:AX19"/>
    <mergeCell ref="AY19:BB19"/>
    <mergeCell ref="AY17:BB17"/>
    <mergeCell ref="AU23:AV23"/>
    <mergeCell ref="AW23:AX23"/>
    <mergeCell ref="AK22:AO22"/>
    <mergeCell ref="AP22:AT22"/>
    <mergeCell ref="AU22:AX22"/>
    <mergeCell ref="AY22:BB22"/>
    <mergeCell ref="AY23:BA23"/>
    <mergeCell ref="AK24:BB24"/>
    <mergeCell ref="AK23:AL23"/>
    <mergeCell ref="AM23:AO23"/>
    <mergeCell ref="AP23:AR23"/>
    <mergeCell ref="AS23:AT23"/>
    <mergeCell ref="AK20:AO20"/>
    <mergeCell ref="AI20:AJ23"/>
    <mergeCell ref="AN9:BB9"/>
    <mergeCell ref="AJ10:AM10"/>
    <mergeCell ref="AR10:AS10"/>
    <mergeCell ref="AT10:BB10"/>
    <mergeCell ref="AJ11:AM11"/>
    <mergeCell ref="AR11:AS11"/>
    <mergeCell ref="AT11:BB11"/>
    <mergeCell ref="AJ12:AM12"/>
    <mergeCell ref="AN12:BB12"/>
    <mergeCell ref="BA21:BB21"/>
    <mergeCell ref="AF13:BB13"/>
    <mergeCell ref="AF14:BB14"/>
    <mergeCell ref="AF15:AF24"/>
    <mergeCell ref="AG15:AH18"/>
    <mergeCell ref="AI15:AJ18"/>
    <mergeCell ref="AK15:AO15"/>
    <mergeCell ref="AP15:AT15"/>
    <mergeCell ref="AU15:AX15"/>
    <mergeCell ref="AY15:BB15"/>
    <mergeCell ref="AK16:AM16"/>
    <mergeCell ref="AN16:AO16"/>
    <mergeCell ref="AP16:AS16"/>
    <mergeCell ref="AU16:AW16"/>
    <mergeCell ref="AE1:BB1"/>
    <mergeCell ref="AE2:BB2"/>
    <mergeCell ref="AE3:BB3"/>
    <mergeCell ref="AE4:AE24"/>
    <mergeCell ref="AF4:BB4"/>
    <mergeCell ref="AF5:BB5"/>
    <mergeCell ref="AF6:AF12"/>
    <mergeCell ref="AG6:AI6"/>
    <mergeCell ref="AJ6:BB6"/>
    <mergeCell ref="AG7:AI7"/>
    <mergeCell ref="AJ7:BB7"/>
    <mergeCell ref="AG8:AI8"/>
    <mergeCell ref="AJ8:AK8"/>
    <mergeCell ref="AL8:AQ8"/>
    <mergeCell ref="AR8:AS8"/>
    <mergeCell ref="AT8:BB8"/>
    <mergeCell ref="AK18:AM18"/>
    <mergeCell ref="AN18:AO18"/>
    <mergeCell ref="AP18:AS18"/>
    <mergeCell ref="AU18:AW18"/>
    <mergeCell ref="AY18:BA18"/>
    <mergeCell ref="AG19:AH23"/>
    <mergeCell ref="AG9:AI12"/>
    <mergeCell ref="AJ9:AM9"/>
    <mergeCell ref="C24:F24"/>
    <mergeCell ref="Q22:T22"/>
    <mergeCell ref="Q20:T20"/>
    <mergeCell ref="G24:X24"/>
    <mergeCell ref="E19:F19"/>
    <mergeCell ref="R19:T19"/>
    <mergeCell ref="O23:P23"/>
    <mergeCell ref="I21:K21"/>
    <mergeCell ref="U20:X20"/>
    <mergeCell ref="B14:X14"/>
    <mergeCell ref="Q16:S16"/>
    <mergeCell ref="L16:O16"/>
    <mergeCell ref="U15:X15"/>
    <mergeCell ref="Q15:T15"/>
    <mergeCell ref="U18:W18"/>
    <mergeCell ref="J16:K16"/>
    <mergeCell ref="L23:N23"/>
    <mergeCell ref="L22:P22"/>
    <mergeCell ref="G22:K22"/>
    <mergeCell ref="L21:N21"/>
    <mergeCell ref="U23:W23"/>
    <mergeCell ref="S21:T21"/>
    <mergeCell ref="Q21:R21"/>
    <mergeCell ref="S23:T23"/>
    <mergeCell ref="L20:P20"/>
    <mergeCell ref="U21:V21"/>
    <mergeCell ref="U22:X22"/>
    <mergeCell ref="I23:K23"/>
    <mergeCell ref="G21:H21"/>
    <mergeCell ref="O21:P21"/>
    <mergeCell ref="W21:X21"/>
    <mergeCell ref="Q23:R23"/>
    <mergeCell ref="G23:H23"/>
    <mergeCell ref="A2:X2"/>
    <mergeCell ref="A3:X3"/>
    <mergeCell ref="B4:X4"/>
    <mergeCell ref="A4:A24"/>
    <mergeCell ref="G16:I16"/>
    <mergeCell ref="U17:X17"/>
    <mergeCell ref="Q17:T17"/>
    <mergeCell ref="P8:X8"/>
    <mergeCell ref="F8:G8"/>
    <mergeCell ref="B15:B24"/>
    <mergeCell ref="P11:X11"/>
    <mergeCell ref="N8:O8"/>
    <mergeCell ref="H8:M8"/>
    <mergeCell ref="F12:I12"/>
    <mergeCell ref="F9:I9"/>
    <mergeCell ref="B5:X5"/>
    <mergeCell ref="J12:X12"/>
    <mergeCell ref="F10:I10"/>
    <mergeCell ref="G15:K15"/>
    <mergeCell ref="E15:F18"/>
    <mergeCell ref="G20:K20"/>
    <mergeCell ref="U16:W16"/>
    <mergeCell ref="C6:E6"/>
    <mergeCell ref="F6:X6"/>
    <mergeCell ref="N10:O10"/>
    <mergeCell ref="N11:O11"/>
    <mergeCell ref="L19:P19"/>
    <mergeCell ref="U19:X19"/>
    <mergeCell ref="C7:E7"/>
    <mergeCell ref="F7:X7"/>
    <mergeCell ref="C8:E8"/>
    <mergeCell ref="J9:X9"/>
    <mergeCell ref="G18:I18"/>
    <mergeCell ref="J18:K18"/>
    <mergeCell ref="L18:O18"/>
    <mergeCell ref="F11:I11"/>
    <mergeCell ref="L15:P15"/>
    <mergeCell ref="Q18:S18"/>
    <mergeCell ref="L17:P17"/>
    <mergeCell ref="G17:K17"/>
    <mergeCell ref="G19:K19"/>
    <mergeCell ref="C15:D18"/>
    <mergeCell ref="C19:D23"/>
    <mergeCell ref="E20:F23"/>
    <mergeCell ref="P10:X10"/>
    <mergeCell ref="B13:X13"/>
    <mergeCell ref="B6:B12"/>
    <mergeCell ref="C9:E12"/>
  </mergeCells>
  <phoneticPr fontId="3"/>
  <conditionalFormatting sqref="L10:L11 N10:O11 J10:J11">
    <cfRule type="containsText" dxfId="36" priority="22" operator="containsText" text=" ">
      <formula>NOT(ISERROR(SEARCH(" ",J10)))</formula>
    </cfRule>
  </conditionalFormatting>
  <conditionalFormatting sqref="F7:X7">
    <cfRule type="expression" dxfId="35" priority="21">
      <formula>$AA$7="NG"</formula>
    </cfRule>
  </conditionalFormatting>
  <dataValidations count="12">
    <dataValidation allowBlank="1" showInputMessage="1" showErrorMessage="1" prompt="半角数字で入力してください。" sqref="AR10:AS11 AL8:AQ8 AN10:AN11 AP10:AP11"/>
    <dataValidation allowBlank="1" showInputMessage="1" showErrorMessage="1" prompt="半角で入力してください。" sqref="AN12:BB12"/>
    <dataValidation allowBlank="1" showInputMessage="1" showErrorMessage="1" prompt="計画書に記載した数値を半角で転記してください。" sqref="AU23:AV23 AK21:AL21 AU18:AW18 AK16:AM16"/>
    <dataValidation allowBlank="1" showInputMessage="1" showErrorMessage="1" prompt="有効数字3桁の数値を半角で入力してください。" sqref="AU16:AW16 AK18:AM18 AP18:AS18 AP16:AS16 AY16:BA16"/>
    <dataValidation allowBlank="1" showInputMessage="1" showErrorMessage="1" prompt="「原単位の指標の種類」に記入した指標の単位を入力してください。" sqref="AV19:AX19"/>
    <dataValidation allowBlank="1" showInputMessage="1" showErrorMessage="1" prompt="「〇〇会社△△工場」の場合は、「△△工場」としてください。" sqref="AJ6:BB6"/>
    <dataValidation allowBlank="1" showInputMessage="1" showErrorMessage="1" prompt="原則として有効数字3桁半角で入力してください。" sqref="AP21:AR21 AK23:AL23 AP23:AR23 AY21:AZ21 AU21:AV21"/>
    <dataValidation imeMode="halfAlpha" allowBlank="1" showInputMessage="1" showErrorMessage="1" sqref="H8:M8 U21:V21 U16:W16 Q16:S16 Q18:S18 L18:O18 L16:O16 G16:I16 G18:I18 G23:H23 G21:H21 L23:N23 L21:N21 Q23:R23 Q21:R21 M9:M11 P9:X11 K9:K11 J9 N9:O9 L9"/>
    <dataValidation type="custom" imeMode="off" allowBlank="1" showInputMessage="1" showErrorMessage="1" prompt="半角数字で入力" sqref="J10:J11">
      <formula1>NOT(COUNTIF(J10,"* *"))</formula1>
    </dataValidation>
    <dataValidation imeMode="halfAlpha" allowBlank="1" showInputMessage="1" showErrorMessage="1" prompt="半角英数字で入力" sqref="J12:X12"/>
    <dataValidation type="custom" imeMode="halfAlpha" allowBlank="1" showInputMessage="1" showErrorMessage="1" prompt="半角数字で入力" sqref="N10:O11 L10:L11">
      <formula1>NOT(COUNTIF(L10,"* *"))</formula1>
    </dataValidation>
    <dataValidation allowBlank="1" showInputMessage="1" showErrorMessage="1" prompt="指定工場等の住所を都道府県名に続けて入力してください。" sqref="F7:X7"/>
  </dataValidations>
  <printOptions horizontalCentered="1"/>
  <pageMargins left="0.70866141732283472" right="0.70866141732283472" top="0.74803149606299213" bottom="0.74803149606299213" header="0.31496062992125984" footer="0.31496062992125984"/>
  <pageSetup paperSize="9" scale="8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24</xdr:col>
                    <xdr:colOff>198120</xdr:colOff>
                    <xdr:row>6</xdr:row>
                    <xdr:rowOff>144780</xdr:rowOff>
                  </from>
                  <to>
                    <xdr:col>24</xdr:col>
                    <xdr:colOff>647700</xdr:colOff>
                    <xdr:row>7</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24</xdr:col>
                    <xdr:colOff>220980</xdr:colOff>
                    <xdr:row>8</xdr:row>
                    <xdr:rowOff>114300</xdr:rowOff>
                  </from>
                  <to>
                    <xdr:col>24</xdr:col>
                    <xdr:colOff>541020</xdr:colOff>
                    <xdr:row>9</xdr:row>
                    <xdr:rowOff>190500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25</xdr:col>
                    <xdr:colOff>137160</xdr:colOff>
                    <xdr:row>23</xdr:row>
                    <xdr:rowOff>1127760</xdr:rowOff>
                  </from>
                  <to>
                    <xdr:col>25</xdr:col>
                    <xdr:colOff>510540</xdr:colOff>
                    <xdr:row>23</xdr:row>
                    <xdr:rowOff>1440180</xdr:rowOff>
                  </to>
                </anchor>
              </controlPr>
            </control>
          </mc:Choice>
        </mc:AlternateContent>
        <mc:AlternateContent xmlns:mc="http://schemas.openxmlformats.org/markup-compatibility/2006">
          <mc:Choice Requires="x14">
            <control shapeId="7176" r:id="rId7" name="Check Box 8">
              <controlPr defaultSize="0" autoFill="0" autoLine="0" autoPict="0">
                <anchor moveWithCells="1">
                  <from>
                    <xdr:col>25</xdr:col>
                    <xdr:colOff>137160</xdr:colOff>
                    <xdr:row>17</xdr:row>
                    <xdr:rowOff>175260</xdr:rowOff>
                  </from>
                  <to>
                    <xdr:col>25</xdr:col>
                    <xdr:colOff>518160</xdr:colOff>
                    <xdr:row>18</xdr:row>
                    <xdr:rowOff>167640</xdr:rowOff>
                  </to>
                </anchor>
              </controlPr>
            </control>
          </mc:Choice>
        </mc:AlternateContent>
        <mc:AlternateContent xmlns:mc="http://schemas.openxmlformats.org/markup-compatibility/2006">
          <mc:Choice Requires="x14">
            <control shapeId="7177" r:id="rId8" name="Check Box 9">
              <controlPr defaultSize="0" autoFill="0" autoLine="0" autoPict="0">
                <anchor moveWithCells="1">
                  <from>
                    <xdr:col>25</xdr:col>
                    <xdr:colOff>121920</xdr:colOff>
                    <xdr:row>21</xdr:row>
                    <xdr:rowOff>228600</xdr:rowOff>
                  </from>
                  <to>
                    <xdr:col>25</xdr:col>
                    <xdr:colOff>441960</xdr:colOff>
                    <xdr:row>22</xdr:row>
                    <xdr:rowOff>182880</xdr:rowOff>
                  </to>
                </anchor>
              </controlPr>
            </control>
          </mc:Choice>
        </mc:AlternateContent>
        <mc:AlternateContent xmlns:mc="http://schemas.openxmlformats.org/markup-compatibility/2006">
          <mc:Choice Requires="x14">
            <control shapeId="7178" r:id="rId9" name="Check Box 10">
              <controlPr defaultSize="0" autoFill="0" autoLine="0" autoPict="0">
                <anchor moveWithCells="1">
                  <from>
                    <xdr:col>25</xdr:col>
                    <xdr:colOff>129540</xdr:colOff>
                    <xdr:row>11</xdr:row>
                    <xdr:rowOff>167640</xdr:rowOff>
                  </from>
                  <to>
                    <xdr:col>25</xdr:col>
                    <xdr:colOff>449580</xdr:colOff>
                    <xdr:row>13</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A76A43A-0CDD-4276-A860-D2E75A43AC0D}">
            <xm:f>結果2面!$D$3=結果2面!$G$3</xm:f>
            <x14:dxf>
              <fill>
                <patternFill>
                  <bgColor theme="0" tint="-4.9989318521683403E-2"/>
                </patternFill>
              </fill>
            </x14:dxf>
          </x14:cfRule>
          <x14:cfRule type="expression" priority="20" id="{86719A03-6C5F-48CA-BC9C-46A124D85372}">
            <xm:f>結果2面!$D$3&lt;結果2面!$G$3</xm:f>
            <x14:dxf>
              <fill>
                <patternFill>
                  <bgColor theme="9" tint="0.79998168889431442"/>
                </patternFill>
              </fill>
            </x14:dxf>
          </x14:cfRule>
          <xm:sqref>L16:O16</xm:sqref>
        </x14:conditionalFormatting>
        <x14:conditionalFormatting xmlns:xm="http://schemas.microsoft.com/office/excel/2006/main">
          <x14:cfRule type="expression" priority="8" id="{CE963E2F-3F1F-4D05-907A-815457E7BB50}">
            <xm:f>結果2面!$D$3=結果2面!$G$3-1</xm:f>
            <x14:dxf>
              <fill>
                <patternFill>
                  <bgColor theme="0" tint="-4.9989318521683403E-2"/>
                </patternFill>
              </fill>
            </x14:dxf>
          </x14:cfRule>
          <x14:cfRule type="expression" priority="18" id="{9787A630-C0D7-4A85-83C3-A4BA5E5EEEA5}">
            <xm:f>結果2面!$D$3&lt;結果2面!$G$3-1</xm:f>
            <x14:dxf>
              <fill>
                <patternFill>
                  <bgColor theme="9" tint="0.79998168889431442"/>
                </patternFill>
              </fill>
            </x14:dxf>
          </x14:cfRule>
          <xm:sqref>Q16:S16</xm:sqref>
        </x14:conditionalFormatting>
        <x14:conditionalFormatting xmlns:xm="http://schemas.microsoft.com/office/excel/2006/main">
          <x14:cfRule type="expression" priority="7" id="{42B50359-5A81-42B9-A765-FEDCAD290F0E}">
            <xm:f>結果2面!$D$3=結果2面!$G$3-2</xm:f>
            <x14:dxf>
              <fill>
                <patternFill>
                  <bgColor theme="0" tint="-4.9989318521683403E-2"/>
                </patternFill>
              </fill>
            </x14:dxf>
          </x14:cfRule>
          <x14:cfRule type="expression" priority="17" id="{E7B4ECAF-CDA1-4F2B-869C-6DDE46EC7CF7}">
            <xm:f>結果2面!$D$3&lt;結果2面!$G$3-2</xm:f>
            <x14:dxf>
              <fill>
                <patternFill>
                  <bgColor theme="9" tint="0.79998168889431442"/>
                </patternFill>
              </fill>
            </x14:dxf>
          </x14:cfRule>
          <xm:sqref>U16:W16</xm:sqref>
        </x14:conditionalFormatting>
        <x14:conditionalFormatting xmlns:xm="http://schemas.microsoft.com/office/excel/2006/main">
          <x14:cfRule type="expression" priority="6" id="{BD6C22EC-4745-446A-A741-4A1306AAA792}">
            <xm:f>結果2面!$D$3=結果2面!$G$3-3</xm:f>
            <x14:dxf>
              <fill>
                <patternFill>
                  <bgColor theme="0" tint="-4.9989318521683403E-2"/>
                </patternFill>
              </fill>
            </x14:dxf>
          </x14:cfRule>
          <x14:cfRule type="expression" priority="16" id="{1FE56DE3-8FBA-4D8A-8448-9E27EED403C2}">
            <xm:f>結果2面!$D$3&lt;結果2面!$G$3-3</xm:f>
            <x14:dxf>
              <fill>
                <patternFill>
                  <bgColor theme="9" tint="0.79998168889431442"/>
                </patternFill>
              </fill>
            </x14:dxf>
          </x14:cfRule>
          <xm:sqref>G18:I18</xm:sqref>
        </x14:conditionalFormatting>
        <x14:conditionalFormatting xmlns:xm="http://schemas.microsoft.com/office/excel/2006/main">
          <x14:cfRule type="expression" priority="15" id="{7817AC43-3737-46CF-950A-6DF4ACB2D8BA}">
            <xm:f>結果2面!$D$3=結果2面!$G$3-4</xm:f>
            <x14:dxf>
              <fill>
                <patternFill>
                  <bgColor theme="0" tint="-4.9989318521683403E-2"/>
                </patternFill>
              </fill>
            </x14:dxf>
          </x14:cfRule>
          <xm:sqref>L18:O18</xm:sqref>
        </x14:conditionalFormatting>
        <x14:conditionalFormatting xmlns:xm="http://schemas.microsoft.com/office/excel/2006/main">
          <x14:cfRule type="expression" priority="5" id="{A565E0E8-AF71-40CC-A157-03B8B7480C58}">
            <xm:f>結果2面!$D$3=結果2面!$G$3</xm:f>
            <x14:dxf>
              <fill>
                <patternFill>
                  <bgColor theme="0" tint="-4.9989318521683403E-2"/>
                </patternFill>
              </fill>
            </x14:dxf>
          </x14:cfRule>
          <x14:cfRule type="expression" priority="14" id="{C10C5A28-A1BB-4E2B-A97A-AE239887913B}">
            <xm:f>結果2面!$D$3&lt;結果2面!$G$3</xm:f>
            <x14:dxf>
              <fill>
                <patternFill>
                  <bgColor theme="9" tint="0.79998168889431442"/>
                </patternFill>
              </fill>
            </x14:dxf>
          </x14:cfRule>
          <xm:sqref>L21:N21</xm:sqref>
        </x14:conditionalFormatting>
        <x14:conditionalFormatting xmlns:xm="http://schemas.microsoft.com/office/excel/2006/main">
          <x14:cfRule type="expression" priority="4" id="{B871CA80-0F7B-4C9E-846D-E73CF5ABD4B4}">
            <xm:f>結果2面!$D$3=結果2面!$G$3-1</xm:f>
            <x14:dxf>
              <fill>
                <patternFill>
                  <bgColor theme="0" tint="-4.9989318521683403E-2"/>
                </patternFill>
              </fill>
            </x14:dxf>
          </x14:cfRule>
          <x14:cfRule type="expression" priority="13" id="{7CC20823-1F51-4345-B2A5-0BE4D7E71AB1}">
            <xm:f>結果2面!$D$3&lt;結果2面!$G$3-1</xm:f>
            <x14:dxf>
              <fill>
                <patternFill>
                  <bgColor theme="9" tint="0.79998168889431442"/>
                </patternFill>
              </fill>
            </x14:dxf>
          </x14:cfRule>
          <xm:sqref>Q21:R21</xm:sqref>
        </x14:conditionalFormatting>
        <x14:conditionalFormatting xmlns:xm="http://schemas.microsoft.com/office/excel/2006/main">
          <x14:cfRule type="expression" priority="2" id="{5616187E-8518-4A55-99C3-254990080E79}">
            <xm:f>結果2面!$D$3=結果2面!$G$3-2</xm:f>
            <x14:dxf>
              <fill>
                <patternFill>
                  <bgColor theme="0" tint="-4.9989318521683403E-2"/>
                </patternFill>
              </fill>
            </x14:dxf>
          </x14:cfRule>
          <x14:cfRule type="expression" priority="12" id="{CCEBD667-4328-45C5-AC45-2ADC4A837C46}">
            <xm:f>結果2面!$D$3&lt;結果2面!$G$3-2</xm:f>
            <x14:dxf>
              <fill>
                <patternFill>
                  <bgColor theme="9" tint="0.79998168889431442"/>
                </patternFill>
              </fill>
            </x14:dxf>
          </x14:cfRule>
          <xm:sqref>U21:V21</xm:sqref>
        </x14:conditionalFormatting>
        <x14:conditionalFormatting xmlns:xm="http://schemas.microsoft.com/office/excel/2006/main">
          <x14:cfRule type="expression" priority="1" id="{70F0B71C-8DB1-4606-A35B-D4C806364ABF}">
            <xm:f>結果2面!$D$3=結果2面!$G$3-3</xm:f>
            <x14:dxf>
              <fill>
                <patternFill>
                  <bgColor theme="0" tint="-4.9989318521683403E-2"/>
                </patternFill>
              </fill>
            </x14:dxf>
          </x14:cfRule>
          <x14:cfRule type="expression" priority="11" id="{ADC0E66E-DDD2-4D0F-9F31-9763212B5ACF}">
            <xm:f>結果2面!$D$3&lt;結果2面!$G$3-3</xm:f>
            <x14:dxf>
              <fill>
                <patternFill>
                  <bgColor theme="9" tint="0.79998168889431442"/>
                </patternFill>
              </fill>
            </x14:dxf>
          </x14:cfRule>
          <xm:sqref>G23:H23</xm:sqref>
        </x14:conditionalFormatting>
        <x14:conditionalFormatting xmlns:xm="http://schemas.microsoft.com/office/excel/2006/main">
          <x14:cfRule type="expression" priority="10" id="{74F48CE2-4F4B-431C-B612-358B44B10A76}">
            <xm:f>結果2面!$D$3=結果2面!$G$3-4</xm:f>
            <x14:dxf>
              <fill>
                <patternFill>
                  <bgColor theme="0" tint="-4.9989318521683403E-2"/>
                </patternFill>
              </fill>
            </x14:dxf>
          </x14:cfRule>
          <xm:sqref>L23:N23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OFFSET('非表示_リスト(計画・実績報告)'!$G$159,,,,COUNTIF('非表示_リスト(計画・実績報告)'!$G$159:$P$159,"&gt;*"))</xm:f>
          </x14:formula1>
          <xm:sqref>F6:X6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pageSetUpPr fitToPage="1"/>
  </sheetPr>
  <dimension ref="A1:BZ103"/>
  <sheetViews>
    <sheetView showGridLines="0" view="pageBreakPreview" zoomScaleNormal="85" zoomScaleSheetLayoutView="100" workbookViewId="0">
      <selection activeCell="D5" sqref="D5:E6"/>
    </sheetView>
  </sheetViews>
  <sheetFormatPr defaultColWidth="9" defaultRowHeight="10.8" outlineLevelCol="1"/>
  <cols>
    <col min="1" max="2" width="1.109375" style="23" customWidth="1"/>
    <col min="3" max="5" width="2.6640625" style="15" customWidth="1"/>
    <col min="6" max="8" width="5" style="15" customWidth="1"/>
    <col min="9" max="14" width="6.88671875" style="15" customWidth="1"/>
    <col min="15" max="15" width="3.33203125" style="15" customWidth="1"/>
    <col min="16" max="16" width="3.33203125" style="96" customWidth="1"/>
    <col min="17" max="18" width="3.77734375" style="96" customWidth="1"/>
    <col min="19" max="19" width="3.77734375" style="86" customWidth="1"/>
    <col min="20" max="20" width="3.77734375" style="12" customWidth="1"/>
    <col min="21" max="21" width="33.88671875" style="12" customWidth="1"/>
    <col min="22" max="22" width="9" style="12" hidden="1" customWidth="1" outlineLevel="1"/>
    <col min="23" max="23" width="9" style="120" hidden="1" customWidth="1" outlineLevel="1"/>
    <col min="24" max="24" width="3.109375" style="14" customWidth="1" collapsed="1"/>
    <col min="25" max="25" width="3.109375" style="14" customWidth="1"/>
    <col min="26" max="27" width="1.109375" style="23" customWidth="1"/>
    <col min="28" max="28" width="1.109375" style="15" customWidth="1"/>
    <col min="29" max="31" width="2.6640625" style="15" customWidth="1"/>
    <col min="32" max="34" width="5" style="15" customWidth="1"/>
    <col min="35" max="40" width="6.88671875" style="15" customWidth="1"/>
    <col min="41" max="42" width="3.33203125" style="96" customWidth="1"/>
    <col min="43" max="43" width="3.77734375" style="96" customWidth="1"/>
    <col min="44" max="44" width="3.77734375" style="86" customWidth="1"/>
    <col min="45" max="46" width="3.77734375" style="12" customWidth="1"/>
    <col min="47" max="16384" width="9" style="12"/>
  </cols>
  <sheetData>
    <row r="1" spans="1:78" s="15" customFormat="1" ht="22.5" customHeight="1">
      <c r="A1" s="15" t="s">
        <v>67</v>
      </c>
      <c r="N1" s="75">
        <f>結果1面!$M$11</f>
        <v>0</v>
      </c>
      <c r="T1" s="119" t="str">
        <f ca="1">RIGHT(CELL("filename",A3),LEN(CELL("filename",A3))-FIND("]",CELL("filename",A3)))</f>
        <v>結果8面個別票</v>
      </c>
      <c r="V1" s="116" t="s">
        <v>3614</v>
      </c>
      <c r="W1" s="114" t="s">
        <v>3608</v>
      </c>
      <c r="X1" s="46"/>
      <c r="Y1" s="46"/>
      <c r="Z1" s="1264" t="s">
        <v>67</v>
      </c>
      <c r="AA1" s="1264"/>
      <c r="AB1" s="1264"/>
      <c r="AC1" s="1264"/>
      <c r="AD1" s="1264"/>
      <c r="AE1" s="1264"/>
      <c r="AF1" s="1264"/>
      <c r="AG1" s="1264"/>
      <c r="AH1" s="1264"/>
      <c r="AI1" s="1264"/>
      <c r="AJ1" s="1264"/>
      <c r="AK1" s="1264"/>
      <c r="AL1" s="1264"/>
      <c r="AM1" s="1264"/>
      <c r="AN1" s="1264"/>
      <c r="AO1" s="1264"/>
      <c r="AP1" s="1264"/>
      <c r="AQ1" s="1264"/>
      <c r="AR1" s="1264"/>
      <c r="AS1" s="1264"/>
    </row>
    <row r="2" spans="1:78" s="92" customFormat="1" ht="18" customHeight="1" thickBot="1">
      <c r="A2" s="1600"/>
      <c r="B2" s="1695" t="s">
        <v>3603</v>
      </c>
      <c r="C2" s="1695"/>
      <c r="D2" s="1695"/>
      <c r="E2" s="1695"/>
      <c r="F2" s="1695"/>
      <c r="G2" s="1695"/>
      <c r="H2" s="1695"/>
      <c r="I2" s="1695"/>
      <c r="J2" s="1695"/>
      <c r="K2" s="1695"/>
      <c r="L2" s="1695"/>
      <c r="M2" s="1695"/>
      <c r="N2" s="1695"/>
      <c r="O2" s="1695"/>
      <c r="P2" s="1695"/>
      <c r="Q2" s="1695"/>
      <c r="R2" s="1695"/>
      <c r="S2" s="1695"/>
      <c r="T2" s="1695"/>
      <c r="U2" s="113" t="str">
        <f>結果1面!$Z$1</f>
        <v>2025ver5</v>
      </c>
      <c r="W2" s="88"/>
      <c r="X2" s="14"/>
      <c r="Y2" s="14"/>
      <c r="Z2" s="1600"/>
      <c r="AA2" s="1695" t="s">
        <v>3603</v>
      </c>
      <c r="AB2" s="1695"/>
      <c r="AC2" s="1695"/>
      <c r="AD2" s="1695"/>
      <c r="AE2" s="1695"/>
      <c r="AF2" s="1695"/>
      <c r="AG2" s="1695"/>
      <c r="AH2" s="1695"/>
      <c r="AI2" s="1695"/>
      <c r="AJ2" s="1695"/>
      <c r="AK2" s="1695"/>
      <c r="AL2" s="1695"/>
      <c r="AM2" s="1695"/>
      <c r="AN2" s="1695"/>
      <c r="AO2" s="1695"/>
      <c r="AP2" s="1695"/>
      <c r="AQ2" s="1695"/>
      <c r="AR2" s="1695"/>
      <c r="AS2" s="1695"/>
    </row>
    <row r="3" spans="1:78" ht="15.9" customHeight="1">
      <c r="A3" s="1600"/>
      <c r="B3" s="1759"/>
      <c r="C3" s="1802"/>
      <c r="D3" s="1657" t="s">
        <v>54</v>
      </c>
      <c r="E3" s="1657"/>
      <c r="F3" s="1657"/>
      <c r="G3" s="1657"/>
      <c r="H3" s="1657"/>
      <c r="I3" s="1214" t="s">
        <v>20</v>
      </c>
      <c r="J3" s="1215"/>
      <c r="K3" s="1215"/>
      <c r="L3" s="1215"/>
      <c r="M3" s="1215"/>
      <c r="N3" s="1216"/>
      <c r="O3" s="1214" t="s">
        <v>12</v>
      </c>
      <c r="P3" s="1216"/>
      <c r="Q3" s="1806" t="s">
        <v>13</v>
      </c>
      <c r="R3" s="1807"/>
      <c r="S3" s="1807"/>
      <c r="T3" s="1808"/>
      <c r="X3" s="117"/>
      <c r="Y3" s="31"/>
      <c r="Z3" s="1600"/>
      <c r="AA3" s="1759"/>
      <c r="AB3" s="1802"/>
      <c r="AC3" s="1657" t="s">
        <v>54</v>
      </c>
      <c r="AD3" s="1657"/>
      <c r="AE3" s="1657"/>
      <c r="AF3" s="1657"/>
      <c r="AG3" s="1657"/>
      <c r="AH3" s="1214" t="s">
        <v>20</v>
      </c>
      <c r="AI3" s="1215"/>
      <c r="AJ3" s="1215"/>
      <c r="AK3" s="1215"/>
      <c r="AL3" s="1215"/>
      <c r="AM3" s="1216"/>
      <c r="AN3" s="1214" t="s">
        <v>12</v>
      </c>
      <c r="AO3" s="1216"/>
      <c r="AP3" s="1806" t="s">
        <v>13</v>
      </c>
      <c r="AQ3" s="1807"/>
      <c r="AR3" s="1807"/>
      <c r="AS3" s="1808"/>
      <c r="BZ3" s="121"/>
    </row>
    <row r="4" spans="1:78" ht="15.9" customHeight="1">
      <c r="A4" s="1600"/>
      <c r="B4" s="1759"/>
      <c r="C4" s="1803"/>
      <c r="D4" s="1804" t="s">
        <v>55</v>
      </c>
      <c r="E4" s="1805"/>
      <c r="F4" s="1800" t="s">
        <v>56</v>
      </c>
      <c r="G4" s="1800"/>
      <c r="H4" s="1800"/>
      <c r="I4" s="1220"/>
      <c r="J4" s="1221"/>
      <c r="K4" s="1221"/>
      <c r="L4" s="1221"/>
      <c r="M4" s="1221"/>
      <c r="N4" s="1222"/>
      <c r="O4" s="1220"/>
      <c r="P4" s="1222"/>
      <c r="Q4" s="1809"/>
      <c r="R4" s="1810"/>
      <c r="S4" s="1810"/>
      <c r="T4" s="1811"/>
      <c r="X4" s="19"/>
      <c r="Y4" s="19"/>
      <c r="Z4" s="1600"/>
      <c r="AA4" s="1759"/>
      <c r="AB4" s="1803"/>
      <c r="AC4" s="1804" t="s">
        <v>55</v>
      </c>
      <c r="AD4" s="1805"/>
      <c r="AE4" s="1800" t="s">
        <v>56</v>
      </c>
      <c r="AF4" s="1800"/>
      <c r="AG4" s="1800"/>
      <c r="AH4" s="1220"/>
      <c r="AI4" s="1221"/>
      <c r="AJ4" s="1221"/>
      <c r="AK4" s="1221"/>
      <c r="AL4" s="1221"/>
      <c r="AM4" s="1222"/>
      <c r="AN4" s="1220"/>
      <c r="AO4" s="1222"/>
      <c r="AP4" s="1809"/>
      <c r="AQ4" s="1810"/>
      <c r="AR4" s="1810"/>
      <c r="AS4" s="1811"/>
      <c r="BZ4" s="120"/>
    </row>
    <row r="5" spans="1:78" ht="18" customHeight="1">
      <c r="A5" s="1600"/>
      <c r="B5" s="1759"/>
      <c r="C5" s="1757">
        <v>1</v>
      </c>
      <c r="D5" s="1753"/>
      <c r="E5" s="1754"/>
      <c r="F5" s="1771" t="str">
        <f>IF(D5="","",LOOKUP(D5,$D$49:$D$103,$F$49:$F$103))</f>
        <v/>
      </c>
      <c r="G5" s="1772"/>
      <c r="H5" s="1773"/>
      <c r="I5" s="1765"/>
      <c r="J5" s="1766"/>
      <c r="K5" s="1766"/>
      <c r="L5" s="1766"/>
      <c r="M5" s="1766"/>
      <c r="N5" s="1767"/>
      <c r="O5" s="1780" t="s">
        <v>14</v>
      </c>
      <c r="P5" s="1782"/>
      <c r="Q5" s="1783"/>
      <c r="R5" s="1784"/>
      <c r="S5" s="1784"/>
      <c r="T5" s="1785"/>
      <c r="V5" s="12" t="str">
        <f>IF(AND($D5&lt;&gt;"",$O5="□実施",$O6="□未実施"),"NG","OK")</f>
        <v>OK</v>
      </c>
      <c r="W5" s="104" t="s">
        <v>3622</v>
      </c>
      <c r="X5" s="31"/>
      <c r="Y5" s="31"/>
      <c r="Z5" s="1600"/>
      <c r="AA5" s="1759"/>
      <c r="AB5" s="1757">
        <v>1</v>
      </c>
      <c r="AC5" s="1812">
        <v>3201</v>
      </c>
      <c r="AD5" s="1813"/>
      <c r="AE5" s="1771" t="str">
        <f>IF(AC5="","",LOOKUP(AC5,$D$49:$D$103,$F$49:$F$103))</f>
        <v>燃料の燃焼管理対策</v>
      </c>
      <c r="AF5" s="1772"/>
      <c r="AG5" s="1773"/>
      <c r="AH5" s="1816" t="s">
        <v>4570</v>
      </c>
      <c r="AI5" s="1817"/>
      <c r="AJ5" s="1817"/>
      <c r="AK5" s="1817"/>
      <c r="AL5" s="1817"/>
      <c r="AM5" s="1818"/>
      <c r="AN5" s="1822" t="s">
        <v>158</v>
      </c>
      <c r="AO5" s="1823"/>
      <c r="AP5" s="1824"/>
      <c r="AQ5" s="1825"/>
      <c r="AR5" s="1825"/>
      <c r="AS5" s="1826"/>
      <c r="BZ5" s="121"/>
    </row>
    <row r="6" spans="1:78" ht="18" customHeight="1">
      <c r="A6" s="1600"/>
      <c r="B6" s="1759"/>
      <c r="C6" s="1758"/>
      <c r="D6" s="1755"/>
      <c r="E6" s="1756"/>
      <c r="F6" s="1774"/>
      <c r="G6" s="1775"/>
      <c r="H6" s="1776"/>
      <c r="I6" s="1768"/>
      <c r="J6" s="1769"/>
      <c r="K6" s="1769"/>
      <c r="L6" s="1769"/>
      <c r="M6" s="1769"/>
      <c r="N6" s="1770"/>
      <c r="O6" s="1763" t="s">
        <v>15</v>
      </c>
      <c r="P6" s="1764"/>
      <c r="Q6" s="1786"/>
      <c r="R6" s="1787"/>
      <c r="S6" s="1787"/>
      <c r="T6" s="1788"/>
      <c r="V6" s="12" t="str">
        <f>IF(AND($O5="■実施",$O6="■未実施"),"NG","OK")</f>
        <v>OK</v>
      </c>
      <c r="W6" s="104" t="s">
        <v>3623</v>
      </c>
      <c r="Z6" s="1600"/>
      <c r="AA6" s="1759"/>
      <c r="AB6" s="1758"/>
      <c r="AC6" s="1814"/>
      <c r="AD6" s="1815"/>
      <c r="AE6" s="1774"/>
      <c r="AF6" s="1775"/>
      <c r="AG6" s="1776"/>
      <c r="AH6" s="1819"/>
      <c r="AI6" s="1820"/>
      <c r="AJ6" s="1820"/>
      <c r="AK6" s="1820"/>
      <c r="AL6" s="1820"/>
      <c r="AM6" s="1821"/>
      <c r="AN6" s="1830" t="s">
        <v>15</v>
      </c>
      <c r="AO6" s="1831"/>
      <c r="AP6" s="1827"/>
      <c r="AQ6" s="1828"/>
      <c r="AR6" s="1828"/>
      <c r="AS6" s="1829"/>
    </row>
    <row r="7" spans="1:78" ht="18" customHeight="1">
      <c r="A7" s="1600"/>
      <c r="B7" s="1759"/>
      <c r="C7" s="1757">
        <v>2</v>
      </c>
      <c r="D7" s="1753"/>
      <c r="E7" s="1754"/>
      <c r="F7" s="1771" t="str">
        <f>IF(D7="","",LOOKUP(D7,$D$49:$D$103,$F$49:$F$103))</f>
        <v/>
      </c>
      <c r="G7" s="1772"/>
      <c r="H7" s="1773"/>
      <c r="I7" s="1765"/>
      <c r="J7" s="1766"/>
      <c r="K7" s="1766"/>
      <c r="L7" s="1766"/>
      <c r="M7" s="1766"/>
      <c r="N7" s="1767"/>
      <c r="O7" s="1780" t="s">
        <v>14</v>
      </c>
      <c r="P7" s="1782"/>
      <c r="Q7" s="1783"/>
      <c r="R7" s="1784"/>
      <c r="S7" s="1784"/>
      <c r="T7" s="1785"/>
      <c r="V7" s="12" t="str">
        <f>IF(AND($D7&lt;&gt;"",$O7="□実施",$O8="□未実施"),"NG","OK")</f>
        <v>OK</v>
      </c>
      <c r="X7" s="16"/>
      <c r="Y7" s="16"/>
      <c r="Z7" s="1600"/>
      <c r="AA7" s="1759"/>
      <c r="AB7" s="1757">
        <v>2</v>
      </c>
      <c r="AC7" s="1812">
        <v>3305</v>
      </c>
      <c r="AD7" s="1832"/>
      <c r="AE7" s="1771" t="str">
        <f>IF(AC7="","",LOOKUP(AC7,$D$49:$D$103,$F$49:$F$103))</f>
        <v>冷凍機対策</v>
      </c>
      <c r="AF7" s="1772"/>
      <c r="AG7" s="1773"/>
      <c r="AH7" s="1816" t="s">
        <v>4571</v>
      </c>
      <c r="AI7" s="1817"/>
      <c r="AJ7" s="1817"/>
      <c r="AK7" s="1817"/>
      <c r="AL7" s="1817"/>
      <c r="AM7" s="1818"/>
      <c r="AN7" s="1822" t="s">
        <v>158</v>
      </c>
      <c r="AO7" s="1823"/>
      <c r="AP7" s="1824"/>
      <c r="AQ7" s="1825"/>
      <c r="AR7" s="1825"/>
      <c r="AS7" s="1826"/>
    </row>
    <row r="8" spans="1:78" ht="18" customHeight="1">
      <c r="A8" s="1600"/>
      <c r="B8" s="1759"/>
      <c r="C8" s="1758"/>
      <c r="D8" s="1755"/>
      <c r="E8" s="1756"/>
      <c r="F8" s="1774"/>
      <c r="G8" s="1775"/>
      <c r="H8" s="1776"/>
      <c r="I8" s="1768"/>
      <c r="J8" s="1769"/>
      <c r="K8" s="1769"/>
      <c r="L8" s="1769"/>
      <c r="M8" s="1769"/>
      <c r="N8" s="1770"/>
      <c r="O8" s="1763" t="s">
        <v>15</v>
      </c>
      <c r="P8" s="1764"/>
      <c r="Q8" s="1786"/>
      <c r="R8" s="1787"/>
      <c r="S8" s="1787"/>
      <c r="T8" s="1788"/>
      <c r="V8" s="12" t="str">
        <f>IF(AND($O7="■実施",$O8="■未実施"),"NG","OK")</f>
        <v>OK</v>
      </c>
      <c r="X8" s="16"/>
      <c r="Y8" s="16"/>
      <c r="Z8" s="1600"/>
      <c r="AA8" s="1759"/>
      <c r="AB8" s="1758"/>
      <c r="AC8" s="1833"/>
      <c r="AD8" s="1834"/>
      <c r="AE8" s="1774"/>
      <c r="AF8" s="1775"/>
      <c r="AG8" s="1776"/>
      <c r="AH8" s="1819"/>
      <c r="AI8" s="1820"/>
      <c r="AJ8" s="1820"/>
      <c r="AK8" s="1820"/>
      <c r="AL8" s="1820"/>
      <c r="AM8" s="1821"/>
      <c r="AN8" s="1830" t="s">
        <v>15</v>
      </c>
      <c r="AO8" s="1831"/>
      <c r="AP8" s="1827"/>
      <c r="AQ8" s="1828"/>
      <c r="AR8" s="1828"/>
      <c r="AS8" s="1829"/>
    </row>
    <row r="9" spans="1:78" ht="18" customHeight="1">
      <c r="A9" s="1600"/>
      <c r="B9" s="1759"/>
      <c r="C9" s="1757">
        <v>3</v>
      </c>
      <c r="D9" s="1753"/>
      <c r="E9" s="1754"/>
      <c r="F9" s="1771" t="str">
        <f>IF(D9="","",LOOKUP(D9,$D$49:$D$103,$F$49:$F$103))</f>
        <v/>
      </c>
      <c r="G9" s="1772"/>
      <c r="H9" s="1773"/>
      <c r="I9" s="1765"/>
      <c r="J9" s="1766"/>
      <c r="K9" s="1766"/>
      <c r="L9" s="1766"/>
      <c r="M9" s="1766"/>
      <c r="N9" s="1767"/>
      <c r="O9" s="1780" t="s">
        <v>14</v>
      </c>
      <c r="P9" s="1782"/>
      <c r="Q9" s="1783"/>
      <c r="R9" s="1784"/>
      <c r="S9" s="1784"/>
      <c r="T9" s="1785"/>
      <c r="V9" s="12" t="str">
        <f>IF(AND($D9&lt;&gt;"",$O9="□実施",$O10="□未実施"),"NG","OK")</f>
        <v>OK</v>
      </c>
      <c r="X9" s="16"/>
      <c r="Y9" s="16"/>
      <c r="Z9" s="1600"/>
      <c r="AA9" s="1759"/>
      <c r="AB9" s="1757">
        <v>3</v>
      </c>
      <c r="AC9" s="1812">
        <v>3306</v>
      </c>
      <c r="AD9" s="1832"/>
      <c r="AE9" s="1771" t="str">
        <f>IF(AC9="","",LOOKUP(AC9,$D$49:$D$103,$F$49:$F$103))</f>
        <v>空気調和設備対策</v>
      </c>
      <c r="AF9" s="1772"/>
      <c r="AG9" s="1773"/>
      <c r="AH9" s="1816" t="s">
        <v>4572</v>
      </c>
      <c r="AI9" s="1817"/>
      <c r="AJ9" s="1817"/>
      <c r="AK9" s="1817"/>
      <c r="AL9" s="1817"/>
      <c r="AM9" s="1818"/>
      <c r="AN9" s="1822" t="s">
        <v>158</v>
      </c>
      <c r="AO9" s="1823"/>
      <c r="AP9" s="1824"/>
      <c r="AQ9" s="1825"/>
      <c r="AR9" s="1825"/>
      <c r="AS9" s="1826"/>
    </row>
    <row r="10" spans="1:78" ht="18" customHeight="1">
      <c r="A10" s="1600"/>
      <c r="B10" s="1759"/>
      <c r="C10" s="1758"/>
      <c r="D10" s="1755"/>
      <c r="E10" s="1756"/>
      <c r="F10" s="1774"/>
      <c r="G10" s="1775"/>
      <c r="H10" s="1776"/>
      <c r="I10" s="1768"/>
      <c r="J10" s="1769"/>
      <c r="K10" s="1769"/>
      <c r="L10" s="1769"/>
      <c r="M10" s="1769"/>
      <c r="N10" s="1770"/>
      <c r="O10" s="1763" t="s">
        <v>15</v>
      </c>
      <c r="P10" s="1764"/>
      <c r="Q10" s="1786"/>
      <c r="R10" s="1787"/>
      <c r="S10" s="1787"/>
      <c r="T10" s="1788"/>
      <c r="V10" s="12" t="str">
        <f>IF(AND($O9="■実施",$O10="■未実施"),"NG","OK")</f>
        <v>OK</v>
      </c>
      <c r="X10" s="16"/>
      <c r="Y10" s="16"/>
      <c r="Z10" s="1600"/>
      <c r="AA10" s="1759"/>
      <c r="AB10" s="1758"/>
      <c r="AC10" s="1833"/>
      <c r="AD10" s="1834"/>
      <c r="AE10" s="1774"/>
      <c r="AF10" s="1775"/>
      <c r="AG10" s="1776"/>
      <c r="AH10" s="1819"/>
      <c r="AI10" s="1820"/>
      <c r="AJ10" s="1820"/>
      <c r="AK10" s="1820"/>
      <c r="AL10" s="1820"/>
      <c r="AM10" s="1821"/>
      <c r="AN10" s="1830" t="s">
        <v>15</v>
      </c>
      <c r="AO10" s="1831"/>
      <c r="AP10" s="1827"/>
      <c r="AQ10" s="1828"/>
      <c r="AR10" s="1828"/>
      <c r="AS10" s="1829"/>
    </row>
    <row r="11" spans="1:78" ht="18" customHeight="1">
      <c r="A11" s="1600"/>
      <c r="B11" s="1759"/>
      <c r="C11" s="1757">
        <v>4</v>
      </c>
      <c r="D11" s="1753"/>
      <c r="E11" s="1754"/>
      <c r="F11" s="1771" t="str">
        <f>IF(D11="","",LOOKUP(D11,$D$49:$D$103,$F$49:$F$103))</f>
        <v/>
      </c>
      <c r="G11" s="1772"/>
      <c r="H11" s="1773"/>
      <c r="I11" s="1765"/>
      <c r="J11" s="1766"/>
      <c r="K11" s="1766"/>
      <c r="L11" s="1766"/>
      <c r="M11" s="1766"/>
      <c r="N11" s="1767"/>
      <c r="O11" s="1780" t="s">
        <v>14</v>
      </c>
      <c r="P11" s="1782"/>
      <c r="Q11" s="1783"/>
      <c r="R11" s="1784"/>
      <c r="S11" s="1784"/>
      <c r="T11" s="1785"/>
      <c r="V11" s="12" t="str">
        <f>IF(AND($D11&lt;&gt;"",$O11="□実施",$O12="□未実施"),"NG","OK")</f>
        <v>OK</v>
      </c>
      <c r="X11" s="16"/>
      <c r="Y11" s="16"/>
      <c r="Z11" s="1600"/>
      <c r="AA11" s="1759"/>
      <c r="AB11" s="1757">
        <v>4</v>
      </c>
      <c r="AC11" s="1812">
        <v>3805</v>
      </c>
      <c r="AD11" s="1832"/>
      <c r="AE11" s="1771" t="str">
        <f>IF(AC11="","",LOOKUP(AC11,$D$49:$D$103,$F$49:$F$103))</f>
        <v>コンプレッサー対策</v>
      </c>
      <c r="AF11" s="1772"/>
      <c r="AG11" s="1773"/>
      <c r="AH11" s="1816" t="s">
        <v>4573</v>
      </c>
      <c r="AI11" s="1817"/>
      <c r="AJ11" s="1817"/>
      <c r="AK11" s="1817"/>
      <c r="AL11" s="1817"/>
      <c r="AM11" s="1818"/>
      <c r="AN11" s="1822" t="s">
        <v>158</v>
      </c>
      <c r="AO11" s="1823"/>
      <c r="AP11" s="1824"/>
      <c r="AQ11" s="1825"/>
      <c r="AR11" s="1825"/>
      <c r="AS11" s="1826"/>
    </row>
    <row r="12" spans="1:78" ht="18" customHeight="1">
      <c r="A12" s="1600"/>
      <c r="B12" s="1759"/>
      <c r="C12" s="1758"/>
      <c r="D12" s="1755"/>
      <c r="E12" s="1756"/>
      <c r="F12" s="1774"/>
      <c r="G12" s="1775"/>
      <c r="H12" s="1776"/>
      <c r="I12" s="1768"/>
      <c r="J12" s="1769"/>
      <c r="K12" s="1769"/>
      <c r="L12" s="1769"/>
      <c r="M12" s="1769"/>
      <c r="N12" s="1770"/>
      <c r="O12" s="1763" t="s">
        <v>15</v>
      </c>
      <c r="P12" s="1764"/>
      <c r="Q12" s="1786"/>
      <c r="R12" s="1787"/>
      <c r="S12" s="1787"/>
      <c r="T12" s="1788"/>
      <c r="V12" s="12" t="str">
        <f>IF(AND($O11="■実施",$O12="■未実施"),"NG","OK")</f>
        <v>OK</v>
      </c>
      <c r="X12" s="16"/>
      <c r="Y12" s="16"/>
      <c r="Z12" s="1600"/>
      <c r="AA12" s="1759"/>
      <c r="AB12" s="1758"/>
      <c r="AC12" s="1833"/>
      <c r="AD12" s="1834"/>
      <c r="AE12" s="1774"/>
      <c r="AF12" s="1775"/>
      <c r="AG12" s="1776"/>
      <c r="AH12" s="1819"/>
      <c r="AI12" s="1820"/>
      <c r="AJ12" s="1820"/>
      <c r="AK12" s="1820"/>
      <c r="AL12" s="1820"/>
      <c r="AM12" s="1821"/>
      <c r="AN12" s="1830" t="s">
        <v>15</v>
      </c>
      <c r="AO12" s="1831"/>
      <c r="AP12" s="1827"/>
      <c r="AQ12" s="1828"/>
      <c r="AR12" s="1828"/>
      <c r="AS12" s="1829"/>
    </row>
    <row r="13" spans="1:78" ht="18" customHeight="1">
      <c r="A13" s="1600"/>
      <c r="B13" s="1759"/>
      <c r="C13" s="1757">
        <v>5</v>
      </c>
      <c r="D13" s="1753"/>
      <c r="E13" s="1754"/>
      <c r="F13" s="1771" t="str">
        <f>IF(D13="","",LOOKUP(D13,$D$49:$D$103,$F$49:$F$103))</f>
        <v/>
      </c>
      <c r="G13" s="1772"/>
      <c r="H13" s="1773"/>
      <c r="I13" s="1765"/>
      <c r="J13" s="1766"/>
      <c r="K13" s="1766"/>
      <c r="L13" s="1766"/>
      <c r="M13" s="1766"/>
      <c r="N13" s="1767"/>
      <c r="O13" s="1780" t="s">
        <v>14</v>
      </c>
      <c r="P13" s="1782"/>
      <c r="Q13" s="1783"/>
      <c r="R13" s="1784"/>
      <c r="S13" s="1784"/>
      <c r="T13" s="1785"/>
      <c r="V13" s="12" t="str">
        <f>IF(AND($D13&lt;&gt;"",$O13="□実施",$O14="□未実施"),"NG","OK")</f>
        <v>OK</v>
      </c>
      <c r="Z13" s="1600"/>
      <c r="AA13" s="1759"/>
      <c r="AB13" s="1757">
        <v>5</v>
      </c>
      <c r="AC13" s="1812">
        <v>3809</v>
      </c>
      <c r="AD13" s="1832"/>
      <c r="AE13" s="1771" t="str">
        <f>IF(AC13="","",LOOKUP(AC13,$D$49:$D$103,$F$49:$F$103))</f>
        <v>照明設備対策</v>
      </c>
      <c r="AF13" s="1772"/>
      <c r="AG13" s="1773"/>
      <c r="AH13" s="1816" t="s">
        <v>4574</v>
      </c>
      <c r="AI13" s="1817"/>
      <c r="AJ13" s="1817"/>
      <c r="AK13" s="1817"/>
      <c r="AL13" s="1817"/>
      <c r="AM13" s="1818"/>
      <c r="AN13" s="1822" t="s">
        <v>158</v>
      </c>
      <c r="AO13" s="1823"/>
      <c r="AP13" s="1824"/>
      <c r="AQ13" s="1825"/>
      <c r="AR13" s="1825"/>
      <c r="AS13" s="1826"/>
    </row>
    <row r="14" spans="1:78" ht="18" customHeight="1">
      <c r="A14" s="1600"/>
      <c r="B14" s="1759"/>
      <c r="C14" s="1758"/>
      <c r="D14" s="1755"/>
      <c r="E14" s="1756"/>
      <c r="F14" s="1774"/>
      <c r="G14" s="1775"/>
      <c r="H14" s="1776"/>
      <c r="I14" s="1768"/>
      <c r="J14" s="1769"/>
      <c r="K14" s="1769"/>
      <c r="L14" s="1769"/>
      <c r="M14" s="1769"/>
      <c r="N14" s="1770"/>
      <c r="O14" s="1763" t="s">
        <v>15</v>
      </c>
      <c r="P14" s="1764"/>
      <c r="Q14" s="1786"/>
      <c r="R14" s="1787"/>
      <c r="S14" s="1787"/>
      <c r="T14" s="1788"/>
      <c r="V14" s="12" t="str">
        <f>IF(AND($O13="■実施",$O14="■未実施"),"NG","OK")</f>
        <v>OK</v>
      </c>
      <c r="Z14" s="1600"/>
      <c r="AA14" s="1759"/>
      <c r="AB14" s="1758"/>
      <c r="AC14" s="1833"/>
      <c r="AD14" s="1834"/>
      <c r="AE14" s="1774"/>
      <c r="AF14" s="1775"/>
      <c r="AG14" s="1776"/>
      <c r="AH14" s="1819"/>
      <c r="AI14" s="1820"/>
      <c r="AJ14" s="1820"/>
      <c r="AK14" s="1820"/>
      <c r="AL14" s="1820"/>
      <c r="AM14" s="1821"/>
      <c r="AN14" s="1830" t="s">
        <v>15</v>
      </c>
      <c r="AO14" s="1831"/>
      <c r="AP14" s="1827"/>
      <c r="AQ14" s="1828"/>
      <c r="AR14" s="1828"/>
      <c r="AS14" s="1829"/>
    </row>
    <row r="15" spans="1:78" ht="18" customHeight="1">
      <c r="A15" s="1600"/>
      <c r="B15" s="1759"/>
      <c r="C15" s="1757">
        <v>6</v>
      </c>
      <c r="D15" s="1753"/>
      <c r="E15" s="1754"/>
      <c r="F15" s="1771" t="str">
        <f>IF(D15="","",LOOKUP(D15,$D$49:$D$103,$F$49:$F$103))</f>
        <v/>
      </c>
      <c r="G15" s="1772"/>
      <c r="H15" s="1773"/>
      <c r="I15" s="1765"/>
      <c r="J15" s="1766"/>
      <c r="K15" s="1766"/>
      <c r="L15" s="1766"/>
      <c r="M15" s="1766"/>
      <c r="N15" s="1767"/>
      <c r="O15" s="1780" t="s">
        <v>14</v>
      </c>
      <c r="P15" s="1782"/>
      <c r="Q15" s="1783"/>
      <c r="R15" s="1784"/>
      <c r="S15" s="1784"/>
      <c r="T15" s="1785"/>
      <c r="V15" s="12" t="str">
        <f>IF(AND($D15&lt;&gt;"",$O15="□実施",$O16="□未実施"),"NG","OK")</f>
        <v>OK</v>
      </c>
      <c r="Z15" s="1600"/>
      <c r="AA15" s="1759"/>
      <c r="AB15" s="1757">
        <v>6</v>
      </c>
      <c r="AC15" s="1812">
        <v>3901</v>
      </c>
      <c r="AD15" s="1832"/>
      <c r="AE15" s="1771" t="str">
        <f>IF(AC15="","",LOOKUP(AC15,$D$49:$D$103,$F$49:$F$103))</f>
        <v>建物対策</v>
      </c>
      <c r="AF15" s="1772"/>
      <c r="AG15" s="1773"/>
      <c r="AH15" s="1816" t="s">
        <v>3628</v>
      </c>
      <c r="AI15" s="1817"/>
      <c r="AJ15" s="1817"/>
      <c r="AK15" s="1817"/>
      <c r="AL15" s="1817"/>
      <c r="AM15" s="1818"/>
      <c r="AN15" s="1822" t="s">
        <v>14</v>
      </c>
      <c r="AO15" s="1823"/>
      <c r="AP15" s="1835" t="s">
        <v>242</v>
      </c>
      <c r="AQ15" s="1836"/>
      <c r="AR15" s="1836"/>
      <c r="AS15" s="1837"/>
    </row>
    <row r="16" spans="1:78" ht="18" customHeight="1">
      <c r="A16" s="1600"/>
      <c r="B16" s="1759"/>
      <c r="C16" s="1758"/>
      <c r="D16" s="1755"/>
      <c r="E16" s="1756"/>
      <c r="F16" s="1774"/>
      <c r="G16" s="1775"/>
      <c r="H16" s="1776"/>
      <c r="I16" s="1768"/>
      <c r="J16" s="1769"/>
      <c r="K16" s="1769"/>
      <c r="L16" s="1769"/>
      <c r="M16" s="1769"/>
      <c r="N16" s="1770"/>
      <c r="O16" s="1763" t="s">
        <v>15</v>
      </c>
      <c r="P16" s="1764"/>
      <c r="Q16" s="1786"/>
      <c r="R16" s="1787"/>
      <c r="S16" s="1787"/>
      <c r="T16" s="1788"/>
      <c r="V16" s="12" t="str">
        <f>IF(AND($O15="■実施",$O16="■未実施"),"NG","OK")</f>
        <v>OK</v>
      </c>
      <c r="X16" s="19"/>
      <c r="Y16" s="19"/>
      <c r="Z16" s="1600"/>
      <c r="AA16" s="1759"/>
      <c r="AB16" s="1758"/>
      <c r="AC16" s="1833"/>
      <c r="AD16" s="1834"/>
      <c r="AE16" s="1774"/>
      <c r="AF16" s="1775"/>
      <c r="AG16" s="1776"/>
      <c r="AH16" s="1819"/>
      <c r="AI16" s="1820"/>
      <c r="AJ16" s="1820"/>
      <c r="AK16" s="1820"/>
      <c r="AL16" s="1820"/>
      <c r="AM16" s="1821"/>
      <c r="AN16" s="1830" t="s">
        <v>159</v>
      </c>
      <c r="AO16" s="1831"/>
      <c r="AP16" s="1838"/>
      <c r="AQ16" s="1839"/>
      <c r="AR16" s="1839"/>
      <c r="AS16" s="1840"/>
    </row>
    <row r="17" spans="1:45" ht="18" customHeight="1">
      <c r="A17" s="1600"/>
      <c r="B17" s="1759"/>
      <c r="C17" s="1757">
        <v>7</v>
      </c>
      <c r="D17" s="1753"/>
      <c r="E17" s="1754"/>
      <c r="F17" s="1771" t="str">
        <f>IF(D17="","",LOOKUP(D17,$D$49:$D$103,$F$49:$F$103))</f>
        <v/>
      </c>
      <c r="G17" s="1772"/>
      <c r="H17" s="1773"/>
      <c r="I17" s="1765"/>
      <c r="J17" s="1766"/>
      <c r="K17" s="1766"/>
      <c r="L17" s="1766"/>
      <c r="M17" s="1766"/>
      <c r="N17" s="1767"/>
      <c r="O17" s="1780" t="s">
        <v>14</v>
      </c>
      <c r="P17" s="1782"/>
      <c r="Q17" s="1783"/>
      <c r="R17" s="1784"/>
      <c r="S17" s="1784"/>
      <c r="T17" s="1785"/>
      <c r="V17" s="12" t="str">
        <f>IF(AND($D17&lt;&gt;"",$O17="□実施",$O18="□未実施"),"NG","OK")</f>
        <v>OK</v>
      </c>
      <c r="X17" s="16"/>
      <c r="Y17" s="16"/>
      <c r="Z17" s="1600"/>
      <c r="AA17" s="1759"/>
      <c r="AB17" s="1757">
        <v>7</v>
      </c>
      <c r="AC17" s="1841">
        <v>3803</v>
      </c>
      <c r="AD17" s="1842"/>
      <c r="AE17" s="1771" t="str">
        <f>IF(AC17="","",LOOKUP(AC17,$D$49:$D$103,$F$49:$F$103))</f>
        <v>ポンプ対策</v>
      </c>
      <c r="AF17" s="1772"/>
      <c r="AG17" s="1773"/>
      <c r="AH17" s="1816" t="s">
        <v>4575</v>
      </c>
      <c r="AI17" s="1817"/>
      <c r="AJ17" s="1817"/>
      <c r="AK17" s="1817"/>
      <c r="AL17" s="1817"/>
      <c r="AM17" s="1818"/>
      <c r="AN17" s="1822" t="s">
        <v>158</v>
      </c>
      <c r="AO17" s="1823"/>
      <c r="AP17" s="1824"/>
      <c r="AQ17" s="1825"/>
      <c r="AR17" s="1825"/>
      <c r="AS17" s="1826"/>
    </row>
    <row r="18" spans="1:45" ht="18" customHeight="1">
      <c r="A18" s="1600"/>
      <c r="B18" s="1759"/>
      <c r="C18" s="1758"/>
      <c r="D18" s="1755"/>
      <c r="E18" s="1756"/>
      <c r="F18" s="1774"/>
      <c r="G18" s="1775"/>
      <c r="H18" s="1776"/>
      <c r="I18" s="1768"/>
      <c r="J18" s="1769"/>
      <c r="K18" s="1769"/>
      <c r="L18" s="1769"/>
      <c r="M18" s="1769"/>
      <c r="N18" s="1770"/>
      <c r="O18" s="1763" t="s">
        <v>15</v>
      </c>
      <c r="P18" s="1764"/>
      <c r="Q18" s="1786"/>
      <c r="R18" s="1787"/>
      <c r="S18" s="1787"/>
      <c r="T18" s="1788"/>
      <c r="V18" s="12" t="str">
        <f>IF(AND($O17="■実施",$O18="■未実施"),"NG","OK")</f>
        <v>OK</v>
      </c>
      <c r="X18" s="22"/>
      <c r="Y18" s="22"/>
      <c r="Z18" s="1600"/>
      <c r="AA18" s="1759"/>
      <c r="AB18" s="1758"/>
      <c r="AC18" s="1843"/>
      <c r="AD18" s="1844"/>
      <c r="AE18" s="1774"/>
      <c r="AF18" s="1775"/>
      <c r="AG18" s="1776"/>
      <c r="AH18" s="1819"/>
      <c r="AI18" s="1820"/>
      <c r="AJ18" s="1820"/>
      <c r="AK18" s="1820"/>
      <c r="AL18" s="1820"/>
      <c r="AM18" s="1821"/>
      <c r="AN18" s="1830" t="s">
        <v>15</v>
      </c>
      <c r="AO18" s="1831"/>
      <c r="AP18" s="1827"/>
      <c r="AQ18" s="1828"/>
      <c r="AR18" s="1828"/>
      <c r="AS18" s="1829"/>
    </row>
    <row r="19" spans="1:45" ht="18" customHeight="1">
      <c r="A19" s="1600"/>
      <c r="B19" s="1759"/>
      <c r="C19" s="1757">
        <v>8</v>
      </c>
      <c r="D19" s="1753"/>
      <c r="E19" s="1754"/>
      <c r="F19" s="1771" t="str">
        <f>IF(D19="","",LOOKUP(D19,$D$49:$D$103,$F$49:$F$103))</f>
        <v/>
      </c>
      <c r="G19" s="1772"/>
      <c r="H19" s="1773"/>
      <c r="I19" s="1765"/>
      <c r="J19" s="1766"/>
      <c r="K19" s="1766"/>
      <c r="L19" s="1766"/>
      <c r="M19" s="1766"/>
      <c r="N19" s="1767"/>
      <c r="O19" s="1780" t="s">
        <v>14</v>
      </c>
      <c r="P19" s="1782"/>
      <c r="Q19" s="1783"/>
      <c r="R19" s="1784"/>
      <c r="S19" s="1784"/>
      <c r="T19" s="1785"/>
      <c r="V19" s="12" t="str">
        <f>IF(AND($D19&lt;&gt;"",$O19="□実施",$O20="□未実施"),"NG","OK")</f>
        <v>OK</v>
      </c>
      <c r="Z19" s="1600"/>
      <c r="AA19" s="1759"/>
      <c r="AB19" s="1757">
        <v>8</v>
      </c>
      <c r="AC19" s="1841">
        <v>3805</v>
      </c>
      <c r="AD19" s="1842"/>
      <c r="AE19" s="1771" t="str">
        <f>IF(AC19="","",LOOKUP(AC19,$D$49:$D$103,$F$49:$F$103))</f>
        <v>コンプレッサー対策</v>
      </c>
      <c r="AF19" s="1772"/>
      <c r="AG19" s="1773"/>
      <c r="AH19" s="1816" t="s">
        <v>4576</v>
      </c>
      <c r="AI19" s="1817"/>
      <c r="AJ19" s="1817"/>
      <c r="AK19" s="1817"/>
      <c r="AL19" s="1817"/>
      <c r="AM19" s="1818"/>
      <c r="AN19" s="1822" t="s">
        <v>158</v>
      </c>
      <c r="AO19" s="1823"/>
      <c r="AP19" s="1824"/>
      <c r="AQ19" s="1825"/>
      <c r="AR19" s="1825"/>
      <c r="AS19" s="1826"/>
    </row>
    <row r="20" spans="1:45" ht="18" customHeight="1">
      <c r="A20" s="1600"/>
      <c r="B20" s="1759"/>
      <c r="C20" s="1758"/>
      <c r="D20" s="1755"/>
      <c r="E20" s="1756"/>
      <c r="F20" s="1774"/>
      <c r="G20" s="1775"/>
      <c r="H20" s="1776"/>
      <c r="I20" s="1768"/>
      <c r="J20" s="1769"/>
      <c r="K20" s="1769"/>
      <c r="L20" s="1769"/>
      <c r="M20" s="1769"/>
      <c r="N20" s="1770"/>
      <c r="O20" s="1763" t="s">
        <v>15</v>
      </c>
      <c r="P20" s="1764"/>
      <c r="Q20" s="1786"/>
      <c r="R20" s="1787"/>
      <c r="S20" s="1787"/>
      <c r="T20" s="1788"/>
      <c r="V20" s="12" t="str">
        <f>IF(AND($O19="■実施",$O20="■未実施"),"NG","OK")</f>
        <v>OK</v>
      </c>
      <c r="X20" s="84"/>
      <c r="Y20" s="84"/>
      <c r="Z20" s="1600"/>
      <c r="AA20" s="1759"/>
      <c r="AB20" s="1758"/>
      <c r="AC20" s="1843"/>
      <c r="AD20" s="1844"/>
      <c r="AE20" s="1774"/>
      <c r="AF20" s="1775"/>
      <c r="AG20" s="1776"/>
      <c r="AH20" s="1819"/>
      <c r="AI20" s="1820"/>
      <c r="AJ20" s="1820"/>
      <c r="AK20" s="1820"/>
      <c r="AL20" s="1820"/>
      <c r="AM20" s="1821"/>
      <c r="AN20" s="1830" t="s">
        <v>15</v>
      </c>
      <c r="AO20" s="1831"/>
      <c r="AP20" s="1827"/>
      <c r="AQ20" s="1828"/>
      <c r="AR20" s="1828"/>
      <c r="AS20" s="1829"/>
    </row>
    <row r="21" spans="1:45" ht="18" customHeight="1">
      <c r="A21" s="1600"/>
      <c r="B21" s="1759"/>
      <c r="C21" s="1757">
        <v>9</v>
      </c>
      <c r="D21" s="1753"/>
      <c r="E21" s="1754"/>
      <c r="F21" s="1771" t="str">
        <f>IF(D21="","",LOOKUP(D21,$D$49:$D$103,$F$49:$F$103))</f>
        <v/>
      </c>
      <c r="G21" s="1772"/>
      <c r="H21" s="1773"/>
      <c r="I21" s="1765"/>
      <c r="J21" s="1766"/>
      <c r="K21" s="1766"/>
      <c r="L21" s="1766"/>
      <c r="M21" s="1766"/>
      <c r="N21" s="1767"/>
      <c r="O21" s="1780" t="s">
        <v>14</v>
      </c>
      <c r="P21" s="1782"/>
      <c r="Q21" s="1783"/>
      <c r="R21" s="1784"/>
      <c r="S21" s="1784"/>
      <c r="T21" s="1785"/>
      <c r="V21" s="12" t="str">
        <f>IF(AND($D21&lt;&gt;"",$O21="□実施",$O22="□未実施"),"NG","OK")</f>
        <v>OK</v>
      </c>
      <c r="X21" s="22"/>
      <c r="Y21" s="22"/>
      <c r="Z21" s="1600"/>
      <c r="AA21" s="1759"/>
      <c r="AB21" s="1757">
        <v>9</v>
      </c>
      <c r="AC21" s="1841">
        <v>9999</v>
      </c>
      <c r="AD21" s="1842"/>
      <c r="AE21" s="1771" t="str">
        <f>IF(AC21="","",LOOKUP(AC21,$D$49:$D$103,$F$49:$F$103))</f>
        <v>その他</v>
      </c>
      <c r="AF21" s="1772"/>
      <c r="AG21" s="1773"/>
      <c r="AH21" s="1816" t="s">
        <v>4577</v>
      </c>
      <c r="AI21" s="1817"/>
      <c r="AJ21" s="1817"/>
      <c r="AK21" s="1817"/>
      <c r="AL21" s="1817"/>
      <c r="AM21" s="1818"/>
      <c r="AN21" s="1822" t="s">
        <v>158</v>
      </c>
      <c r="AO21" s="1823"/>
      <c r="AP21" s="1824"/>
      <c r="AQ21" s="1825"/>
      <c r="AR21" s="1825"/>
      <c r="AS21" s="1826"/>
    </row>
    <row r="22" spans="1:45" ht="18" customHeight="1">
      <c r="A22" s="1600"/>
      <c r="B22" s="1759"/>
      <c r="C22" s="1758"/>
      <c r="D22" s="1755"/>
      <c r="E22" s="1756"/>
      <c r="F22" s="1774"/>
      <c r="G22" s="1775"/>
      <c r="H22" s="1776"/>
      <c r="I22" s="1768"/>
      <c r="J22" s="1769"/>
      <c r="K22" s="1769"/>
      <c r="L22" s="1769"/>
      <c r="M22" s="1769"/>
      <c r="N22" s="1770"/>
      <c r="O22" s="1763" t="s">
        <v>15</v>
      </c>
      <c r="P22" s="1764"/>
      <c r="Q22" s="1786"/>
      <c r="R22" s="1787"/>
      <c r="S22" s="1787"/>
      <c r="T22" s="1788"/>
      <c r="V22" s="12" t="str">
        <f>IF(AND($O21="■実施",$O22="■未実施"),"NG","OK")</f>
        <v>OK</v>
      </c>
      <c r="Z22" s="1600"/>
      <c r="AA22" s="1759"/>
      <c r="AB22" s="1758"/>
      <c r="AC22" s="1843"/>
      <c r="AD22" s="1844"/>
      <c r="AE22" s="1774"/>
      <c r="AF22" s="1775"/>
      <c r="AG22" s="1776"/>
      <c r="AH22" s="1819"/>
      <c r="AI22" s="1820"/>
      <c r="AJ22" s="1820"/>
      <c r="AK22" s="1820"/>
      <c r="AL22" s="1820"/>
      <c r="AM22" s="1821"/>
      <c r="AN22" s="1830" t="s">
        <v>15</v>
      </c>
      <c r="AO22" s="1831"/>
      <c r="AP22" s="1827"/>
      <c r="AQ22" s="1828"/>
      <c r="AR22" s="1828"/>
      <c r="AS22" s="1829"/>
    </row>
    <row r="23" spans="1:45" ht="18" customHeight="1">
      <c r="A23" s="1600"/>
      <c r="B23" s="1759"/>
      <c r="C23" s="1757">
        <v>10</v>
      </c>
      <c r="D23" s="1753"/>
      <c r="E23" s="1754"/>
      <c r="F23" s="1771" t="str">
        <f>IF(D23="","",LOOKUP(D23,$D$49:$D$103,$F$49:$F$103))</f>
        <v/>
      </c>
      <c r="G23" s="1772"/>
      <c r="H23" s="1773"/>
      <c r="I23" s="1765"/>
      <c r="J23" s="1766"/>
      <c r="K23" s="1766"/>
      <c r="L23" s="1766"/>
      <c r="M23" s="1766"/>
      <c r="N23" s="1767"/>
      <c r="O23" s="1780" t="s">
        <v>14</v>
      </c>
      <c r="P23" s="1781"/>
      <c r="Q23" s="1783"/>
      <c r="R23" s="1784"/>
      <c r="S23" s="1784"/>
      <c r="T23" s="1785"/>
      <c r="V23" s="12" t="str">
        <f>IF(AND($D23&lt;&gt;"",$O23="□実施",$O24="□未実施"),"NG","OK")</f>
        <v>OK</v>
      </c>
      <c r="X23" s="22"/>
      <c r="Y23" s="22"/>
      <c r="Z23" s="1600"/>
      <c r="AA23" s="1759"/>
      <c r="AB23" s="1757">
        <v>10</v>
      </c>
      <c r="AC23" s="1841"/>
      <c r="AD23" s="1845"/>
      <c r="AE23" s="1771" t="str">
        <f>IF(AC23="","",LOOKUP(AC23,$D$49:$D$103,$F$49:$F$103))</f>
        <v/>
      </c>
      <c r="AF23" s="1772"/>
      <c r="AG23" s="1773"/>
      <c r="AH23" s="1816"/>
      <c r="AI23" s="1817"/>
      <c r="AJ23" s="1817"/>
      <c r="AK23" s="1817"/>
      <c r="AL23" s="1817"/>
      <c r="AM23" s="1818"/>
      <c r="AN23" s="1822" t="s">
        <v>14</v>
      </c>
      <c r="AO23" s="1823"/>
      <c r="AP23" s="1824"/>
      <c r="AQ23" s="1825"/>
      <c r="AR23" s="1825"/>
      <c r="AS23" s="1826"/>
    </row>
    <row r="24" spans="1:45" ht="18" customHeight="1">
      <c r="A24" s="1600"/>
      <c r="B24" s="1759"/>
      <c r="C24" s="1758"/>
      <c r="D24" s="1755"/>
      <c r="E24" s="1756"/>
      <c r="F24" s="1774"/>
      <c r="G24" s="1775"/>
      <c r="H24" s="1776"/>
      <c r="I24" s="1768"/>
      <c r="J24" s="1769"/>
      <c r="K24" s="1769"/>
      <c r="L24" s="1769"/>
      <c r="M24" s="1769"/>
      <c r="N24" s="1770"/>
      <c r="O24" s="1763" t="s">
        <v>15</v>
      </c>
      <c r="P24" s="1764"/>
      <c r="Q24" s="1786"/>
      <c r="R24" s="1787"/>
      <c r="S24" s="1787"/>
      <c r="T24" s="1788"/>
      <c r="V24" s="12" t="str">
        <f>IF(AND($O23="■実施",$O24="■未実施"),"NG","OK")</f>
        <v>OK</v>
      </c>
      <c r="X24" s="31"/>
      <c r="Y24" s="31"/>
      <c r="Z24" s="1600"/>
      <c r="AA24" s="1759"/>
      <c r="AB24" s="1758"/>
      <c r="AC24" s="1846"/>
      <c r="AD24" s="1847"/>
      <c r="AE24" s="1774"/>
      <c r="AF24" s="1775"/>
      <c r="AG24" s="1776"/>
      <c r="AH24" s="1819"/>
      <c r="AI24" s="1820"/>
      <c r="AJ24" s="1820"/>
      <c r="AK24" s="1820"/>
      <c r="AL24" s="1820"/>
      <c r="AM24" s="1821"/>
      <c r="AN24" s="1830" t="s">
        <v>15</v>
      </c>
      <c r="AO24" s="1831"/>
      <c r="AP24" s="1827"/>
      <c r="AQ24" s="1828"/>
      <c r="AR24" s="1828"/>
      <c r="AS24" s="1829"/>
    </row>
    <row r="25" spans="1:45" ht="18" customHeight="1">
      <c r="A25" s="1600"/>
      <c r="B25" s="1759"/>
      <c r="C25" s="1757">
        <v>11</v>
      </c>
      <c r="D25" s="1753"/>
      <c r="E25" s="1754"/>
      <c r="F25" s="1771" t="str">
        <f>IF(D25="","",LOOKUP(D25,$D$49:$D$103,$F$49:$F$103))</f>
        <v/>
      </c>
      <c r="G25" s="1772"/>
      <c r="H25" s="1773"/>
      <c r="I25" s="1765"/>
      <c r="J25" s="1766"/>
      <c r="K25" s="1766"/>
      <c r="L25" s="1766"/>
      <c r="M25" s="1766"/>
      <c r="N25" s="1767"/>
      <c r="O25" s="1780" t="s">
        <v>14</v>
      </c>
      <c r="P25" s="1781"/>
      <c r="Q25" s="1783"/>
      <c r="R25" s="1784"/>
      <c r="S25" s="1784"/>
      <c r="T25" s="1785"/>
      <c r="V25" s="12" t="str">
        <f>IF(AND($D25&lt;&gt;"",$O25="□実施",$O26="□未実施"),"NG","OK")</f>
        <v>OK</v>
      </c>
      <c r="X25" s="31"/>
      <c r="Y25" s="31"/>
      <c r="Z25" s="1600"/>
      <c r="AA25" s="1759"/>
      <c r="AB25" s="1757">
        <v>11</v>
      </c>
      <c r="AC25" s="1841"/>
      <c r="AD25" s="1845"/>
      <c r="AE25" s="1771" t="str">
        <f>IF(AC25="","",LOOKUP(AC25,$D$49:$D$103,$F$49:$F$103))</f>
        <v/>
      </c>
      <c r="AF25" s="1772"/>
      <c r="AG25" s="1773"/>
      <c r="AH25" s="1816"/>
      <c r="AI25" s="1817"/>
      <c r="AJ25" s="1817"/>
      <c r="AK25" s="1817"/>
      <c r="AL25" s="1817"/>
      <c r="AM25" s="1818"/>
      <c r="AN25" s="1822" t="s">
        <v>14</v>
      </c>
      <c r="AO25" s="1823"/>
      <c r="AP25" s="1824"/>
      <c r="AQ25" s="1825"/>
      <c r="AR25" s="1825"/>
      <c r="AS25" s="1826"/>
    </row>
    <row r="26" spans="1:45" ht="18" customHeight="1">
      <c r="A26" s="1600"/>
      <c r="B26" s="1759"/>
      <c r="C26" s="1758"/>
      <c r="D26" s="1755"/>
      <c r="E26" s="1756"/>
      <c r="F26" s="1774"/>
      <c r="G26" s="1775"/>
      <c r="H26" s="1776"/>
      <c r="I26" s="1768"/>
      <c r="J26" s="1769"/>
      <c r="K26" s="1769"/>
      <c r="L26" s="1769"/>
      <c r="M26" s="1769"/>
      <c r="N26" s="1770"/>
      <c r="O26" s="1763" t="s">
        <v>15</v>
      </c>
      <c r="P26" s="1764"/>
      <c r="Q26" s="1786"/>
      <c r="R26" s="1787"/>
      <c r="S26" s="1787"/>
      <c r="T26" s="1788"/>
      <c r="V26" s="12" t="str">
        <f>IF(AND($O25="■実施",$O26="■未実施"),"NG","OK")</f>
        <v>OK</v>
      </c>
      <c r="Z26" s="1600"/>
      <c r="AA26" s="1759"/>
      <c r="AB26" s="1758"/>
      <c r="AC26" s="1846"/>
      <c r="AD26" s="1847"/>
      <c r="AE26" s="1774"/>
      <c r="AF26" s="1775"/>
      <c r="AG26" s="1776"/>
      <c r="AH26" s="1819"/>
      <c r="AI26" s="1820"/>
      <c r="AJ26" s="1820"/>
      <c r="AK26" s="1820"/>
      <c r="AL26" s="1820"/>
      <c r="AM26" s="1821"/>
      <c r="AN26" s="1830" t="s">
        <v>15</v>
      </c>
      <c r="AO26" s="1831"/>
      <c r="AP26" s="1827"/>
      <c r="AQ26" s="1828"/>
      <c r="AR26" s="1828"/>
      <c r="AS26" s="1829"/>
    </row>
    <row r="27" spans="1:45" ht="18" customHeight="1">
      <c r="A27" s="1600"/>
      <c r="B27" s="1759"/>
      <c r="C27" s="1757">
        <v>12</v>
      </c>
      <c r="D27" s="1753"/>
      <c r="E27" s="1754"/>
      <c r="F27" s="1771" t="str">
        <f>IF(D27="","",LOOKUP(D27,$D$49:$D$103,$F$49:$F$103))</f>
        <v/>
      </c>
      <c r="G27" s="1772"/>
      <c r="H27" s="1773"/>
      <c r="I27" s="1765"/>
      <c r="J27" s="1766"/>
      <c r="K27" s="1766"/>
      <c r="L27" s="1766"/>
      <c r="M27" s="1766"/>
      <c r="N27" s="1767"/>
      <c r="O27" s="1780" t="s">
        <v>14</v>
      </c>
      <c r="P27" s="1781"/>
      <c r="Q27" s="1783"/>
      <c r="R27" s="1784"/>
      <c r="S27" s="1784"/>
      <c r="T27" s="1785"/>
      <c r="V27" s="12" t="str">
        <f>IF(AND($D27&lt;&gt;"",$O27="□実施",$O28="□未実施"),"NG","OK")</f>
        <v>OK</v>
      </c>
      <c r="Z27" s="1600"/>
      <c r="AA27" s="1759"/>
      <c r="AB27" s="1757">
        <v>12</v>
      </c>
      <c r="AC27" s="1841"/>
      <c r="AD27" s="1845"/>
      <c r="AE27" s="1771" t="str">
        <f>IF(AC27="","",LOOKUP(AC27,$D$49:$D$103,$F$49:$F$103))</f>
        <v/>
      </c>
      <c r="AF27" s="1772"/>
      <c r="AG27" s="1773"/>
      <c r="AH27" s="1816"/>
      <c r="AI27" s="1817"/>
      <c r="AJ27" s="1817"/>
      <c r="AK27" s="1817"/>
      <c r="AL27" s="1817"/>
      <c r="AM27" s="1818"/>
      <c r="AN27" s="1822" t="s">
        <v>14</v>
      </c>
      <c r="AO27" s="1823"/>
      <c r="AP27" s="1824"/>
      <c r="AQ27" s="1825"/>
      <c r="AR27" s="1825"/>
      <c r="AS27" s="1826"/>
    </row>
    <row r="28" spans="1:45" ht="18" customHeight="1">
      <c r="A28" s="1600"/>
      <c r="B28" s="1759"/>
      <c r="C28" s="1758"/>
      <c r="D28" s="1755"/>
      <c r="E28" s="1756"/>
      <c r="F28" s="1774"/>
      <c r="G28" s="1775"/>
      <c r="H28" s="1776"/>
      <c r="I28" s="1768"/>
      <c r="J28" s="1769"/>
      <c r="K28" s="1769"/>
      <c r="L28" s="1769"/>
      <c r="M28" s="1769"/>
      <c r="N28" s="1770"/>
      <c r="O28" s="1763" t="s">
        <v>15</v>
      </c>
      <c r="P28" s="1764"/>
      <c r="Q28" s="1786"/>
      <c r="R28" s="1787"/>
      <c r="S28" s="1787"/>
      <c r="T28" s="1788"/>
      <c r="V28" s="12" t="str">
        <f>IF(AND($O27="■実施",$O28="■未実施"),"NG","OK")</f>
        <v>OK</v>
      </c>
      <c r="Z28" s="1600"/>
      <c r="AA28" s="1759"/>
      <c r="AB28" s="1758"/>
      <c r="AC28" s="1846"/>
      <c r="AD28" s="1847"/>
      <c r="AE28" s="1774"/>
      <c r="AF28" s="1775"/>
      <c r="AG28" s="1776"/>
      <c r="AH28" s="1819"/>
      <c r="AI28" s="1820"/>
      <c r="AJ28" s="1820"/>
      <c r="AK28" s="1820"/>
      <c r="AL28" s="1820"/>
      <c r="AM28" s="1821"/>
      <c r="AN28" s="1830" t="s">
        <v>15</v>
      </c>
      <c r="AO28" s="1831"/>
      <c r="AP28" s="1827"/>
      <c r="AQ28" s="1828"/>
      <c r="AR28" s="1828"/>
      <c r="AS28" s="1829"/>
    </row>
    <row r="29" spans="1:45" ht="18" customHeight="1">
      <c r="A29" s="1600"/>
      <c r="B29" s="1759"/>
      <c r="C29" s="1757">
        <v>13</v>
      </c>
      <c r="D29" s="1753"/>
      <c r="E29" s="1754"/>
      <c r="F29" s="1771" t="str">
        <f>IF(D29="","",LOOKUP(D29,$D$49:$D$103,$F$49:$F$103))</f>
        <v/>
      </c>
      <c r="G29" s="1772"/>
      <c r="H29" s="1773"/>
      <c r="I29" s="1765"/>
      <c r="J29" s="1766"/>
      <c r="K29" s="1766"/>
      <c r="L29" s="1766"/>
      <c r="M29" s="1766"/>
      <c r="N29" s="1767"/>
      <c r="O29" s="1780" t="s">
        <v>14</v>
      </c>
      <c r="P29" s="1781"/>
      <c r="Q29" s="1783"/>
      <c r="R29" s="1784"/>
      <c r="S29" s="1784"/>
      <c r="T29" s="1785"/>
      <c r="V29" s="12" t="str">
        <f>IF(AND($D29&lt;&gt;"",$O29="□実施",$O30="□未実施"),"NG","OK")</f>
        <v>OK</v>
      </c>
      <c r="Z29" s="1600"/>
      <c r="AA29" s="1759"/>
      <c r="AB29" s="1757">
        <v>13</v>
      </c>
      <c r="AC29" s="1841"/>
      <c r="AD29" s="1845"/>
      <c r="AE29" s="1771" t="str">
        <f>IF(AC29="","",LOOKUP(AC29,$D$49:$D$103,$F$49:$F$103))</f>
        <v/>
      </c>
      <c r="AF29" s="1772"/>
      <c r="AG29" s="1773"/>
      <c r="AH29" s="1816"/>
      <c r="AI29" s="1817"/>
      <c r="AJ29" s="1817"/>
      <c r="AK29" s="1817"/>
      <c r="AL29" s="1817"/>
      <c r="AM29" s="1818"/>
      <c r="AN29" s="1822" t="s">
        <v>14</v>
      </c>
      <c r="AO29" s="1823"/>
      <c r="AP29" s="1824"/>
      <c r="AQ29" s="1825"/>
      <c r="AR29" s="1825"/>
      <c r="AS29" s="1826"/>
    </row>
    <row r="30" spans="1:45" ht="18" customHeight="1">
      <c r="A30" s="1600"/>
      <c r="B30" s="1759"/>
      <c r="C30" s="1758"/>
      <c r="D30" s="1755"/>
      <c r="E30" s="1756"/>
      <c r="F30" s="1774"/>
      <c r="G30" s="1775"/>
      <c r="H30" s="1776"/>
      <c r="I30" s="1768"/>
      <c r="J30" s="1769"/>
      <c r="K30" s="1769"/>
      <c r="L30" s="1769"/>
      <c r="M30" s="1769"/>
      <c r="N30" s="1770"/>
      <c r="O30" s="1763" t="s">
        <v>15</v>
      </c>
      <c r="P30" s="1764"/>
      <c r="Q30" s="1786"/>
      <c r="R30" s="1787"/>
      <c r="S30" s="1787"/>
      <c r="T30" s="1788"/>
      <c r="V30" s="12" t="str">
        <f>IF(AND($O29="■実施",$O30="■未実施"),"NG","OK")</f>
        <v>OK</v>
      </c>
      <c r="Z30" s="1600"/>
      <c r="AA30" s="1759"/>
      <c r="AB30" s="1758"/>
      <c r="AC30" s="1846"/>
      <c r="AD30" s="1847"/>
      <c r="AE30" s="1774"/>
      <c r="AF30" s="1775"/>
      <c r="AG30" s="1776"/>
      <c r="AH30" s="1819"/>
      <c r="AI30" s="1820"/>
      <c r="AJ30" s="1820"/>
      <c r="AK30" s="1820"/>
      <c r="AL30" s="1820"/>
      <c r="AM30" s="1821"/>
      <c r="AN30" s="1830" t="s">
        <v>15</v>
      </c>
      <c r="AO30" s="1831"/>
      <c r="AP30" s="1827"/>
      <c r="AQ30" s="1828"/>
      <c r="AR30" s="1828"/>
      <c r="AS30" s="1829"/>
    </row>
    <row r="31" spans="1:45" ht="18" customHeight="1">
      <c r="A31" s="1600"/>
      <c r="B31" s="1759"/>
      <c r="C31" s="1757">
        <v>14</v>
      </c>
      <c r="D31" s="1753"/>
      <c r="E31" s="1754"/>
      <c r="F31" s="1771" t="str">
        <f>IF(D31="","",LOOKUP(D31,$D$49:$D$103,$F$49:$F$103))</f>
        <v/>
      </c>
      <c r="G31" s="1772"/>
      <c r="H31" s="1773"/>
      <c r="I31" s="1765"/>
      <c r="J31" s="1766"/>
      <c r="K31" s="1766"/>
      <c r="L31" s="1766"/>
      <c r="M31" s="1766"/>
      <c r="N31" s="1767"/>
      <c r="O31" s="1780" t="s">
        <v>14</v>
      </c>
      <c r="P31" s="1781"/>
      <c r="Q31" s="1783"/>
      <c r="R31" s="1784"/>
      <c r="S31" s="1784"/>
      <c r="T31" s="1785"/>
      <c r="V31" s="12" t="str">
        <f>IF(AND($D31&lt;&gt;"",$O31="□実施",$O32="□未実施"),"NG","OK")</f>
        <v>OK</v>
      </c>
      <c r="Z31" s="1600"/>
      <c r="AA31" s="1759"/>
      <c r="AB31" s="1757">
        <v>14</v>
      </c>
      <c r="AC31" s="1841"/>
      <c r="AD31" s="1845"/>
      <c r="AE31" s="1771" t="str">
        <f>IF(AC31="","",LOOKUP(AC31,$D$49:$D$103,$F$49:$F$103))</f>
        <v/>
      </c>
      <c r="AF31" s="1772"/>
      <c r="AG31" s="1773"/>
      <c r="AH31" s="1816"/>
      <c r="AI31" s="1817"/>
      <c r="AJ31" s="1817"/>
      <c r="AK31" s="1817"/>
      <c r="AL31" s="1817"/>
      <c r="AM31" s="1818"/>
      <c r="AN31" s="1822" t="s">
        <v>14</v>
      </c>
      <c r="AO31" s="1823"/>
      <c r="AP31" s="1824"/>
      <c r="AQ31" s="1825"/>
      <c r="AR31" s="1825"/>
      <c r="AS31" s="1826"/>
    </row>
    <row r="32" spans="1:45" ht="18" customHeight="1">
      <c r="A32" s="1600"/>
      <c r="B32" s="1759"/>
      <c r="C32" s="1758"/>
      <c r="D32" s="1755"/>
      <c r="E32" s="1756"/>
      <c r="F32" s="1774"/>
      <c r="G32" s="1775"/>
      <c r="H32" s="1776"/>
      <c r="I32" s="1768"/>
      <c r="J32" s="1769"/>
      <c r="K32" s="1769"/>
      <c r="L32" s="1769"/>
      <c r="M32" s="1769"/>
      <c r="N32" s="1770"/>
      <c r="O32" s="1763" t="s">
        <v>15</v>
      </c>
      <c r="P32" s="1764"/>
      <c r="Q32" s="1786"/>
      <c r="R32" s="1787"/>
      <c r="S32" s="1787"/>
      <c r="T32" s="1788"/>
      <c r="V32" s="12" t="str">
        <f>IF(AND($O31="■実施",$O32="■未実施"),"NG","OK")</f>
        <v>OK</v>
      </c>
      <c r="Z32" s="1600"/>
      <c r="AA32" s="1759"/>
      <c r="AB32" s="1758"/>
      <c r="AC32" s="1846"/>
      <c r="AD32" s="1847"/>
      <c r="AE32" s="1774"/>
      <c r="AF32" s="1775"/>
      <c r="AG32" s="1776"/>
      <c r="AH32" s="1819"/>
      <c r="AI32" s="1820"/>
      <c r="AJ32" s="1820"/>
      <c r="AK32" s="1820"/>
      <c r="AL32" s="1820"/>
      <c r="AM32" s="1821"/>
      <c r="AN32" s="1830" t="s">
        <v>15</v>
      </c>
      <c r="AO32" s="1831"/>
      <c r="AP32" s="1827"/>
      <c r="AQ32" s="1828"/>
      <c r="AR32" s="1828"/>
      <c r="AS32" s="1829"/>
    </row>
    <row r="33" spans="1:45" ht="18" customHeight="1">
      <c r="A33" s="1600"/>
      <c r="B33" s="1759"/>
      <c r="C33" s="1791">
        <v>15</v>
      </c>
      <c r="D33" s="1753"/>
      <c r="E33" s="1754"/>
      <c r="F33" s="1771" t="str">
        <f>IF(D33="","",LOOKUP(D33,$D$49:$D$103,$F$49:$F$103))</f>
        <v/>
      </c>
      <c r="G33" s="1772"/>
      <c r="H33" s="1773"/>
      <c r="I33" s="1765"/>
      <c r="J33" s="1766"/>
      <c r="K33" s="1766"/>
      <c r="L33" s="1766"/>
      <c r="M33" s="1766"/>
      <c r="N33" s="1767"/>
      <c r="O33" s="1780" t="s">
        <v>14</v>
      </c>
      <c r="P33" s="1781"/>
      <c r="Q33" s="1783"/>
      <c r="R33" s="1784"/>
      <c r="S33" s="1784"/>
      <c r="T33" s="1785"/>
      <c r="V33" s="12" t="str">
        <f>IF(AND($D33&lt;&gt;"",$O33="□実施",$O34="□未実施"),"NG","OK")</f>
        <v>OK</v>
      </c>
      <c r="Z33" s="1600"/>
      <c r="AA33" s="1759"/>
      <c r="AB33" s="1791">
        <v>15</v>
      </c>
      <c r="AC33" s="1841"/>
      <c r="AD33" s="1845"/>
      <c r="AE33" s="1771" t="str">
        <f>IF(AC33="","",LOOKUP(AC33,$D$49:$D$103,$F$49:$F$103))</f>
        <v/>
      </c>
      <c r="AF33" s="1772"/>
      <c r="AG33" s="1773"/>
      <c r="AH33" s="1816"/>
      <c r="AI33" s="1817"/>
      <c r="AJ33" s="1817"/>
      <c r="AK33" s="1817"/>
      <c r="AL33" s="1817"/>
      <c r="AM33" s="1818"/>
      <c r="AN33" s="1822" t="s">
        <v>14</v>
      </c>
      <c r="AO33" s="1823"/>
      <c r="AP33" s="1824"/>
      <c r="AQ33" s="1825"/>
      <c r="AR33" s="1825"/>
      <c r="AS33" s="1826"/>
    </row>
    <row r="34" spans="1:45" ht="18" customHeight="1" thickBot="1">
      <c r="A34" s="1600"/>
      <c r="B34" s="1759"/>
      <c r="C34" s="1392"/>
      <c r="D34" s="1789"/>
      <c r="E34" s="1790"/>
      <c r="F34" s="1797"/>
      <c r="G34" s="1798"/>
      <c r="H34" s="1799"/>
      <c r="I34" s="1777"/>
      <c r="J34" s="1778"/>
      <c r="K34" s="1778"/>
      <c r="L34" s="1778"/>
      <c r="M34" s="1778"/>
      <c r="N34" s="1779"/>
      <c r="O34" s="1795" t="s">
        <v>15</v>
      </c>
      <c r="P34" s="1796"/>
      <c r="Q34" s="1792"/>
      <c r="R34" s="1793"/>
      <c r="S34" s="1793"/>
      <c r="T34" s="1794"/>
      <c r="V34" s="12" t="str">
        <f>IF(AND($O33="■実施",$O34="■未実施"),"NG","OK")</f>
        <v>OK</v>
      </c>
      <c r="X34" s="54"/>
      <c r="Y34" s="31"/>
      <c r="Z34" s="1600"/>
      <c r="AA34" s="1759"/>
      <c r="AB34" s="1392"/>
      <c r="AC34" s="1848"/>
      <c r="AD34" s="1849"/>
      <c r="AE34" s="1797"/>
      <c r="AF34" s="1798"/>
      <c r="AG34" s="1799"/>
      <c r="AH34" s="1850"/>
      <c r="AI34" s="1851"/>
      <c r="AJ34" s="1851"/>
      <c r="AK34" s="1851"/>
      <c r="AL34" s="1851"/>
      <c r="AM34" s="1852"/>
      <c r="AN34" s="1856" t="s">
        <v>15</v>
      </c>
      <c r="AO34" s="1857"/>
      <c r="AP34" s="1853"/>
      <c r="AQ34" s="1854"/>
      <c r="AR34" s="1854"/>
      <c r="AS34" s="1855"/>
    </row>
    <row r="35" spans="1:45" ht="7.5" customHeight="1">
      <c r="A35" s="1600"/>
      <c r="B35" s="1600"/>
      <c r="C35" s="1600"/>
      <c r="D35" s="1600"/>
      <c r="E35" s="1600"/>
      <c r="F35" s="1600"/>
      <c r="G35" s="1600"/>
      <c r="H35" s="1600"/>
      <c r="I35" s="1600"/>
      <c r="J35" s="1600"/>
      <c r="K35" s="1600"/>
      <c r="L35" s="1600"/>
      <c r="M35" s="1600"/>
      <c r="N35" s="1600"/>
      <c r="O35" s="1600"/>
      <c r="P35" s="1600"/>
      <c r="Q35" s="1600"/>
      <c r="R35" s="1600"/>
      <c r="S35" s="1600"/>
      <c r="T35" s="1600"/>
      <c r="X35" s="16"/>
      <c r="Y35" s="16"/>
      <c r="Z35" s="1600"/>
      <c r="AA35" s="1600"/>
      <c r="AB35" s="1600"/>
      <c r="AC35" s="1600"/>
      <c r="AD35" s="1600"/>
      <c r="AE35" s="1600"/>
      <c r="AF35" s="1600"/>
      <c r="AG35" s="1600"/>
      <c r="AH35" s="1600"/>
      <c r="AI35" s="1600"/>
      <c r="AJ35" s="1600"/>
      <c r="AK35" s="1600"/>
      <c r="AL35" s="1600"/>
      <c r="AM35" s="1600"/>
      <c r="AN35" s="1600"/>
      <c r="AO35" s="1600"/>
      <c r="AP35" s="1600"/>
      <c r="AQ35" s="1600"/>
      <c r="AR35" s="1600"/>
      <c r="AS35" s="1600"/>
    </row>
    <row r="36" spans="1:45" s="15" customFormat="1">
      <c r="A36" s="1600"/>
      <c r="B36" s="1762" t="s">
        <v>157</v>
      </c>
      <c r="C36" s="1762"/>
      <c r="D36" s="1762"/>
      <c r="E36" s="1760" t="s">
        <v>72</v>
      </c>
      <c r="F36" s="1760"/>
      <c r="G36" s="1760"/>
      <c r="H36" s="1760"/>
      <c r="I36" s="1760"/>
      <c r="J36" s="1760"/>
      <c r="K36" s="1760"/>
      <c r="L36" s="1760"/>
      <c r="M36" s="1760"/>
      <c r="N36" s="1760"/>
      <c r="O36" s="1760"/>
      <c r="P36" s="1760"/>
      <c r="Q36" s="1760"/>
      <c r="R36" s="1760"/>
      <c r="S36" s="1760"/>
      <c r="T36" s="1760"/>
      <c r="W36" s="86"/>
      <c r="X36" s="16"/>
      <c r="Y36" s="16"/>
      <c r="Z36" s="1600"/>
      <c r="AA36" s="1762" t="s">
        <v>157</v>
      </c>
      <c r="AB36" s="1762"/>
      <c r="AC36" s="1762"/>
      <c r="AD36" s="1760" t="s">
        <v>72</v>
      </c>
      <c r="AE36" s="1760"/>
      <c r="AF36" s="1760"/>
      <c r="AG36" s="1760"/>
      <c r="AH36" s="1760"/>
      <c r="AI36" s="1760"/>
      <c r="AJ36" s="1760"/>
      <c r="AK36" s="1760"/>
      <c r="AL36" s="1760"/>
      <c r="AM36" s="1760"/>
      <c r="AN36" s="1760"/>
      <c r="AO36" s="1760"/>
      <c r="AP36" s="1760"/>
      <c r="AQ36" s="1760"/>
      <c r="AR36" s="1760"/>
      <c r="AS36" s="1760"/>
    </row>
    <row r="37" spans="1:45" s="15" customFormat="1">
      <c r="A37" s="1600"/>
      <c r="B37" s="1761" t="s">
        <v>109</v>
      </c>
      <c r="C37" s="1761"/>
      <c r="D37" s="1761"/>
      <c r="E37" s="1760" t="s">
        <v>73</v>
      </c>
      <c r="F37" s="1760"/>
      <c r="G37" s="1760"/>
      <c r="H37" s="1760"/>
      <c r="I37" s="1760"/>
      <c r="J37" s="1760"/>
      <c r="K37" s="1760"/>
      <c r="L37" s="1760"/>
      <c r="M37" s="1760"/>
      <c r="N37" s="1760"/>
      <c r="O37" s="1760"/>
      <c r="P37" s="1760"/>
      <c r="Q37" s="1760"/>
      <c r="R37" s="1760"/>
      <c r="S37" s="1760"/>
      <c r="T37" s="1760"/>
      <c r="W37" s="86"/>
      <c r="X37" s="16"/>
      <c r="Y37" s="16"/>
      <c r="Z37" s="1600"/>
      <c r="AA37" s="1761" t="s">
        <v>109</v>
      </c>
      <c r="AB37" s="1761"/>
      <c r="AC37" s="1761"/>
      <c r="AD37" s="1760" t="s">
        <v>73</v>
      </c>
      <c r="AE37" s="1760"/>
      <c r="AF37" s="1760"/>
      <c r="AG37" s="1760"/>
      <c r="AH37" s="1760"/>
      <c r="AI37" s="1760"/>
      <c r="AJ37" s="1760"/>
      <c r="AK37" s="1760"/>
      <c r="AL37" s="1760"/>
      <c r="AM37" s="1760"/>
      <c r="AN37" s="1760"/>
      <c r="AO37" s="1760"/>
      <c r="AP37" s="1760"/>
      <c r="AQ37" s="1760"/>
      <c r="AR37" s="1760"/>
      <c r="AS37" s="1760"/>
    </row>
    <row r="38" spans="1:45" s="15" customFormat="1" ht="25.95" customHeight="1">
      <c r="A38" s="1600"/>
      <c r="B38" s="1761" t="s">
        <v>110</v>
      </c>
      <c r="C38" s="1761"/>
      <c r="D38" s="1761"/>
      <c r="E38" s="1760" t="s">
        <v>3604</v>
      </c>
      <c r="F38" s="1760"/>
      <c r="G38" s="1760"/>
      <c r="H38" s="1760"/>
      <c r="I38" s="1760"/>
      <c r="J38" s="1760"/>
      <c r="K38" s="1760"/>
      <c r="L38" s="1760"/>
      <c r="M38" s="1760"/>
      <c r="N38" s="1760"/>
      <c r="O38" s="1760"/>
      <c r="P38" s="1760"/>
      <c r="Q38" s="1760"/>
      <c r="R38" s="1760"/>
      <c r="S38" s="1760"/>
      <c r="T38" s="1760"/>
      <c r="W38" s="86"/>
      <c r="X38" s="16"/>
      <c r="Y38" s="16"/>
      <c r="Z38" s="1600"/>
      <c r="AA38" s="1761" t="s">
        <v>110</v>
      </c>
      <c r="AB38" s="1761"/>
      <c r="AC38" s="1761"/>
      <c r="AD38" s="1760" t="s">
        <v>3604</v>
      </c>
      <c r="AE38" s="1760"/>
      <c r="AF38" s="1760"/>
      <c r="AG38" s="1760"/>
      <c r="AH38" s="1760"/>
      <c r="AI38" s="1760"/>
      <c r="AJ38" s="1760"/>
      <c r="AK38" s="1760"/>
      <c r="AL38" s="1760"/>
      <c r="AM38" s="1760"/>
      <c r="AN38" s="1760"/>
      <c r="AO38" s="1760"/>
      <c r="AP38" s="1760"/>
      <c r="AQ38" s="1760"/>
      <c r="AR38" s="1760"/>
      <c r="AS38" s="1760"/>
    </row>
    <row r="39" spans="1:45" s="15" customFormat="1" ht="23.4" customHeight="1">
      <c r="A39" s="1600"/>
      <c r="B39" s="1761" t="s">
        <v>70</v>
      </c>
      <c r="C39" s="1761"/>
      <c r="D39" s="1761"/>
      <c r="E39" s="1760" t="s">
        <v>111</v>
      </c>
      <c r="F39" s="1760"/>
      <c r="G39" s="1760"/>
      <c r="H39" s="1760"/>
      <c r="I39" s="1760"/>
      <c r="J39" s="1760"/>
      <c r="K39" s="1760"/>
      <c r="L39" s="1760"/>
      <c r="M39" s="1760"/>
      <c r="N39" s="1760"/>
      <c r="O39" s="1760"/>
      <c r="P39" s="1760"/>
      <c r="Q39" s="1760"/>
      <c r="R39" s="1760"/>
      <c r="S39" s="1760"/>
      <c r="T39" s="1760"/>
      <c r="W39" s="86"/>
      <c r="X39" s="16"/>
      <c r="Y39" s="16"/>
      <c r="Z39" s="1600"/>
      <c r="AA39" s="1761" t="s">
        <v>70</v>
      </c>
      <c r="AB39" s="1761"/>
      <c r="AC39" s="1761"/>
      <c r="AD39" s="1760" t="s">
        <v>111</v>
      </c>
      <c r="AE39" s="1760"/>
      <c r="AF39" s="1760"/>
      <c r="AG39" s="1760"/>
      <c r="AH39" s="1760"/>
      <c r="AI39" s="1760"/>
      <c r="AJ39" s="1760"/>
      <c r="AK39" s="1760"/>
      <c r="AL39" s="1760"/>
      <c r="AM39" s="1760"/>
      <c r="AN39" s="1760"/>
      <c r="AO39" s="1760"/>
      <c r="AP39" s="1760"/>
      <c r="AQ39" s="1760"/>
      <c r="AR39" s="1760"/>
      <c r="AS39" s="1760"/>
    </row>
    <row r="40" spans="1:45" s="15" customFormat="1" ht="35.4" customHeight="1">
      <c r="A40" s="1600"/>
      <c r="B40" s="1761" t="s">
        <v>71</v>
      </c>
      <c r="C40" s="1761"/>
      <c r="D40" s="1761"/>
      <c r="E40" s="1760" t="s">
        <v>3605</v>
      </c>
      <c r="F40" s="1760"/>
      <c r="G40" s="1760"/>
      <c r="H40" s="1760"/>
      <c r="I40" s="1760"/>
      <c r="J40" s="1760"/>
      <c r="K40" s="1760"/>
      <c r="L40" s="1760"/>
      <c r="M40" s="1760"/>
      <c r="N40" s="1760"/>
      <c r="O40" s="1760"/>
      <c r="P40" s="1760"/>
      <c r="Q40" s="1760"/>
      <c r="R40" s="1760"/>
      <c r="S40" s="1760"/>
      <c r="T40" s="1760"/>
      <c r="W40" s="86"/>
      <c r="X40" s="14"/>
      <c r="Y40" s="14"/>
      <c r="Z40" s="1600"/>
      <c r="AA40" s="1761" t="s">
        <v>71</v>
      </c>
      <c r="AB40" s="1761"/>
      <c r="AC40" s="1761"/>
      <c r="AD40" s="1760" t="s">
        <v>3605</v>
      </c>
      <c r="AE40" s="1760"/>
      <c r="AF40" s="1760"/>
      <c r="AG40" s="1760"/>
      <c r="AH40" s="1760"/>
      <c r="AI40" s="1760"/>
      <c r="AJ40" s="1760"/>
      <c r="AK40" s="1760"/>
      <c r="AL40" s="1760"/>
      <c r="AM40" s="1760"/>
      <c r="AN40" s="1760"/>
      <c r="AO40" s="1760"/>
      <c r="AP40" s="1760"/>
      <c r="AQ40" s="1760"/>
      <c r="AR40" s="1760"/>
      <c r="AS40" s="1760"/>
    </row>
    <row r="41" spans="1:45" s="15" customFormat="1" ht="37.950000000000003" customHeight="1">
      <c r="A41" s="1600"/>
      <c r="B41" s="1761" t="s">
        <v>248</v>
      </c>
      <c r="C41" s="1761"/>
      <c r="D41" s="1761"/>
      <c r="E41" s="1760" t="s">
        <v>3606</v>
      </c>
      <c r="F41" s="1760"/>
      <c r="G41" s="1760"/>
      <c r="H41" s="1760"/>
      <c r="I41" s="1760"/>
      <c r="J41" s="1760"/>
      <c r="K41" s="1760"/>
      <c r="L41" s="1760"/>
      <c r="M41" s="1760"/>
      <c r="N41" s="1760"/>
      <c r="O41" s="1760"/>
      <c r="P41" s="1760"/>
      <c r="Q41" s="1760"/>
      <c r="R41" s="1760"/>
      <c r="S41" s="1760"/>
      <c r="T41" s="1760"/>
      <c r="W41" s="86"/>
      <c r="X41" s="14"/>
      <c r="Y41" s="14"/>
      <c r="Z41" s="1600"/>
      <c r="AA41" s="1761" t="s">
        <v>3707</v>
      </c>
      <c r="AB41" s="1761"/>
      <c r="AC41" s="1761"/>
      <c r="AD41" s="1760" t="s">
        <v>3606</v>
      </c>
      <c r="AE41" s="1760"/>
      <c r="AF41" s="1760"/>
      <c r="AG41" s="1760"/>
      <c r="AH41" s="1760"/>
      <c r="AI41" s="1760"/>
      <c r="AJ41" s="1760"/>
      <c r="AK41" s="1760"/>
      <c r="AL41" s="1760"/>
      <c r="AM41" s="1760"/>
      <c r="AN41" s="1760"/>
      <c r="AO41" s="1760"/>
      <c r="AP41" s="1760"/>
      <c r="AQ41" s="1760"/>
      <c r="AR41" s="1760"/>
      <c r="AS41" s="1760"/>
    </row>
    <row r="42" spans="1:45">
      <c r="D42" s="1801"/>
      <c r="E42" s="1801"/>
      <c r="F42" s="1801"/>
      <c r="G42" s="1801"/>
      <c r="H42" s="1801"/>
      <c r="I42" s="1801"/>
      <c r="J42" s="1801"/>
      <c r="K42" s="1801"/>
      <c r="L42" s="1801"/>
      <c r="M42" s="1801"/>
      <c r="N42" s="1801"/>
      <c r="O42" s="1801"/>
      <c r="P42" s="1801"/>
      <c r="Q42" s="1801"/>
      <c r="R42" s="1801"/>
      <c r="S42" s="1801"/>
      <c r="T42" s="1801"/>
      <c r="AC42" s="1801"/>
      <c r="AD42" s="1801"/>
      <c r="AE42" s="1801"/>
      <c r="AF42" s="1801"/>
      <c r="AG42" s="1801"/>
      <c r="AH42" s="1801"/>
      <c r="AI42" s="1801"/>
      <c r="AJ42" s="1801"/>
      <c r="AK42" s="1801"/>
      <c r="AL42" s="1801"/>
      <c r="AM42" s="1801"/>
      <c r="AN42" s="1801"/>
      <c r="AO42" s="1801"/>
      <c r="AP42" s="1801"/>
      <c r="AQ42" s="1801"/>
      <c r="AR42" s="1801"/>
      <c r="AS42" s="1801"/>
    </row>
    <row r="43" spans="1:45">
      <c r="D43" s="1801"/>
      <c r="E43" s="1801"/>
      <c r="F43" s="1801"/>
      <c r="G43" s="1801"/>
      <c r="H43" s="1801"/>
      <c r="I43" s="1801"/>
      <c r="J43" s="1801"/>
      <c r="K43" s="1801"/>
      <c r="L43" s="1801"/>
      <c r="M43" s="1801"/>
      <c r="N43" s="1801"/>
      <c r="O43" s="1801"/>
      <c r="P43" s="1801"/>
      <c r="Q43" s="1801"/>
      <c r="R43" s="1801"/>
      <c r="S43" s="1801"/>
      <c r="T43" s="1801"/>
      <c r="AC43" s="1801"/>
      <c r="AD43" s="1801"/>
      <c r="AE43" s="1801"/>
      <c r="AF43" s="1801"/>
      <c r="AG43" s="1801"/>
      <c r="AH43" s="1801"/>
      <c r="AI43" s="1801"/>
      <c r="AJ43" s="1801"/>
      <c r="AK43" s="1801"/>
      <c r="AL43" s="1801"/>
      <c r="AM43" s="1801"/>
      <c r="AN43" s="1801"/>
      <c r="AO43" s="1801"/>
      <c r="AP43" s="1801"/>
      <c r="AQ43" s="1801"/>
      <c r="AR43" s="1801"/>
      <c r="AS43" s="1801"/>
    </row>
    <row r="44" spans="1:45">
      <c r="D44" s="1801"/>
      <c r="E44" s="1801"/>
      <c r="F44" s="1801"/>
      <c r="G44" s="1801"/>
      <c r="H44" s="1801"/>
      <c r="I44" s="1801"/>
      <c r="J44" s="1801"/>
      <c r="K44" s="1801"/>
      <c r="L44" s="1801"/>
      <c r="M44" s="1801"/>
      <c r="N44" s="1801"/>
      <c r="O44" s="1801"/>
      <c r="P44" s="1801"/>
      <c r="Q44" s="1801"/>
      <c r="R44" s="1801"/>
      <c r="S44" s="1801"/>
      <c r="T44" s="1801"/>
      <c r="AC44" s="1801"/>
      <c r="AD44" s="1801"/>
      <c r="AE44" s="1801"/>
      <c r="AF44" s="1801"/>
      <c r="AG44" s="1801"/>
      <c r="AH44" s="1801"/>
      <c r="AI44" s="1801"/>
      <c r="AJ44" s="1801"/>
      <c r="AK44" s="1801"/>
      <c r="AL44" s="1801"/>
      <c r="AM44" s="1801"/>
      <c r="AN44" s="1801"/>
      <c r="AO44" s="1801"/>
      <c r="AP44" s="1801"/>
      <c r="AQ44" s="1801"/>
      <c r="AR44" s="1801"/>
      <c r="AS44" s="1801"/>
    </row>
    <row r="49" spans="4:22">
      <c r="D49" s="61">
        <v>1101</v>
      </c>
      <c r="F49" s="15" t="s">
        <v>167</v>
      </c>
      <c r="V49" s="86" t="s">
        <v>14</v>
      </c>
    </row>
    <row r="50" spans="4:22">
      <c r="D50" s="61">
        <v>1102</v>
      </c>
      <c r="F50" s="92" t="s">
        <v>168</v>
      </c>
      <c r="V50" s="86" t="s">
        <v>158</v>
      </c>
    </row>
    <row r="51" spans="4:22">
      <c r="D51" s="71">
        <v>1103</v>
      </c>
      <c r="F51" s="12" t="s">
        <v>169</v>
      </c>
      <c r="V51" s="86" t="s">
        <v>15</v>
      </c>
    </row>
    <row r="52" spans="4:22">
      <c r="D52" s="71">
        <v>1104</v>
      </c>
      <c r="F52" s="12" t="s">
        <v>170</v>
      </c>
      <c r="V52" s="86" t="s">
        <v>159</v>
      </c>
    </row>
    <row r="53" spans="4:22">
      <c r="D53" s="71">
        <v>1105</v>
      </c>
      <c r="E53" s="12"/>
      <c r="F53" s="12" t="s">
        <v>171</v>
      </c>
    </row>
    <row r="54" spans="4:22">
      <c r="D54" s="71">
        <v>1201</v>
      </c>
      <c r="E54" s="12"/>
      <c r="F54" s="12" t="s">
        <v>172</v>
      </c>
    </row>
    <row r="55" spans="4:22">
      <c r="D55" s="71">
        <v>1202</v>
      </c>
      <c r="E55" s="12"/>
      <c r="F55" s="12" t="s">
        <v>173</v>
      </c>
    </row>
    <row r="56" spans="4:22">
      <c r="D56" s="71">
        <v>1203</v>
      </c>
      <c r="E56" s="12"/>
      <c r="F56" s="12" t="s">
        <v>174</v>
      </c>
    </row>
    <row r="57" spans="4:22">
      <c r="D57" s="71">
        <v>1204</v>
      </c>
      <c r="E57" s="12"/>
      <c r="F57" s="12" t="s">
        <v>175</v>
      </c>
    </row>
    <row r="58" spans="4:22">
      <c r="D58" s="71">
        <v>1301</v>
      </c>
      <c r="E58" s="12"/>
      <c r="F58" s="12" t="s">
        <v>176</v>
      </c>
    </row>
    <row r="59" spans="4:22">
      <c r="D59" s="71">
        <v>1302</v>
      </c>
      <c r="E59" s="12"/>
      <c r="F59" s="12" t="s">
        <v>177</v>
      </c>
    </row>
    <row r="60" spans="4:22">
      <c r="D60" s="71">
        <v>1401</v>
      </c>
      <c r="E60" s="12"/>
      <c r="F60" s="12" t="s">
        <v>178</v>
      </c>
    </row>
    <row r="61" spans="4:22">
      <c r="D61" s="71">
        <v>1402</v>
      </c>
      <c r="E61" s="12"/>
      <c r="F61" s="12" t="s">
        <v>179</v>
      </c>
    </row>
    <row r="62" spans="4:22">
      <c r="D62" s="71">
        <v>1501</v>
      </c>
      <c r="E62" s="12"/>
      <c r="F62" s="12" t="s">
        <v>180</v>
      </c>
    </row>
    <row r="63" spans="4:22">
      <c r="D63" s="71">
        <v>1502</v>
      </c>
      <c r="E63" s="12"/>
      <c r="F63" s="12" t="s">
        <v>181</v>
      </c>
    </row>
    <row r="64" spans="4:22">
      <c r="D64" s="71">
        <v>1601</v>
      </c>
      <c r="E64" s="12"/>
      <c r="F64" s="12" t="s">
        <v>182</v>
      </c>
    </row>
    <row r="65" spans="4:6">
      <c r="D65" s="71">
        <v>1602</v>
      </c>
      <c r="E65" s="12"/>
      <c r="F65" s="12" t="s">
        <v>183</v>
      </c>
    </row>
    <row r="66" spans="4:6">
      <c r="D66" s="71">
        <v>1701</v>
      </c>
      <c r="E66" s="12"/>
      <c r="F66" s="12" t="s">
        <v>184</v>
      </c>
    </row>
    <row r="67" spans="4:6">
      <c r="D67" s="71">
        <v>1801</v>
      </c>
      <c r="E67" s="12"/>
      <c r="F67" s="12" t="s">
        <v>185</v>
      </c>
    </row>
    <row r="68" spans="4:6">
      <c r="D68" s="71">
        <v>1901</v>
      </c>
      <c r="E68" s="12"/>
      <c r="F68" s="12" t="s">
        <v>186</v>
      </c>
    </row>
    <row r="69" spans="4:6">
      <c r="D69" s="71">
        <v>3101</v>
      </c>
      <c r="E69" s="12"/>
      <c r="F69" s="12" t="s">
        <v>167</v>
      </c>
    </row>
    <row r="70" spans="4:6">
      <c r="D70" s="71">
        <v>3102</v>
      </c>
      <c r="E70" s="12"/>
      <c r="F70" s="12" t="s">
        <v>168</v>
      </c>
    </row>
    <row r="71" spans="4:6">
      <c r="D71" s="71">
        <v>3103</v>
      </c>
      <c r="E71" s="12"/>
      <c r="F71" s="12" t="s">
        <v>169</v>
      </c>
    </row>
    <row r="72" spans="4:6">
      <c r="D72" s="71">
        <v>3104</v>
      </c>
      <c r="E72" s="12"/>
      <c r="F72" s="12" t="s">
        <v>170</v>
      </c>
    </row>
    <row r="73" spans="4:6">
      <c r="D73" s="71">
        <v>3105</v>
      </c>
      <c r="E73" s="12"/>
      <c r="F73" s="12" t="s">
        <v>171</v>
      </c>
    </row>
    <row r="74" spans="4:6">
      <c r="D74" s="71">
        <v>3201</v>
      </c>
      <c r="E74" s="12"/>
      <c r="F74" s="12" t="s">
        <v>187</v>
      </c>
    </row>
    <row r="75" spans="4:6">
      <c r="D75" s="71">
        <v>3301</v>
      </c>
      <c r="E75" s="12"/>
      <c r="F75" s="12" t="s">
        <v>188</v>
      </c>
    </row>
    <row r="76" spans="4:6">
      <c r="D76" s="71">
        <v>3302</v>
      </c>
      <c r="E76" s="12"/>
      <c r="F76" s="12" t="s">
        <v>189</v>
      </c>
    </row>
    <row r="77" spans="4:6">
      <c r="D77" s="71">
        <v>3303</v>
      </c>
      <c r="E77" s="12"/>
      <c r="F77" s="12" t="s">
        <v>176</v>
      </c>
    </row>
    <row r="78" spans="4:6">
      <c r="D78" s="71">
        <v>3304</v>
      </c>
      <c r="E78" s="12"/>
      <c r="F78" s="12" t="s">
        <v>190</v>
      </c>
    </row>
    <row r="79" spans="4:6">
      <c r="D79" s="71">
        <v>3305</v>
      </c>
      <c r="E79" s="12"/>
      <c r="F79" s="12" t="s">
        <v>173</v>
      </c>
    </row>
    <row r="80" spans="4:6">
      <c r="D80" s="71">
        <v>3306</v>
      </c>
      <c r="E80" s="12"/>
      <c r="F80" s="12" t="s">
        <v>172</v>
      </c>
    </row>
    <row r="81" spans="4:44">
      <c r="D81" s="71">
        <v>3307</v>
      </c>
      <c r="E81" s="12"/>
      <c r="F81" s="12" t="s">
        <v>177</v>
      </c>
    </row>
    <row r="82" spans="4:44">
      <c r="D82" s="71">
        <v>3401</v>
      </c>
      <c r="E82" s="12"/>
      <c r="F82" s="12" t="s">
        <v>191</v>
      </c>
    </row>
    <row r="83" spans="4:44">
      <c r="D83" s="71">
        <v>3402</v>
      </c>
      <c r="E83" s="12"/>
      <c r="F83" s="12" t="s">
        <v>192</v>
      </c>
    </row>
    <row r="84" spans="4:44">
      <c r="D84" s="61">
        <v>3403</v>
      </c>
      <c r="F84" s="15" t="s">
        <v>193</v>
      </c>
    </row>
    <row r="85" spans="4:44">
      <c r="D85" s="61">
        <v>3501</v>
      </c>
      <c r="F85" s="15" t="s">
        <v>182</v>
      </c>
    </row>
    <row r="86" spans="4:44">
      <c r="D86" s="61">
        <v>3502</v>
      </c>
      <c r="F86" s="15" t="s">
        <v>183</v>
      </c>
    </row>
    <row r="87" spans="4:44">
      <c r="D87" s="61">
        <v>3601</v>
      </c>
      <c r="F87" s="15" t="s">
        <v>194</v>
      </c>
    </row>
    <row r="88" spans="4:44">
      <c r="D88" s="61">
        <v>3701</v>
      </c>
      <c r="F88" s="15" t="s">
        <v>195</v>
      </c>
    </row>
    <row r="89" spans="4:44">
      <c r="D89" s="61">
        <v>3702</v>
      </c>
      <c r="F89" s="15" t="s">
        <v>3633</v>
      </c>
      <c r="P89" s="141"/>
      <c r="Q89" s="141"/>
      <c r="R89" s="141"/>
      <c r="S89" s="140"/>
      <c r="AO89" s="141"/>
      <c r="AP89" s="141"/>
      <c r="AQ89" s="141"/>
      <c r="AR89" s="140"/>
    </row>
    <row r="90" spans="4:44">
      <c r="D90" s="61">
        <v>3703</v>
      </c>
      <c r="F90" s="15" t="s">
        <v>196</v>
      </c>
    </row>
    <row r="91" spans="4:44">
      <c r="D91" s="61">
        <v>3801</v>
      </c>
      <c r="F91" s="15" t="s">
        <v>175</v>
      </c>
    </row>
    <row r="92" spans="4:44">
      <c r="D92" s="71">
        <v>3802</v>
      </c>
      <c r="E92" s="12"/>
      <c r="F92" s="12" t="s">
        <v>197</v>
      </c>
    </row>
    <row r="93" spans="4:44">
      <c r="D93" s="71">
        <v>3803</v>
      </c>
      <c r="E93" s="12"/>
      <c r="F93" s="12" t="s">
        <v>198</v>
      </c>
    </row>
    <row r="94" spans="4:44">
      <c r="D94" s="71">
        <v>3804</v>
      </c>
      <c r="E94" s="12"/>
      <c r="F94" s="12" t="s">
        <v>199</v>
      </c>
    </row>
    <row r="95" spans="4:44">
      <c r="D95" s="71">
        <v>3805</v>
      </c>
      <c r="E95" s="12"/>
      <c r="F95" s="12" t="s">
        <v>200</v>
      </c>
    </row>
    <row r="96" spans="4:44">
      <c r="D96" s="71">
        <v>3806</v>
      </c>
      <c r="E96" s="12"/>
      <c r="F96" s="12" t="s">
        <v>201</v>
      </c>
    </row>
    <row r="97" spans="4:6">
      <c r="D97" s="71">
        <v>3807</v>
      </c>
      <c r="E97" s="12"/>
      <c r="F97" s="12" t="s">
        <v>202</v>
      </c>
    </row>
    <row r="98" spans="4:6">
      <c r="D98" s="71">
        <v>3808</v>
      </c>
      <c r="E98" s="12"/>
      <c r="F98" s="12" t="s">
        <v>203</v>
      </c>
    </row>
    <row r="99" spans="4:6">
      <c r="D99" s="71">
        <v>3809</v>
      </c>
      <c r="E99" s="12"/>
      <c r="F99" s="12" t="s">
        <v>178</v>
      </c>
    </row>
    <row r="100" spans="4:6">
      <c r="D100" s="71">
        <v>3810</v>
      </c>
      <c r="E100" s="12"/>
      <c r="F100" s="12" t="s">
        <v>184</v>
      </c>
    </row>
    <row r="101" spans="4:6">
      <c r="D101" s="71">
        <v>3811</v>
      </c>
      <c r="E101" s="12"/>
      <c r="F101" s="12" t="s">
        <v>179</v>
      </c>
    </row>
    <row r="102" spans="4:6">
      <c r="D102" s="71">
        <v>3901</v>
      </c>
      <c r="E102" s="12"/>
      <c r="F102" s="12" t="s">
        <v>186</v>
      </c>
    </row>
    <row r="103" spans="4:6">
      <c r="D103" s="71">
        <v>9999</v>
      </c>
      <c r="E103" s="12"/>
      <c r="F103" s="12" t="s">
        <v>247</v>
      </c>
    </row>
  </sheetData>
  <sheetProtection password="E7B8" sheet="1" formatCells="0"/>
  <mergeCells count="263">
    <mergeCell ref="AA40:AC40"/>
    <mergeCell ref="AD40:AS40"/>
    <mergeCell ref="AC44:AS44"/>
    <mergeCell ref="AA41:AC41"/>
    <mergeCell ref="AD41:AS41"/>
    <mergeCell ref="AC42:AS42"/>
    <mergeCell ref="AC43:AS43"/>
    <mergeCell ref="AA35:AS35"/>
    <mergeCell ref="AA36:AC36"/>
    <mergeCell ref="AD36:AS36"/>
    <mergeCell ref="AA37:AC37"/>
    <mergeCell ref="AD37:AS37"/>
    <mergeCell ref="AA38:AC38"/>
    <mergeCell ref="AD38:AS38"/>
    <mergeCell ref="AA39:AC39"/>
    <mergeCell ref="AD39:AS39"/>
    <mergeCell ref="AB31:AB32"/>
    <mergeCell ref="AC31:AD32"/>
    <mergeCell ref="AE31:AG32"/>
    <mergeCell ref="AH31:AM32"/>
    <mergeCell ref="AN31:AO31"/>
    <mergeCell ref="AP31:AS32"/>
    <mergeCell ref="AN32:AO32"/>
    <mergeCell ref="AB33:AB34"/>
    <mergeCell ref="AC33:AD34"/>
    <mergeCell ref="AE33:AG34"/>
    <mergeCell ref="AH33:AM34"/>
    <mergeCell ref="AN33:AO33"/>
    <mergeCell ref="AP33:AS34"/>
    <mergeCell ref="AN34:AO34"/>
    <mergeCell ref="AB27:AB28"/>
    <mergeCell ref="AC27:AD28"/>
    <mergeCell ref="AE27:AG28"/>
    <mergeCell ref="AH27:AM28"/>
    <mergeCell ref="AN27:AO27"/>
    <mergeCell ref="AP27:AS28"/>
    <mergeCell ref="AN28:AO28"/>
    <mergeCell ref="AB29:AB30"/>
    <mergeCell ref="AC29:AD30"/>
    <mergeCell ref="AE29:AG30"/>
    <mergeCell ref="AH29:AM30"/>
    <mergeCell ref="AN29:AO29"/>
    <mergeCell ref="AP29:AS30"/>
    <mergeCell ref="AN30:AO30"/>
    <mergeCell ref="AB23:AB24"/>
    <mergeCell ref="AC23:AD24"/>
    <mergeCell ref="AE23:AG24"/>
    <mergeCell ref="AH23:AM24"/>
    <mergeCell ref="AN23:AO23"/>
    <mergeCell ref="AP23:AS24"/>
    <mergeCell ref="AN24:AO24"/>
    <mergeCell ref="AB25:AB26"/>
    <mergeCell ref="AC25:AD26"/>
    <mergeCell ref="AE25:AG26"/>
    <mergeCell ref="AH25:AM26"/>
    <mergeCell ref="AN25:AO25"/>
    <mergeCell ref="AP25:AS26"/>
    <mergeCell ref="AN26:AO26"/>
    <mergeCell ref="AB19:AB20"/>
    <mergeCell ref="AC19:AD20"/>
    <mergeCell ref="AE19:AG20"/>
    <mergeCell ref="AH19:AM20"/>
    <mergeCell ref="AN19:AO19"/>
    <mergeCell ref="AP19:AS20"/>
    <mergeCell ref="AN20:AO20"/>
    <mergeCell ref="AB21:AB22"/>
    <mergeCell ref="AC21:AD22"/>
    <mergeCell ref="AE21:AG22"/>
    <mergeCell ref="AH21:AM22"/>
    <mergeCell ref="AN21:AO21"/>
    <mergeCell ref="AP21:AS22"/>
    <mergeCell ref="AN22:AO22"/>
    <mergeCell ref="AB15:AB16"/>
    <mergeCell ref="AC15:AD16"/>
    <mergeCell ref="AE15:AG16"/>
    <mergeCell ref="AH15:AM16"/>
    <mergeCell ref="AN15:AO15"/>
    <mergeCell ref="AP15:AS16"/>
    <mergeCell ref="AN16:AO16"/>
    <mergeCell ref="AB17:AB18"/>
    <mergeCell ref="AC17:AD18"/>
    <mergeCell ref="AE17:AG18"/>
    <mergeCell ref="AH17:AM18"/>
    <mergeCell ref="AN17:AO17"/>
    <mergeCell ref="AP17:AS18"/>
    <mergeCell ref="AN18:AO18"/>
    <mergeCell ref="AB11:AB12"/>
    <mergeCell ref="AC11:AD12"/>
    <mergeCell ref="AE11:AG12"/>
    <mergeCell ref="AH11:AM12"/>
    <mergeCell ref="AN11:AO11"/>
    <mergeCell ref="AP11:AS12"/>
    <mergeCell ref="AN12:AO12"/>
    <mergeCell ref="AB13:AB14"/>
    <mergeCell ref="AC13:AD14"/>
    <mergeCell ref="AE13:AG14"/>
    <mergeCell ref="AH13:AM14"/>
    <mergeCell ref="AN13:AO13"/>
    <mergeCell ref="AP13:AS14"/>
    <mergeCell ref="AN14:AO14"/>
    <mergeCell ref="AC7:AD8"/>
    <mergeCell ref="AE7:AG8"/>
    <mergeCell ref="AH7:AM8"/>
    <mergeCell ref="AN7:AO7"/>
    <mergeCell ref="AP7:AS8"/>
    <mergeCell ref="AN8:AO8"/>
    <mergeCell ref="AB9:AB10"/>
    <mergeCell ref="AC9:AD10"/>
    <mergeCell ref="AE9:AG10"/>
    <mergeCell ref="AH9:AM10"/>
    <mergeCell ref="AN9:AO9"/>
    <mergeCell ref="AP9:AS10"/>
    <mergeCell ref="AN10:AO10"/>
    <mergeCell ref="D44:T44"/>
    <mergeCell ref="B41:D41"/>
    <mergeCell ref="E41:T41"/>
    <mergeCell ref="Z1:AS1"/>
    <mergeCell ref="Z2:Z41"/>
    <mergeCell ref="AA2:AS2"/>
    <mergeCell ref="AA3:AA34"/>
    <mergeCell ref="AB3:AB4"/>
    <mergeCell ref="AC3:AG3"/>
    <mergeCell ref="AH3:AM4"/>
    <mergeCell ref="AN3:AO4"/>
    <mergeCell ref="AP3:AS4"/>
    <mergeCell ref="AC4:AD4"/>
    <mergeCell ref="AE4:AG4"/>
    <mergeCell ref="AB5:AB6"/>
    <mergeCell ref="AC5:AD6"/>
    <mergeCell ref="AE5:AG6"/>
    <mergeCell ref="AH5:AM6"/>
    <mergeCell ref="AN5:AO5"/>
    <mergeCell ref="AP5:AS6"/>
    <mergeCell ref="AN6:AO6"/>
    <mergeCell ref="AB7:AB8"/>
    <mergeCell ref="E36:T36"/>
    <mergeCell ref="D42:T42"/>
    <mergeCell ref="D43:T43"/>
    <mergeCell ref="F27:H28"/>
    <mergeCell ref="Q13:T14"/>
    <mergeCell ref="C3:C4"/>
    <mergeCell ref="D3:H3"/>
    <mergeCell ref="C5:C6"/>
    <mergeCell ref="D5:E6"/>
    <mergeCell ref="F5:H6"/>
    <mergeCell ref="D4:E4"/>
    <mergeCell ref="Q3:T4"/>
    <mergeCell ref="O26:P26"/>
    <mergeCell ref="Q15:T16"/>
    <mergeCell ref="Q17:T18"/>
    <mergeCell ref="Q19:T20"/>
    <mergeCell ref="Q21:T22"/>
    <mergeCell ref="O19:P19"/>
    <mergeCell ref="O15:P15"/>
    <mergeCell ref="O16:P16"/>
    <mergeCell ref="Q23:T24"/>
    <mergeCell ref="O14:P14"/>
    <mergeCell ref="O12:P12"/>
    <mergeCell ref="O13:P13"/>
    <mergeCell ref="O23:P23"/>
    <mergeCell ref="O24:P24"/>
    <mergeCell ref="Q5:T6"/>
    <mergeCell ref="Q7:T8"/>
    <mergeCell ref="O7:P7"/>
    <mergeCell ref="O8:P8"/>
    <mergeCell ref="Q9:T10"/>
    <mergeCell ref="Q11:T12"/>
    <mergeCell ref="O9:P9"/>
    <mergeCell ref="O10:P10"/>
    <mergeCell ref="O11:P11"/>
    <mergeCell ref="O33:P33"/>
    <mergeCell ref="O34:P34"/>
    <mergeCell ref="F33:H34"/>
    <mergeCell ref="O29:P29"/>
    <mergeCell ref="O30:P30"/>
    <mergeCell ref="O5:P5"/>
    <mergeCell ref="O6:P6"/>
    <mergeCell ref="O3:P4"/>
    <mergeCell ref="F7:H8"/>
    <mergeCell ref="O21:P21"/>
    <mergeCell ref="O22:P22"/>
    <mergeCell ref="I19:N20"/>
    <mergeCell ref="I15:N16"/>
    <mergeCell ref="I17:N18"/>
    <mergeCell ref="I21:N22"/>
    <mergeCell ref="F21:H22"/>
    <mergeCell ref="O32:P32"/>
    <mergeCell ref="F31:H32"/>
    <mergeCell ref="I3:N4"/>
    <mergeCell ref="I5:N6"/>
    <mergeCell ref="I7:N8"/>
    <mergeCell ref="F4:H4"/>
    <mergeCell ref="O20:P20"/>
    <mergeCell ref="D33:E34"/>
    <mergeCell ref="E39:T39"/>
    <mergeCell ref="E38:T38"/>
    <mergeCell ref="E37:T37"/>
    <mergeCell ref="O28:P28"/>
    <mergeCell ref="B40:D40"/>
    <mergeCell ref="B39:D39"/>
    <mergeCell ref="B38:D38"/>
    <mergeCell ref="F9:H10"/>
    <mergeCell ref="C33:C34"/>
    <mergeCell ref="C31:C32"/>
    <mergeCell ref="C29:C30"/>
    <mergeCell ref="C27:C28"/>
    <mergeCell ref="C25:C26"/>
    <mergeCell ref="C19:C20"/>
    <mergeCell ref="C17:C18"/>
    <mergeCell ref="C11:C12"/>
    <mergeCell ref="F17:H18"/>
    <mergeCell ref="B35:T35"/>
    <mergeCell ref="Q31:T32"/>
    <mergeCell ref="Q33:T34"/>
    <mergeCell ref="I31:N32"/>
    <mergeCell ref="F13:H14"/>
    <mergeCell ref="D17:E18"/>
    <mergeCell ref="Q25:T26"/>
    <mergeCell ref="O25:P25"/>
    <mergeCell ref="Q27:T28"/>
    <mergeCell ref="Q29:T30"/>
    <mergeCell ref="C9:C10"/>
    <mergeCell ref="C15:C16"/>
    <mergeCell ref="F15:H16"/>
    <mergeCell ref="D15:E16"/>
    <mergeCell ref="I27:N28"/>
    <mergeCell ref="D19:E20"/>
    <mergeCell ref="D25:E26"/>
    <mergeCell ref="D27:E28"/>
    <mergeCell ref="D29:E30"/>
    <mergeCell ref="O27:P27"/>
    <mergeCell ref="I11:N12"/>
    <mergeCell ref="I13:N14"/>
    <mergeCell ref="C13:C14"/>
    <mergeCell ref="C23:C24"/>
    <mergeCell ref="C21:C22"/>
    <mergeCell ref="I23:N24"/>
    <mergeCell ref="I9:N10"/>
    <mergeCell ref="F11:H12"/>
    <mergeCell ref="D31:E32"/>
    <mergeCell ref="C7:C8"/>
    <mergeCell ref="A2:A41"/>
    <mergeCell ref="B3:B34"/>
    <mergeCell ref="D7:E8"/>
    <mergeCell ref="D9:E10"/>
    <mergeCell ref="D21:E22"/>
    <mergeCell ref="D23:E24"/>
    <mergeCell ref="D11:E12"/>
    <mergeCell ref="D13:E14"/>
    <mergeCell ref="E40:T40"/>
    <mergeCell ref="B37:D37"/>
    <mergeCell ref="B36:D36"/>
    <mergeCell ref="O18:P18"/>
    <mergeCell ref="I25:N26"/>
    <mergeCell ref="F23:H24"/>
    <mergeCell ref="F25:H26"/>
    <mergeCell ref="F19:H20"/>
    <mergeCell ref="I29:N30"/>
    <mergeCell ref="I33:N34"/>
    <mergeCell ref="O31:P31"/>
    <mergeCell ref="F29:H30"/>
    <mergeCell ref="B2:T2"/>
    <mergeCell ref="O17:P17"/>
  </mergeCells>
  <phoneticPr fontId="3"/>
  <conditionalFormatting sqref="Q5:T6">
    <cfRule type="expression" dxfId="16" priority="82">
      <formula>AND($O6="■未実施",$Q5="")</formula>
    </cfRule>
  </conditionalFormatting>
  <conditionalFormatting sqref="O21 O22">
    <cfRule type="expression" dxfId="15" priority="31">
      <formula>COUNTIF($V$21:$V$22,"NG")&gt;0</formula>
    </cfRule>
  </conditionalFormatting>
  <conditionalFormatting sqref="O23 O24">
    <cfRule type="expression" dxfId="14" priority="30">
      <formula>COUNTIF($V$23:$V$24,"NG")&gt;0</formula>
    </cfRule>
  </conditionalFormatting>
  <conditionalFormatting sqref="O25 O26">
    <cfRule type="expression" dxfId="13" priority="29">
      <formula>COUNTIF($V$25:$V$26,"NG")&gt;0</formula>
    </cfRule>
  </conditionalFormatting>
  <conditionalFormatting sqref="O27 O28">
    <cfRule type="expression" dxfId="12" priority="28">
      <formula>COUNTIF($V$27:$V$28,"NG")&gt;0</formula>
    </cfRule>
  </conditionalFormatting>
  <conditionalFormatting sqref="O29 O30">
    <cfRule type="expression" dxfId="11" priority="27">
      <formula>COUNTIF($V$29:$V$30,"NG")&gt;0</formula>
    </cfRule>
  </conditionalFormatting>
  <conditionalFormatting sqref="O31 O32">
    <cfRule type="expression" dxfId="10" priority="26">
      <formula>COUNTIF($V$31:$V$32,"NG")&gt;0</formula>
    </cfRule>
  </conditionalFormatting>
  <conditionalFormatting sqref="O33 O34">
    <cfRule type="expression" dxfId="9" priority="25">
      <formula>COUNTIF($V$33:$V$34,"NG")&gt;0</formula>
    </cfRule>
  </conditionalFormatting>
  <conditionalFormatting sqref="Q7:T34">
    <cfRule type="expression" dxfId="8" priority="24">
      <formula>AND($O8="■未実施",$Q7="")</formula>
    </cfRule>
  </conditionalFormatting>
  <conditionalFormatting sqref="O19 O20">
    <cfRule type="expression" dxfId="7" priority="21">
      <formula>COUNTIF($V$19:$V$20,"NG")&gt;0</formula>
    </cfRule>
  </conditionalFormatting>
  <conditionalFormatting sqref="O17 O18">
    <cfRule type="expression" dxfId="6" priority="20">
      <formula>COUNTIF($V$17:$V$18,"NG")&gt;0</formula>
    </cfRule>
  </conditionalFormatting>
  <conditionalFormatting sqref="O15 O16">
    <cfRule type="expression" dxfId="5" priority="19">
      <formula>COUNTIF($V$15:$V$16,"NG")&gt;0</formula>
    </cfRule>
  </conditionalFormatting>
  <conditionalFormatting sqref="O13 O14">
    <cfRule type="expression" dxfId="4" priority="18">
      <formula>COUNTIF($V$13:$V$14,"NG")&gt;0</formula>
    </cfRule>
  </conditionalFormatting>
  <conditionalFormatting sqref="O11 O12">
    <cfRule type="expression" dxfId="3" priority="17">
      <formula>COUNTIF($V$11:$V$12,"NG")&gt;0</formula>
    </cfRule>
  </conditionalFormatting>
  <conditionalFormatting sqref="O9 O10">
    <cfRule type="expression" dxfId="2" priority="16">
      <formula>COUNTIF($V$9:$V$10,"NG")&gt;0</formula>
    </cfRule>
  </conditionalFormatting>
  <conditionalFormatting sqref="O7 O8">
    <cfRule type="expression" dxfId="1" priority="15">
      <formula>COUNTIF($V$7:$V$8,"NG")&gt;0</formula>
    </cfRule>
  </conditionalFormatting>
  <conditionalFormatting sqref="O5 O6">
    <cfRule type="expression" dxfId="0" priority="14">
      <formula>COUNTIF($V$5:$V$6,"NG")&gt;0</formula>
    </cfRule>
  </conditionalFormatting>
  <dataValidations count="4">
    <dataValidation allowBlank="1" showInputMessage="1" showErrorMessage="1" prompt="計画書に記載した削減対策を実施しなかった場合、その理由を簡潔に記入してください。40文字まで入力できます。" sqref="AQ5:AS34"/>
    <dataValidation type="list" allowBlank="1" showInputMessage="1" showErrorMessage="1" sqref="D5:E34">
      <formula1>$D$49:$D$103</formula1>
    </dataValidation>
    <dataValidation type="list" allowBlank="1" showInputMessage="1" showErrorMessage="1" promptTitle="プルダウン選択" prompt="該当する場合に■を選択してください。" sqref="O33:P33 O9:P9 O31:P31 O13:P13 O15:P15 O17:P17 O19:P19 O29:P29 O21:P21 O23:P23 O25:P25 O27:P27 O11:P11 O7:P7 O5:P5">
      <formula1>$V$49:$V$50</formula1>
    </dataValidation>
    <dataValidation type="list" allowBlank="1" showInputMessage="1" showErrorMessage="1" promptTitle="プルダウン選択" prompt="該当する場合に■を選択してください。" sqref="O28:P28 O22:P22 O20:P20 O18:P18 O16:P16 O14:P14 O12:P12 O10:P10 O24:P24 O8:P8 O30:P30 O26:P26 O34:P34 O6:P6 O32:P32">
      <formula1>$V$51:$V$52</formula1>
    </dataValidation>
  </dataValidations>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160020</xdr:colOff>
                    <xdr:row>8</xdr:row>
                    <xdr:rowOff>68580</xdr:rowOff>
                  </from>
                  <to>
                    <xdr:col>20</xdr:col>
                    <xdr:colOff>541020</xdr:colOff>
                    <xdr:row>9</xdr:row>
                    <xdr:rowOff>144780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175260</xdr:colOff>
                    <xdr:row>15</xdr:row>
                    <xdr:rowOff>106680</xdr:rowOff>
                  </from>
                  <to>
                    <xdr:col>20</xdr:col>
                    <xdr:colOff>556260</xdr:colOff>
                    <xdr:row>16</xdr:row>
                    <xdr:rowOff>198120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167640</xdr:colOff>
                    <xdr:row>18</xdr:row>
                    <xdr:rowOff>99060</xdr:rowOff>
                  </from>
                  <to>
                    <xdr:col>20</xdr:col>
                    <xdr:colOff>548640</xdr:colOff>
                    <xdr:row>19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6.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4037</v>
      </c>
      <c r="C1" s="787"/>
      <c r="D1" s="787"/>
      <c r="E1" s="787"/>
      <c r="F1" s="787"/>
      <c r="G1" s="788"/>
      <c r="H1" s="789" t="s">
        <v>4380</v>
      </c>
      <c r="J1" s="708" t="s">
        <v>4586</v>
      </c>
      <c r="K1" s="709"/>
      <c r="L1" s="790"/>
      <c r="M1" s="708" t="s">
        <v>4587</v>
      </c>
      <c r="N1" s="788"/>
      <c r="O1" s="709"/>
      <c r="P1" s="708" t="s">
        <v>4588</v>
      </c>
      <c r="Q1" s="791"/>
      <c r="R1" s="708" t="s">
        <v>4589</v>
      </c>
      <c r="S1" s="790"/>
      <c r="T1" s="709"/>
      <c r="U1" s="708" t="s">
        <v>4590</v>
      </c>
      <c r="V1" s="790"/>
      <c r="AB1" s="786" t="str">
        <f ca="1">IFERROR(OFFSET(A1_原単位2024,7,AE3+2),"")</f>
        <v/>
      </c>
      <c r="AC1" s="786" t="str">
        <f ca="1">IFERROR(OFFSET(A1_原単位2025,7,AE3+2),"")</f>
        <v/>
      </c>
      <c r="AD1" s="786" t="str">
        <f ca="1">IFERROR(OFFSET(A1_原単位2026,7,AE3+2),"")</f>
        <v/>
      </c>
      <c r="AE1" s="786" t="str">
        <f ca="1">IFERROR(OFFSET(A1_原単位2027,7,AE3+2),"")</f>
        <v/>
      </c>
      <c r="AF1" s="786" t="str">
        <f ca="1">IFERROR(OFFSET(A1_原単位2024,7,AI3+2),"")</f>
        <v/>
      </c>
      <c r="AG1" s="786" t="str">
        <f ca="1">IFERROR(OFFSET(A1_原単位2025,7,AI3+2),"")</f>
        <v/>
      </c>
      <c r="AH1" s="786" t="str">
        <f ca="1">IFERROR(OFFSET(A1_原単位2026,7,AI3+2),"")</f>
        <v/>
      </c>
      <c r="AI1" s="786" t="str">
        <f ca="1">IFERROR(OFFSET(A1_原単位2027,7,AI3+2),"")</f>
        <v/>
      </c>
      <c r="AJ1" s="786" t="str">
        <f ca="1">IFERROR(OFFSET(A1_原単位2024,7,AM3+2),"")</f>
        <v/>
      </c>
      <c r="AK1" s="786" t="str">
        <f ca="1">IFERROR(OFFSET(A1_原単位2025,7,AM3+2),"")</f>
        <v/>
      </c>
      <c r="AL1" s="786" t="str">
        <f ca="1">IFERROR(OFFSET(A1_原単位2026,7,AM3+2),"")</f>
        <v/>
      </c>
      <c r="AM1" s="786" t="str">
        <f ca="1">IFERROR(OFFSET(A1_原単位2027,7,AM3+2),"")</f>
        <v/>
      </c>
      <c r="AN1" s="786" t="str">
        <f ca="1">IFERROR(OFFSET(A1_原単位2024,7,AQ3+2),"")</f>
        <v/>
      </c>
      <c r="AO1" s="786" t="str">
        <f ca="1">IFERROR(OFFSET(A1_原単位2025,7,AQ3+2),"")</f>
        <v/>
      </c>
      <c r="AP1" s="786" t="str">
        <f ca="1">IFERROR(OFFSET(A1_原単位2026,7,AQ3+2),"")</f>
        <v/>
      </c>
      <c r="AQ1" s="786" t="str">
        <f ca="1">IFERROR(OFFSET(A1_原単位2027,7,AQ3+2),"")</f>
        <v/>
      </c>
      <c r="AR1" s="786" t="str">
        <f ca="1">IFERROR(OFFSET(A1_原単位2024,7,AU3+2),"")</f>
        <v/>
      </c>
      <c r="AS1" s="786" t="str">
        <f ca="1">IFERROR(OFFSET(A1_原単位2025,7,AU3+2),"")</f>
        <v/>
      </c>
      <c r="AT1" s="786" t="str">
        <f ca="1">IFERROR(OFFSET(A1_原単位2026,7,AU3+2),"")</f>
        <v/>
      </c>
      <c r="AU1" s="786" t="str">
        <f ca="1">IFERROR(OFFSET(A1_原単位2027,7,AU3+2),"")</f>
        <v/>
      </c>
      <c r="AV1" s="786" t="str">
        <f ca="1">IFERROR(OFFSET(A1_原単位2024,7,AY3+2),"")</f>
        <v/>
      </c>
      <c r="AW1" s="786" t="str">
        <f ca="1">IFERROR(OFFSET(A1_原単位2025,7,AY3+2),"")</f>
        <v/>
      </c>
      <c r="AX1" s="786" t="str">
        <f ca="1">IFERROR(OFFSET(A1_原単位2026,7,AY3+2),"")</f>
        <v/>
      </c>
      <c r="AY1" s="786" t="str">
        <f ca="1">IFERROR(OFFSET(A1_原単位2027,7,AY3+2),"")</f>
        <v/>
      </c>
      <c r="AZ1" s="786" t="str">
        <f ca="1">IFERROR(OFFSET(A1_原単位2024,7,BC3+2),"")</f>
        <v/>
      </c>
      <c r="BA1" s="786" t="str">
        <f ca="1">IFERROR(OFFSET(A1_原単位2025,7,BC3+2),"")</f>
        <v/>
      </c>
      <c r="BB1" s="786" t="str">
        <f ca="1">IFERROR(OFFSET(A1_原単位2026,7,BC3+2),"")</f>
        <v/>
      </c>
      <c r="BC1" s="786" t="str">
        <f ca="1">IFERROR(OFFSET(A1_原単位2027,7,BC3+2),"")</f>
        <v/>
      </c>
      <c r="BD1" s="786" t="str">
        <f ca="1">IFERROR(OFFSET(A1_原単位2024,7,BG3+2),"")</f>
        <v/>
      </c>
      <c r="BE1" s="786" t="str">
        <f ca="1">IFERROR(OFFSET(A1_原単位2025,7,BG3+2),"")</f>
        <v/>
      </c>
      <c r="BF1" s="786" t="str">
        <f ca="1">IFERROR(OFFSET(A1_原単位2026,7,BG3+2),"")</f>
        <v/>
      </c>
      <c r="BG1" s="786" t="str">
        <f ca="1">IFERROR(OFFSET(A1_原単位2027,7,BG3+2),"")</f>
        <v/>
      </c>
      <c r="BH1" s="786" t="str">
        <f ca="1">IFERROR(OFFSET(A1_原単位2024,7,BK3+2),"")</f>
        <v/>
      </c>
      <c r="BI1" s="786" t="str">
        <f ca="1">IFERROR(OFFSET(A1_原単位2025,7,BK3+2),"")</f>
        <v/>
      </c>
      <c r="BJ1" s="786" t="str">
        <f ca="1">IFERROR(OFFSET(A1_原単位2026,7,BK3+2),"")</f>
        <v/>
      </c>
      <c r="BK1" s="786" t="str">
        <f ca="1">IFERROR(OFFSET(A1_原単位2027,7,BK3+2),"")</f>
        <v/>
      </c>
      <c r="BL1" s="786" t="str">
        <f ca="1">IFERROR(OFFSET(A1_原単位2024,7,BO3+2),"")</f>
        <v/>
      </c>
      <c r="BM1" s="786" t="str">
        <f ca="1">IFERROR(OFFSET(A1_原単位2025,7,BO3+2),"")</f>
        <v/>
      </c>
      <c r="BN1" s="786" t="str">
        <f ca="1">IFERROR(OFFSET(A1_原単位2026,7,BO3+2),"")</f>
        <v/>
      </c>
      <c r="BO1" s="786" t="str">
        <f ca="1">IFERROR(OFFSET(A1_原単位2027,7,BO3+2),"")</f>
        <v/>
      </c>
    </row>
    <row r="2" spans="1:68" ht="20.100000000000001" customHeight="1">
      <c r="B2" s="792"/>
      <c r="C2" s="793" t="s">
        <v>4381</v>
      </c>
      <c r="D2" s="1860" t="str">
        <f ca="1">OFFSET(A1_基礎情報集計,3,5)</f>
        <v/>
      </c>
      <c r="E2" s="1861"/>
      <c r="F2" s="789"/>
      <c r="H2" s="1862" t="s">
        <v>4591</v>
      </c>
      <c r="I2" s="1863"/>
      <c r="J2" s="1863"/>
      <c r="K2" s="1864"/>
      <c r="L2" s="1865" t="s">
        <v>4678</v>
      </c>
      <c r="M2" s="1863"/>
      <c r="N2" s="1863"/>
      <c r="O2" s="1863"/>
      <c r="P2" s="1862" t="s">
        <v>4382</v>
      </c>
      <c r="Q2" s="1863"/>
      <c r="R2" s="1863"/>
      <c r="S2" s="1864"/>
      <c r="T2" s="1862" t="s">
        <v>4383</v>
      </c>
      <c r="U2" s="1863"/>
      <c r="V2" s="1863"/>
      <c r="W2" s="186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860" t="str">
        <f ca="1">OFFSET(A1_基礎情報集計,13,5)</f>
        <v/>
      </c>
      <c r="E3" s="1861"/>
      <c r="H3" s="798"/>
      <c r="I3" s="799"/>
      <c r="J3" s="800"/>
      <c r="K3" s="801"/>
      <c r="L3" s="802"/>
      <c r="M3" s="803"/>
      <c r="N3" s="803"/>
      <c r="O3" s="804"/>
      <c r="P3" s="798"/>
      <c r="Q3" s="799"/>
      <c r="R3" s="800"/>
      <c r="S3" s="801"/>
      <c r="T3" s="1866"/>
      <c r="U3" s="1867"/>
      <c r="V3" s="1867"/>
      <c r="W3" s="1868"/>
      <c r="X3" s="1866" t="s">
        <v>4385</v>
      </c>
      <c r="Y3" s="1867"/>
      <c r="Z3" s="1867"/>
      <c r="AA3" s="1868"/>
      <c r="AB3" s="1858" t="s">
        <v>4592</v>
      </c>
      <c r="AC3" s="1859"/>
      <c r="AD3" s="1859"/>
      <c r="AE3" s="805">
        <v>1</v>
      </c>
      <c r="AF3" s="1858" t="s">
        <v>4592</v>
      </c>
      <c r="AG3" s="1859"/>
      <c r="AH3" s="1859"/>
      <c r="AI3" s="805">
        <v>2</v>
      </c>
      <c r="AJ3" s="1858" t="s">
        <v>4592</v>
      </c>
      <c r="AK3" s="1859"/>
      <c r="AL3" s="1859"/>
      <c r="AM3" s="805">
        <v>3</v>
      </c>
      <c r="AN3" s="1858" t="s">
        <v>4592</v>
      </c>
      <c r="AO3" s="1859"/>
      <c r="AP3" s="1859"/>
      <c r="AQ3" s="805">
        <v>4</v>
      </c>
      <c r="AR3" s="1858" t="s">
        <v>4592</v>
      </c>
      <c r="AS3" s="1859"/>
      <c r="AT3" s="1859"/>
      <c r="AU3" s="805">
        <v>5</v>
      </c>
      <c r="AV3" s="1858" t="s">
        <v>4592</v>
      </c>
      <c r="AW3" s="1859"/>
      <c r="AX3" s="1859"/>
      <c r="AY3" s="805">
        <v>6</v>
      </c>
      <c r="AZ3" s="1858" t="s">
        <v>4592</v>
      </c>
      <c r="BA3" s="1859"/>
      <c r="BB3" s="1859"/>
      <c r="BC3" s="805">
        <v>7</v>
      </c>
      <c r="BD3" s="1858" t="s">
        <v>4592</v>
      </c>
      <c r="BE3" s="1859"/>
      <c r="BF3" s="1859"/>
      <c r="BG3" s="805">
        <v>8</v>
      </c>
      <c r="BH3" s="1858" t="s">
        <v>4592</v>
      </c>
      <c r="BI3" s="1859"/>
      <c r="BJ3" s="1859"/>
      <c r="BK3" s="805">
        <v>9</v>
      </c>
      <c r="BL3" s="1858" t="s">
        <v>4592</v>
      </c>
      <c r="BM3" s="1859"/>
      <c r="BN3" s="1859"/>
      <c r="BO3" s="805">
        <v>10</v>
      </c>
    </row>
    <row r="4" spans="1:68" ht="20.100000000000001" customHeight="1">
      <c r="C4" s="793" t="s">
        <v>4386</v>
      </c>
      <c r="D4" s="1877" t="str">
        <f ca="1">OFFSET(A1_基礎情報集計,15,5)</f>
        <v/>
      </c>
      <c r="E4" s="1878"/>
      <c r="F4" s="793"/>
      <c r="H4" s="798"/>
      <c r="I4" s="799"/>
      <c r="J4" s="800"/>
      <c r="K4" s="801"/>
      <c r="L4" s="1879"/>
      <c r="M4" s="1880"/>
      <c r="N4" s="1880"/>
      <c r="O4" s="1881"/>
      <c r="P4" s="798"/>
      <c r="Q4" s="799"/>
      <c r="R4" s="800"/>
      <c r="S4" s="801"/>
      <c r="T4" s="1879"/>
      <c r="U4" s="1880"/>
      <c r="V4" s="1880"/>
      <c r="W4" s="1881"/>
      <c r="X4" s="1866"/>
      <c r="Y4" s="1867"/>
      <c r="Z4" s="1867"/>
      <c r="AA4" s="1868"/>
      <c r="AB4" s="806" t="s">
        <v>4387</v>
      </c>
      <c r="AC4" s="1874" t="str">
        <f ca="1">OFFSET(A1_原単位2027,52,AE3+2)</f>
        <v/>
      </c>
      <c r="AD4" s="1875"/>
      <c r="AE4" s="1876"/>
      <c r="AF4" s="806" t="s">
        <v>4387</v>
      </c>
      <c r="AG4" s="1874" t="str">
        <f ca="1">OFFSET(A1_原単位2027,52,AI3+2)</f>
        <v/>
      </c>
      <c r="AH4" s="1875"/>
      <c r="AI4" s="1876"/>
      <c r="AJ4" s="806" t="s">
        <v>4387</v>
      </c>
      <c r="AK4" s="1874" t="str">
        <f ca="1">OFFSET(A1_原単位2027,52,AM3+2)</f>
        <v/>
      </c>
      <c r="AL4" s="1875"/>
      <c r="AM4" s="1876"/>
      <c r="AN4" s="806" t="s">
        <v>4387</v>
      </c>
      <c r="AO4" s="1874" t="str">
        <f ca="1">OFFSET(A1_原単位2027,52,AQ3+2)</f>
        <v/>
      </c>
      <c r="AP4" s="1875"/>
      <c r="AQ4" s="1876"/>
      <c r="AR4" s="806" t="s">
        <v>4387</v>
      </c>
      <c r="AS4" s="1874" t="str">
        <f ca="1">OFFSET(A1_原単位2027,52,AU3+2)</f>
        <v/>
      </c>
      <c r="AT4" s="1875"/>
      <c r="AU4" s="1876"/>
      <c r="AV4" s="806" t="s">
        <v>4387</v>
      </c>
      <c r="AW4" s="1874" t="str">
        <f ca="1">OFFSET(A1_原単位2027,52,AY3+2)</f>
        <v/>
      </c>
      <c r="AX4" s="1875"/>
      <c r="AY4" s="1876"/>
      <c r="AZ4" s="806" t="s">
        <v>4387</v>
      </c>
      <c r="BA4" s="1874" t="str">
        <f ca="1">OFFSET(A1_原単位2027,52,BC3+2)</f>
        <v/>
      </c>
      <c r="BB4" s="1875"/>
      <c r="BC4" s="1876"/>
      <c r="BD4" s="806" t="s">
        <v>4387</v>
      </c>
      <c r="BE4" s="1874" t="str">
        <f ca="1">OFFSET(A1_原単位2027,52,BG3+2)</f>
        <v/>
      </c>
      <c r="BF4" s="1875"/>
      <c r="BG4" s="1876"/>
      <c r="BH4" s="806" t="s">
        <v>4387</v>
      </c>
      <c r="BI4" s="1874" t="str">
        <f ca="1">OFFSET(A1_原単位2027,52,BK3+2)</f>
        <v/>
      </c>
      <c r="BJ4" s="1875"/>
      <c r="BK4" s="1876"/>
      <c r="BL4" s="806" t="s">
        <v>4387</v>
      </c>
      <c r="BM4" s="1874" t="str">
        <f ca="1">OFFSET(A1_原単位2027,52,BO3+2)</f>
        <v/>
      </c>
      <c r="BN4" s="1875"/>
      <c r="BO4" s="1876"/>
    </row>
    <row r="5" spans="1:68" ht="20.100000000000001" customHeight="1">
      <c r="C5" s="793" t="s">
        <v>4693</v>
      </c>
      <c r="D5" s="807">
        <f ca="1">OFFSET(A1_基礎情報集計,7,5)-1</f>
        <v>2024</v>
      </c>
      <c r="E5" s="807"/>
      <c r="F5" s="793"/>
      <c r="H5" s="798"/>
      <c r="I5" s="799"/>
      <c r="J5" s="800"/>
      <c r="K5" s="801"/>
      <c r="L5" s="808"/>
      <c r="M5" s="809"/>
      <c r="N5" s="809"/>
      <c r="O5" s="810"/>
      <c r="P5" s="798"/>
      <c r="Q5" s="799"/>
      <c r="R5" s="800"/>
      <c r="S5" s="801"/>
      <c r="T5" s="1882"/>
      <c r="U5" s="1883"/>
      <c r="V5" s="1883"/>
      <c r="W5" s="1884"/>
      <c r="X5" s="1885"/>
      <c r="Y5" s="1886"/>
      <c r="Z5" s="1886"/>
      <c r="AA5" s="1887"/>
      <c r="AB5" s="811" t="s">
        <v>4124</v>
      </c>
      <c r="AC5" s="812" t="str">
        <f ca="1">OFFSET(A1_原単位2027,53,AE3+2)</f>
        <v/>
      </c>
      <c r="AD5" s="813"/>
      <c r="AE5" s="814"/>
      <c r="AF5" s="811" t="s">
        <v>4124</v>
      </c>
      <c r="AG5" s="812" t="str">
        <f ca="1">OFFSET(A1_原単位2027,53,AI3+2)</f>
        <v/>
      </c>
      <c r="AH5" s="813"/>
      <c r="AI5" s="814"/>
      <c r="AJ5" s="811" t="s">
        <v>4124</v>
      </c>
      <c r="AK5" s="812" t="str">
        <f ca="1">OFFSET(A1_原単位2027,53,AM3+2)</f>
        <v/>
      </c>
      <c r="AL5" s="813"/>
      <c r="AM5" s="814"/>
      <c r="AN5" s="811" t="s">
        <v>4124</v>
      </c>
      <c r="AO5" s="812" t="str">
        <f ca="1">OFFSET(A1_原単位2027,53,AQ3+2)</f>
        <v/>
      </c>
      <c r="AP5" s="813"/>
      <c r="AQ5" s="814"/>
      <c r="AR5" s="811" t="s">
        <v>4124</v>
      </c>
      <c r="AS5" s="812" t="str">
        <f ca="1">OFFSET(A1_原単位2027,53,AU3+2)</f>
        <v/>
      </c>
      <c r="AT5" s="813"/>
      <c r="AU5" s="814"/>
      <c r="AV5" s="811" t="s">
        <v>4124</v>
      </c>
      <c r="AW5" s="812" t="str">
        <f ca="1">OFFSET(A1_原単位2027,53,AY3+2)</f>
        <v/>
      </c>
      <c r="AX5" s="813"/>
      <c r="AY5" s="814"/>
      <c r="AZ5" s="811" t="s">
        <v>4124</v>
      </c>
      <c r="BA5" s="812" t="str">
        <f ca="1">OFFSET(A1_原単位2027,53,BC3+2)</f>
        <v/>
      </c>
      <c r="BB5" s="813"/>
      <c r="BC5" s="814"/>
      <c r="BD5" s="811" t="s">
        <v>4124</v>
      </c>
      <c r="BE5" s="812" t="str">
        <f ca="1">OFFSET(A1_原単位2027,53,BG3+2)</f>
        <v/>
      </c>
      <c r="BF5" s="813"/>
      <c r="BG5" s="814"/>
      <c r="BH5" s="811" t="s">
        <v>4124</v>
      </c>
      <c r="BI5" s="812" t="str">
        <f ca="1">OFFSET(A1_原単位2027,53,BK3+2)</f>
        <v/>
      </c>
      <c r="BJ5" s="813"/>
      <c r="BK5" s="814"/>
      <c r="BL5" s="811" t="s">
        <v>4124</v>
      </c>
      <c r="BM5" s="812" t="str">
        <f ca="1">OFFSET(A1_原単位2027,53,BO3+2)</f>
        <v/>
      </c>
      <c r="BN5" s="813"/>
      <c r="BO5" s="814"/>
    </row>
    <row r="6" spans="1:68" ht="20.100000000000001" customHeight="1">
      <c r="D6" s="815"/>
      <c r="G6" s="816" t="s">
        <v>4379</v>
      </c>
      <c r="H6" s="817">
        <v>2024</v>
      </c>
      <c r="I6" s="817">
        <v>2025</v>
      </c>
      <c r="J6" s="817">
        <v>2026</v>
      </c>
      <c r="K6" s="817">
        <v>2027</v>
      </c>
      <c r="L6" s="817">
        <v>2024</v>
      </c>
      <c r="M6" s="817">
        <v>2025</v>
      </c>
      <c r="N6" s="817">
        <v>2026</v>
      </c>
      <c r="O6" s="817">
        <v>2027</v>
      </c>
      <c r="P6" s="817">
        <v>2024</v>
      </c>
      <c r="Q6" s="817">
        <v>2025</v>
      </c>
      <c r="R6" s="817">
        <v>2026</v>
      </c>
      <c r="S6" s="817">
        <v>2027</v>
      </c>
      <c r="T6" s="817">
        <v>2024</v>
      </c>
      <c r="U6" s="817">
        <v>2025</v>
      </c>
      <c r="V6" s="817">
        <v>2026</v>
      </c>
      <c r="W6" s="817">
        <v>2027</v>
      </c>
      <c r="X6" s="817">
        <v>2024</v>
      </c>
      <c r="Y6" s="817">
        <v>2025</v>
      </c>
      <c r="Z6" s="817">
        <v>2026</v>
      </c>
      <c r="AA6" s="817">
        <v>2027</v>
      </c>
      <c r="AB6" s="817">
        <v>2024</v>
      </c>
      <c r="AC6" s="817">
        <v>2025</v>
      </c>
      <c r="AD6" s="817">
        <v>2026</v>
      </c>
      <c r="AE6" s="817">
        <v>2027</v>
      </c>
      <c r="AF6" s="817">
        <v>2024</v>
      </c>
      <c r="AG6" s="817">
        <v>2025</v>
      </c>
      <c r="AH6" s="817">
        <v>2026</v>
      </c>
      <c r="AI6" s="817">
        <v>2027</v>
      </c>
      <c r="AJ6" s="817">
        <v>2024</v>
      </c>
      <c r="AK6" s="817">
        <v>2025</v>
      </c>
      <c r="AL6" s="817">
        <v>2026</v>
      </c>
      <c r="AM6" s="817">
        <v>2027</v>
      </c>
      <c r="AN6" s="817">
        <v>2024</v>
      </c>
      <c r="AO6" s="817">
        <v>2025</v>
      </c>
      <c r="AP6" s="817">
        <v>2026</v>
      </c>
      <c r="AQ6" s="817">
        <v>2027</v>
      </c>
      <c r="AR6" s="817">
        <v>2024</v>
      </c>
      <c r="AS6" s="817">
        <v>2025</v>
      </c>
      <c r="AT6" s="817">
        <v>2026</v>
      </c>
      <c r="AU6" s="817">
        <v>2027</v>
      </c>
      <c r="AV6" s="817">
        <v>2024</v>
      </c>
      <c r="AW6" s="817">
        <v>2025</v>
      </c>
      <c r="AX6" s="817">
        <v>2026</v>
      </c>
      <c r="AY6" s="817">
        <v>2027</v>
      </c>
      <c r="AZ6" s="817">
        <v>2024</v>
      </c>
      <c r="BA6" s="817">
        <v>2025</v>
      </c>
      <c r="BB6" s="817">
        <v>2026</v>
      </c>
      <c r="BC6" s="817">
        <v>2027</v>
      </c>
      <c r="BD6" s="817">
        <v>2024</v>
      </c>
      <c r="BE6" s="817">
        <v>2025</v>
      </c>
      <c r="BF6" s="817">
        <v>2026</v>
      </c>
      <c r="BG6" s="817">
        <v>2027</v>
      </c>
      <c r="BH6" s="817">
        <v>2024</v>
      </c>
      <c r="BI6" s="817">
        <v>2025</v>
      </c>
      <c r="BJ6" s="817">
        <v>2026</v>
      </c>
      <c r="BK6" s="817">
        <v>2027</v>
      </c>
      <c r="BL6" s="817">
        <v>2024</v>
      </c>
      <c r="BM6" s="817">
        <v>2025</v>
      </c>
      <c r="BN6" s="817">
        <v>2026</v>
      </c>
      <c r="BO6" s="817">
        <v>2027</v>
      </c>
      <c r="BP6" s="818"/>
    </row>
    <row r="7" spans="1:68" ht="20.100000000000001" customHeight="1">
      <c r="A7" s="819">
        <v>1</v>
      </c>
      <c r="B7" s="819" t="s">
        <v>4593</v>
      </c>
      <c r="C7" s="820"/>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customHeight="1">
      <c r="A8" s="822"/>
      <c r="B8" s="819">
        <v>1</v>
      </c>
      <c r="C8" s="819" t="s">
        <v>4388</v>
      </c>
      <c r="D8" s="820"/>
      <c r="E8" s="820"/>
      <c r="F8" s="820"/>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row>
    <row r="9" spans="1:68" ht="20.100000000000001" customHeight="1">
      <c r="A9" s="823">
        <v>8</v>
      </c>
      <c r="B9" s="1869" t="s">
        <v>4389</v>
      </c>
      <c r="C9" s="1872" t="s">
        <v>4390</v>
      </c>
      <c r="D9" s="824" t="s">
        <v>4143</v>
      </c>
      <c r="E9" s="824"/>
      <c r="F9" s="825"/>
      <c r="G9" s="826" t="s">
        <v>4144</v>
      </c>
      <c r="H9" s="827">
        <f t="shared" ref="H9:H40" ca="1" si="0">IFERROR(OFFSET(貼付け_2024実績,$A9,5),"")</f>
        <v>38.299999999999997</v>
      </c>
      <c r="I9" s="827">
        <f t="shared" ref="I9:I40" ca="1" si="1">IFERROR(OFFSET(貼付け_2025実績,$A9,5),"")</f>
        <v>38.299999999999997</v>
      </c>
      <c r="J9" s="827">
        <f t="shared" ref="J9:J40" ca="1" si="2">IFERROR(OFFSET(貼付け_2026実績,$A9,5),"")</f>
        <v>38.299999999999997</v>
      </c>
      <c r="K9" s="827">
        <f t="shared" ref="K9:K40" ca="1" si="3">IFERROR(OFFSET(貼付け_2027実績,$A9,5),"")</f>
        <v>38.299999999999997</v>
      </c>
      <c r="L9" s="828">
        <f ca="1">P9+T9</f>
        <v>0</v>
      </c>
      <c r="M9" s="828">
        <f t="shared" ref="M9:O24" ca="1" si="4">Q9+U9</f>
        <v>0</v>
      </c>
      <c r="N9" s="828">
        <f ca="1">R9+V9</f>
        <v>0</v>
      </c>
      <c r="O9" s="828">
        <f t="shared" ca="1" si="4"/>
        <v>0</v>
      </c>
      <c r="P9" s="828">
        <f ca="1">SUM(SUMIFS(OFFSET(貼付け_2024実績,$A9,9,1,199),OFFSET(貼付け_2024実績,4,9,1,199),{"横浜*","川崎*"}))</f>
        <v>0</v>
      </c>
      <c r="Q9" s="828">
        <f ca="1">SUM(SUMIFS(OFFSET(貼付け_2025実績,$A9,9,1,199),OFFSET(貼付け_2025実績,4,9,1,199),{"横浜*","川崎*"}))</f>
        <v>0</v>
      </c>
      <c r="R9" s="828">
        <f ca="1">SUM(SUMIFS(OFFSET(貼付け_2026実績,$A9,9,1,199),OFFSET(貼付け_2026実績,4,9,1,199),{"横浜*","川崎*"}))</f>
        <v>0</v>
      </c>
      <c r="S9" s="828">
        <f ca="1">SUM(SUMIFS(OFFSET(貼付け_2027実績,$A9,9,1,199),OFFSET(貼付け_2027実績,4,9,1,199),{"横浜*","川崎*"}))</f>
        <v>0</v>
      </c>
      <c r="T9" s="828">
        <f ca="1">SUM(X9,AB9,AF9,AJ9,AN9,AR9,AV9,AZ9,BD9,BH9,BL9)</f>
        <v>0</v>
      </c>
      <c r="U9" s="828">
        <f t="shared" ref="U9:W24" ca="1" si="5">SUM(Y9,AC9,AG9,AK9,AO9,AS9,AW9,BA9,BE9,BI9,BM9)</f>
        <v>0</v>
      </c>
      <c r="V9" s="828">
        <f t="shared" ca="1" si="5"/>
        <v>0</v>
      </c>
      <c r="W9" s="828">
        <f t="shared" ca="1" si="5"/>
        <v>0</v>
      </c>
      <c r="X9" s="828">
        <f t="shared" ref="X9:X40" ca="1" si="6">SUMIFS(OFFSET(貼付け_2024実績,$A9,9,1,199),OFFSET(貼付け_2024実績,4,9,1,199),"県域*")</f>
        <v>0</v>
      </c>
      <c r="Y9" s="828">
        <f t="shared" ref="Y9:Y40" ca="1" si="7">SUMIFS(OFFSET(貼付け_2025実績,$A9,9,1,199),OFFSET(貼付け_2025実績,4,9,1,199),"県域*")</f>
        <v>0</v>
      </c>
      <c r="Z9" s="828">
        <f t="shared" ref="Z9:Z40" ca="1" si="8">SUMIFS(OFFSET(貼付け_2026実績,$A9,9,1,199),OFFSET(貼付け_2026実績,4,9,1,199),"県域*")</f>
        <v>0</v>
      </c>
      <c r="AA9" s="828">
        <f t="shared" ref="AA9:AA40" ca="1" si="9">SUMIFS(OFFSET(貼付け_2027実績,$A9,9,1,199),OFFSET(貼付け_2027実績,4,9,1,199),"県域*")</f>
        <v>0</v>
      </c>
      <c r="AB9" s="828" t="str">
        <f ca="1">IFERROR(OFFSET(貼付け_2024実績,$A9,AB$1),"")</f>
        <v/>
      </c>
      <c r="AC9" s="828" t="str">
        <f t="shared" ref="AC9:AC40" ca="1" si="10">IFERROR(OFFSET(貼付け_2025実績,$A9,AC$1),"")</f>
        <v/>
      </c>
      <c r="AD9" s="828" t="str">
        <f t="shared" ref="AD9:AD40" ca="1" si="11">IFERROR(OFFSET(貼付け_2026実績,$A9,AD$1),"")</f>
        <v/>
      </c>
      <c r="AE9" s="828" t="str">
        <f t="shared" ref="AE9:AE40" ca="1" si="12">IFERROR(OFFSET(貼付け_2027実績,$A9,AE$1),"")</f>
        <v/>
      </c>
      <c r="AF9" s="828" t="str">
        <f t="shared" ref="AF9:AF40" ca="1" si="13">IFERROR(OFFSET(貼付け_2024実績,$A9,AF$1),"")</f>
        <v/>
      </c>
      <c r="AG9" s="828" t="str">
        <f t="shared" ref="AG9:AG40" ca="1" si="14">IFERROR(OFFSET(貼付け_2025実績,$A9,AG$1),"")</f>
        <v/>
      </c>
      <c r="AH9" s="828" t="str">
        <f t="shared" ref="AH9:AH40" ca="1" si="15">IFERROR(OFFSET(貼付け_2026実績,$A9,AH$1),"")</f>
        <v/>
      </c>
      <c r="AI9" s="828" t="str">
        <f t="shared" ref="AI9:AI40" ca="1" si="16">IFERROR(OFFSET(貼付け_2027実績,$A9,AI$1),"")</f>
        <v/>
      </c>
      <c r="AJ9" s="828" t="str">
        <f t="shared" ref="AJ9:AJ40" ca="1" si="17">IFERROR(OFFSET(貼付け_2024実績,$A9,AJ$1),"")</f>
        <v/>
      </c>
      <c r="AK9" s="828" t="str">
        <f t="shared" ref="AK9:AK40" ca="1" si="18">IFERROR(OFFSET(貼付け_2025実績,$A9,AK$1),"")</f>
        <v/>
      </c>
      <c r="AL9" s="828" t="str">
        <f t="shared" ref="AL9:AL40" ca="1" si="19">IFERROR(OFFSET(貼付け_2026実績,$A9,AL$1),"")</f>
        <v/>
      </c>
      <c r="AM9" s="828" t="str">
        <f t="shared" ref="AM9:AM40" ca="1" si="20">IFERROR(OFFSET(貼付け_2027実績,$A9,AM$1),"")</f>
        <v/>
      </c>
      <c r="AN9" s="828" t="str">
        <f t="shared" ref="AN9:AN40" ca="1" si="21">IFERROR(OFFSET(貼付け_2024実績,$A9,AN$1),"")</f>
        <v/>
      </c>
      <c r="AO9" s="828" t="str">
        <f t="shared" ref="AO9:AO40" ca="1" si="22">IFERROR(OFFSET(貼付け_2025実績,$A9,AO$1),"")</f>
        <v/>
      </c>
      <c r="AP9" s="828" t="str">
        <f t="shared" ref="AP9:AP40" ca="1" si="23">IFERROR(OFFSET(貼付け_2026実績,$A9,AP$1),"")</f>
        <v/>
      </c>
      <c r="AQ9" s="828" t="str">
        <f t="shared" ref="AQ9:AQ40" ca="1" si="24">IFERROR(OFFSET(貼付け_2027実績,$A9,AQ$1),"")</f>
        <v/>
      </c>
      <c r="AR9" s="828" t="str">
        <f t="shared" ref="AR9:AR40" ca="1" si="25">IFERROR(OFFSET(貼付け_2024実績,$A9,AR$1),"")</f>
        <v/>
      </c>
      <c r="AS9" s="828" t="str">
        <f t="shared" ref="AS9:AS40" ca="1" si="26">IFERROR(OFFSET(貼付け_2025実績,$A9,AS$1),"")</f>
        <v/>
      </c>
      <c r="AT9" s="828" t="str">
        <f t="shared" ref="AT9:AT40" ca="1" si="27">IFERROR(OFFSET(貼付け_2026実績,$A9,AT$1),"")</f>
        <v/>
      </c>
      <c r="AU9" s="828" t="str">
        <f t="shared" ref="AU9:AU40" ca="1" si="28">IFERROR(OFFSET(貼付け_2027実績,$A9,AU$1),"")</f>
        <v/>
      </c>
      <c r="AV9" s="828" t="str">
        <f t="shared" ref="AV9:AV40" ca="1" si="29">IFERROR(OFFSET(貼付け_2024実績,$A9,AV$1),"")</f>
        <v/>
      </c>
      <c r="AW9" s="828" t="str">
        <f t="shared" ref="AW9:AW40" ca="1" si="30">IFERROR(OFFSET(貼付け_2025実績,$A9,AW$1),"")</f>
        <v/>
      </c>
      <c r="AX9" s="828" t="str">
        <f t="shared" ref="AX9:AX40" ca="1" si="31">IFERROR(OFFSET(貼付け_2026実績,$A9,AX$1),"")</f>
        <v/>
      </c>
      <c r="AY9" s="828" t="str">
        <f t="shared" ref="AY9:AY40" ca="1" si="32">IFERROR(OFFSET(貼付け_2027実績,$A9,AY$1),"")</f>
        <v/>
      </c>
      <c r="AZ9" s="828" t="str">
        <f t="shared" ref="AZ9:AZ40" ca="1" si="33">IFERROR(OFFSET(貼付け_2024実績,$A9,AZ$1),"")</f>
        <v/>
      </c>
      <c r="BA9" s="828" t="str">
        <f t="shared" ref="BA9:BA40" ca="1" si="34">IFERROR(OFFSET(貼付け_2025実績,$A9,BA$1),"")</f>
        <v/>
      </c>
      <c r="BB9" s="828" t="str">
        <f t="shared" ref="BB9:BB40" ca="1" si="35">IFERROR(OFFSET(貼付け_2026実績,$A9,BB$1),"")</f>
        <v/>
      </c>
      <c r="BC9" s="828" t="str">
        <f t="shared" ref="BC9:BC40" ca="1" si="36">IFERROR(OFFSET(貼付け_2027実績,$A9,BC$1),"")</f>
        <v/>
      </c>
      <c r="BD9" s="828" t="str">
        <f t="shared" ref="BD9:BD40" ca="1" si="37">IFERROR(OFFSET(貼付け_2024実績,$A9,BD$1),"")</f>
        <v/>
      </c>
      <c r="BE9" s="828" t="str">
        <f t="shared" ref="BE9:BE40" ca="1" si="38">IFERROR(OFFSET(貼付け_2025実績,$A9,BE$1),"")</f>
        <v/>
      </c>
      <c r="BF9" s="828" t="str">
        <f t="shared" ref="BF9:BF40" ca="1" si="39">IFERROR(OFFSET(貼付け_2026実績,$A9,BF$1),"")</f>
        <v/>
      </c>
      <c r="BG9" s="828" t="str">
        <f t="shared" ref="BG9:BG40" ca="1" si="40">IFERROR(OFFSET(貼付け_2027実績,$A9,BG$1),"")</f>
        <v/>
      </c>
      <c r="BH9" s="828" t="str">
        <f t="shared" ref="BH9:BH40" ca="1" si="41">IFERROR(OFFSET(貼付け_2024実績,$A9,BH$1),"")</f>
        <v/>
      </c>
      <c r="BI9" s="828" t="str">
        <f t="shared" ref="BI9:BI40" ca="1" si="42">IFERROR(OFFSET(貼付け_2025実績,$A9,BI$1),"")</f>
        <v/>
      </c>
      <c r="BJ9" s="828" t="str">
        <f t="shared" ref="BJ9:BJ40" ca="1" si="43">IFERROR(OFFSET(貼付け_2026実績,$A9,BJ$1),"")</f>
        <v/>
      </c>
      <c r="BK9" s="828" t="str">
        <f t="shared" ref="BK9:BK40" ca="1" si="44">IFERROR(OFFSET(貼付け_2027実績,$A9,BK$1),"")</f>
        <v/>
      </c>
      <c r="BL9" s="828" t="str">
        <f t="shared" ref="BL9:BL40" ca="1" si="45">IFERROR(OFFSET(貼付け_2024実績,$A9,BL$1),"")</f>
        <v/>
      </c>
      <c r="BM9" s="828" t="str">
        <f t="shared" ref="BM9:BM40" ca="1" si="46">IFERROR(OFFSET(貼付け_2025実績,$A9,BM$1),"")</f>
        <v/>
      </c>
      <c r="BN9" s="828" t="str">
        <f t="shared" ref="BN9:BN40" ca="1" si="47">IFERROR(OFFSET(貼付け_2026実績,$A9,BN$1),"")</f>
        <v/>
      </c>
      <c r="BO9" s="828" t="str">
        <f t="shared" ref="BO9:BO40" ca="1" si="48">IFERROR(OFFSET(貼付け_2027実績,$A9,BO$1),"")</f>
        <v/>
      </c>
    </row>
    <row r="10" spans="1:68" ht="20.100000000000001" customHeight="1">
      <c r="A10" s="823">
        <v>9</v>
      </c>
      <c r="B10" s="1870"/>
      <c r="C10" s="1872"/>
      <c r="D10" s="824" t="s">
        <v>4391</v>
      </c>
      <c r="E10" s="824"/>
      <c r="F10" s="825"/>
      <c r="G10" s="826" t="s">
        <v>4144</v>
      </c>
      <c r="H10" s="827">
        <f t="shared" ca="1" si="0"/>
        <v>34.799999999999997</v>
      </c>
      <c r="I10" s="827">
        <f t="shared" ca="1" si="1"/>
        <v>34.799999999999997</v>
      </c>
      <c r="J10" s="827">
        <f t="shared" ca="1" si="2"/>
        <v>34.799999999999997</v>
      </c>
      <c r="K10" s="827">
        <f t="shared" ca="1" si="3"/>
        <v>34.799999999999997</v>
      </c>
      <c r="L10" s="828">
        <f t="shared" ref="L10:O75" ca="1" si="49">P10+T10</f>
        <v>0</v>
      </c>
      <c r="M10" s="828">
        <f t="shared" ca="1" si="4"/>
        <v>0</v>
      </c>
      <c r="N10" s="828">
        <f t="shared" ca="1" si="4"/>
        <v>0</v>
      </c>
      <c r="O10" s="828">
        <f t="shared" ca="1" si="4"/>
        <v>0</v>
      </c>
      <c r="P10" s="828">
        <f ca="1">SUM(SUMIFS(OFFSET(貼付け_2024実績,$A10,9,1,199),OFFSET(貼付け_2024実績,4,9,1,199),{"横浜*","川崎*"}))</f>
        <v>0</v>
      </c>
      <c r="Q10" s="828">
        <f ca="1">SUM(SUMIFS(OFFSET(貼付け_2025実績,$A10,9,1,199),OFFSET(貼付け_2025実績,4,9,1,199),{"横浜*","川崎*"}))</f>
        <v>0</v>
      </c>
      <c r="R10" s="828">
        <f ca="1">SUM(SUMIFS(OFFSET(貼付け_2026実績,$A10,9,1,199),OFFSET(貼付け_2026実績,4,9,1,199),{"横浜*","川崎*"}))</f>
        <v>0</v>
      </c>
      <c r="S10" s="828">
        <f ca="1">SUM(SUMIFS(OFFSET(貼付け_2027実績,$A10,9,1,199),OFFSET(貼付け_2027実績,4,9,1,199),{"横浜*","川崎*"}))</f>
        <v>0</v>
      </c>
      <c r="T10" s="828">
        <f t="shared" ref="T10:W75" ca="1" si="50">SUM(X10,AB10,AF10,AJ10,AN10,AR10,AV10,AZ10,BD10,BH10,BL10)</f>
        <v>0</v>
      </c>
      <c r="U10" s="828">
        <f t="shared" ca="1" si="5"/>
        <v>0</v>
      </c>
      <c r="V10" s="828">
        <f t="shared" ca="1" si="5"/>
        <v>0</v>
      </c>
      <c r="W10" s="828">
        <f t="shared" ca="1" si="5"/>
        <v>0</v>
      </c>
      <c r="X10" s="828">
        <f t="shared" ca="1" si="6"/>
        <v>0</v>
      </c>
      <c r="Y10" s="828">
        <f t="shared" ca="1" si="7"/>
        <v>0</v>
      </c>
      <c r="Z10" s="828">
        <f t="shared" ca="1" si="8"/>
        <v>0</v>
      </c>
      <c r="AA10" s="828">
        <f t="shared" ca="1" si="9"/>
        <v>0</v>
      </c>
      <c r="AB10" s="828" t="str">
        <f t="shared" ref="AB10:AB40" ca="1" si="51">IFERROR(OFFSET(貼付け_2024実績,$A10,AB$1),"")</f>
        <v/>
      </c>
      <c r="AC10" s="828" t="str">
        <f t="shared" ca="1" si="10"/>
        <v/>
      </c>
      <c r="AD10" s="828" t="str">
        <f t="shared" ca="1" si="11"/>
        <v/>
      </c>
      <c r="AE10" s="828" t="str">
        <f t="shared" ca="1" si="12"/>
        <v/>
      </c>
      <c r="AF10" s="828" t="str">
        <f t="shared" ca="1" si="13"/>
        <v/>
      </c>
      <c r="AG10" s="828" t="str">
        <f t="shared" ca="1" si="14"/>
        <v/>
      </c>
      <c r="AH10" s="828" t="str">
        <f t="shared" ca="1" si="15"/>
        <v/>
      </c>
      <c r="AI10" s="828" t="str">
        <f t="shared" ca="1" si="16"/>
        <v/>
      </c>
      <c r="AJ10" s="828" t="str">
        <f t="shared" ca="1" si="17"/>
        <v/>
      </c>
      <c r="AK10" s="828" t="str">
        <f t="shared" ca="1" si="18"/>
        <v/>
      </c>
      <c r="AL10" s="828" t="str">
        <f t="shared" ca="1" si="19"/>
        <v/>
      </c>
      <c r="AM10" s="828" t="str">
        <f t="shared" ca="1" si="20"/>
        <v/>
      </c>
      <c r="AN10" s="828" t="str">
        <f t="shared" ca="1" si="21"/>
        <v/>
      </c>
      <c r="AO10" s="828" t="str">
        <f t="shared" ca="1" si="22"/>
        <v/>
      </c>
      <c r="AP10" s="828" t="str">
        <f t="shared" ca="1" si="23"/>
        <v/>
      </c>
      <c r="AQ10" s="828" t="str">
        <f t="shared" ca="1" si="24"/>
        <v/>
      </c>
      <c r="AR10" s="828" t="str">
        <f t="shared" ca="1" si="25"/>
        <v/>
      </c>
      <c r="AS10" s="828" t="str">
        <f t="shared" ca="1" si="26"/>
        <v/>
      </c>
      <c r="AT10" s="828" t="str">
        <f t="shared" ca="1" si="27"/>
        <v/>
      </c>
      <c r="AU10" s="828" t="str">
        <f t="shared" ca="1" si="28"/>
        <v/>
      </c>
      <c r="AV10" s="828" t="str">
        <f t="shared" ca="1" si="29"/>
        <v/>
      </c>
      <c r="AW10" s="828" t="str">
        <f t="shared" ca="1" si="30"/>
        <v/>
      </c>
      <c r="AX10" s="828" t="str">
        <f t="shared" ca="1" si="31"/>
        <v/>
      </c>
      <c r="AY10" s="828" t="str">
        <f t="shared" ca="1" si="32"/>
        <v/>
      </c>
      <c r="AZ10" s="828" t="str">
        <f t="shared" ca="1" si="33"/>
        <v/>
      </c>
      <c r="BA10" s="828" t="str">
        <f t="shared" ca="1" si="34"/>
        <v/>
      </c>
      <c r="BB10" s="828" t="str">
        <f t="shared" ca="1" si="35"/>
        <v/>
      </c>
      <c r="BC10" s="828" t="str">
        <f t="shared" ca="1" si="36"/>
        <v/>
      </c>
      <c r="BD10" s="828" t="str">
        <f t="shared" ca="1" si="37"/>
        <v/>
      </c>
      <c r="BE10" s="828" t="str">
        <f t="shared" ca="1" si="38"/>
        <v/>
      </c>
      <c r="BF10" s="828" t="str">
        <f t="shared" ca="1" si="39"/>
        <v/>
      </c>
      <c r="BG10" s="828" t="str">
        <f t="shared" ca="1" si="40"/>
        <v/>
      </c>
      <c r="BH10" s="828" t="str">
        <f t="shared" ca="1" si="41"/>
        <v/>
      </c>
      <c r="BI10" s="828" t="str">
        <f t="shared" ca="1" si="42"/>
        <v/>
      </c>
      <c r="BJ10" s="828" t="str">
        <f t="shared" ca="1" si="43"/>
        <v/>
      </c>
      <c r="BK10" s="828" t="str">
        <f t="shared" ca="1" si="44"/>
        <v/>
      </c>
      <c r="BL10" s="828" t="str">
        <f t="shared" ca="1" si="45"/>
        <v/>
      </c>
      <c r="BM10" s="828" t="str">
        <f t="shared" ca="1" si="46"/>
        <v/>
      </c>
      <c r="BN10" s="828" t="str">
        <f t="shared" ca="1" si="47"/>
        <v/>
      </c>
      <c r="BO10" s="828" t="str">
        <f t="shared" ca="1" si="48"/>
        <v/>
      </c>
    </row>
    <row r="11" spans="1:68" ht="20.100000000000001" customHeight="1">
      <c r="A11" s="823">
        <v>10</v>
      </c>
      <c r="B11" s="1871"/>
      <c r="C11" s="1872"/>
      <c r="D11" s="824" t="s">
        <v>4392</v>
      </c>
      <c r="E11" s="824"/>
      <c r="F11" s="825"/>
      <c r="G11" s="826" t="s">
        <v>4144</v>
      </c>
      <c r="H11" s="827">
        <f t="shared" ca="1" si="0"/>
        <v>33.4</v>
      </c>
      <c r="I11" s="827">
        <f t="shared" ca="1" si="1"/>
        <v>33.4</v>
      </c>
      <c r="J11" s="827">
        <f t="shared" ca="1" si="2"/>
        <v>33.4</v>
      </c>
      <c r="K11" s="827">
        <f t="shared" ca="1" si="3"/>
        <v>33.4</v>
      </c>
      <c r="L11" s="828">
        <f t="shared" ca="1" si="49"/>
        <v>0</v>
      </c>
      <c r="M11" s="828">
        <f t="shared" ca="1" si="4"/>
        <v>0</v>
      </c>
      <c r="N11" s="828">
        <f t="shared" ca="1" si="4"/>
        <v>0</v>
      </c>
      <c r="O11" s="828">
        <f t="shared" ca="1" si="4"/>
        <v>0</v>
      </c>
      <c r="P11" s="828">
        <f ca="1">SUM(SUMIFS(OFFSET(貼付け_2024実績,$A11,9,1,199),OFFSET(貼付け_2024実績,4,9,1,199),{"横浜*","川崎*"}))</f>
        <v>0</v>
      </c>
      <c r="Q11" s="828">
        <f ca="1">SUM(SUMIFS(OFFSET(貼付け_2025実績,$A11,9,1,199),OFFSET(貼付け_2025実績,4,9,1,199),{"横浜*","川崎*"}))</f>
        <v>0</v>
      </c>
      <c r="R11" s="828">
        <f ca="1">SUM(SUMIFS(OFFSET(貼付け_2026実績,$A11,9,1,199),OFFSET(貼付け_2026実績,4,9,1,199),{"横浜*","川崎*"}))</f>
        <v>0</v>
      </c>
      <c r="S11" s="828">
        <f ca="1">SUM(SUMIFS(OFFSET(貼付け_2027実績,$A11,9,1,199),OFFSET(貼付け_2027実績,4,9,1,199),{"横浜*","川崎*"}))</f>
        <v>0</v>
      </c>
      <c r="T11" s="828">
        <f t="shared" ca="1" si="50"/>
        <v>0</v>
      </c>
      <c r="U11" s="828">
        <f t="shared" ca="1" si="5"/>
        <v>0</v>
      </c>
      <c r="V11" s="828">
        <f t="shared" ca="1" si="5"/>
        <v>0</v>
      </c>
      <c r="W11" s="828">
        <f t="shared" ca="1" si="5"/>
        <v>0</v>
      </c>
      <c r="X11" s="828">
        <f t="shared" ca="1" si="6"/>
        <v>0</v>
      </c>
      <c r="Y11" s="828">
        <f t="shared" ca="1" si="7"/>
        <v>0</v>
      </c>
      <c r="Z11" s="828">
        <f t="shared" ca="1" si="8"/>
        <v>0</v>
      </c>
      <c r="AA11" s="828">
        <f t="shared" ca="1" si="9"/>
        <v>0</v>
      </c>
      <c r="AB11" s="828" t="str">
        <f t="shared" ca="1" si="51"/>
        <v/>
      </c>
      <c r="AC11" s="828" t="str">
        <f t="shared" ca="1" si="10"/>
        <v/>
      </c>
      <c r="AD11" s="828" t="str">
        <f t="shared" ca="1" si="11"/>
        <v/>
      </c>
      <c r="AE11" s="828" t="str">
        <f t="shared" ca="1" si="12"/>
        <v/>
      </c>
      <c r="AF11" s="828" t="str">
        <f t="shared" ca="1" si="13"/>
        <v/>
      </c>
      <c r="AG11" s="828" t="str">
        <f t="shared" ca="1" si="14"/>
        <v/>
      </c>
      <c r="AH11" s="828" t="str">
        <f t="shared" ca="1" si="15"/>
        <v/>
      </c>
      <c r="AI11" s="828" t="str">
        <f t="shared" ca="1" si="16"/>
        <v/>
      </c>
      <c r="AJ11" s="828" t="str">
        <f t="shared" ca="1" si="17"/>
        <v/>
      </c>
      <c r="AK11" s="828" t="str">
        <f t="shared" ca="1" si="18"/>
        <v/>
      </c>
      <c r="AL11" s="828" t="str">
        <f t="shared" ca="1" si="19"/>
        <v/>
      </c>
      <c r="AM11" s="828" t="str">
        <f t="shared" ca="1" si="20"/>
        <v/>
      </c>
      <c r="AN11" s="828" t="str">
        <f t="shared" ca="1" si="21"/>
        <v/>
      </c>
      <c r="AO11" s="828" t="str">
        <f t="shared" ca="1" si="22"/>
        <v/>
      </c>
      <c r="AP11" s="828" t="str">
        <f t="shared" ca="1" si="23"/>
        <v/>
      </c>
      <c r="AQ11" s="828" t="str">
        <f t="shared" ca="1" si="24"/>
        <v/>
      </c>
      <c r="AR11" s="828" t="str">
        <f t="shared" ca="1" si="25"/>
        <v/>
      </c>
      <c r="AS11" s="828" t="str">
        <f t="shared" ca="1" si="26"/>
        <v/>
      </c>
      <c r="AT11" s="828" t="str">
        <f t="shared" ca="1" si="27"/>
        <v/>
      </c>
      <c r="AU11" s="828" t="str">
        <f t="shared" ca="1" si="28"/>
        <v/>
      </c>
      <c r="AV11" s="828" t="str">
        <f t="shared" ca="1" si="29"/>
        <v/>
      </c>
      <c r="AW11" s="828" t="str">
        <f t="shared" ca="1" si="30"/>
        <v/>
      </c>
      <c r="AX11" s="828" t="str">
        <f t="shared" ca="1" si="31"/>
        <v/>
      </c>
      <c r="AY11" s="828" t="str">
        <f t="shared" ca="1" si="32"/>
        <v/>
      </c>
      <c r="AZ11" s="828" t="str">
        <f t="shared" ca="1" si="33"/>
        <v/>
      </c>
      <c r="BA11" s="828" t="str">
        <f t="shared" ca="1" si="34"/>
        <v/>
      </c>
      <c r="BB11" s="828" t="str">
        <f t="shared" ca="1" si="35"/>
        <v/>
      </c>
      <c r="BC11" s="828" t="str">
        <f t="shared" ca="1" si="36"/>
        <v/>
      </c>
      <c r="BD11" s="828" t="str">
        <f t="shared" ca="1" si="37"/>
        <v/>
      </c>
      <c r="BE11" s="828" t="str">
        <f t="shared" ca="1" si="38"/>
        <v/>
      </c>
      <c r="BF11" s="828" t="str">
        <f t="shared" ca="1" si="39"/>
        <v/>
      </c>
      <c r="BG11" s="828" t="str">
        <f t="shared" ca="1" si="40"/>
        <v/>
      </c>
      <c r="BH11" s="828" t="str">
        <f t="shared" ca="1" si="41"/>
        <v/>
      </c>
      <c r="BI11" s="828" t="str">
        <f t="shared" ca="1" si="42"/>
        <v/>
      </c>
      <c r="BJ11" s="828" t="str">
        <f t="shared" ca="1" si="43"/>
        <v/>
      </c>
      <c r="BK11" s="828" t="str">
        <f t="shared" ca="1" si="44"/>
        <v/>
      </c>
      <c r="BL11" s="828" t="str">
        <f t="shared" ca="1" si="45"/>
        <v/>
      </c>
      <c r="BM11" s="828" t="str">
        <f t="shared" ca="1" si="46"/>
        <v/>
      </c>
      <c r="BN11" s="828" t="str">
        <f t="shared" ca="1" si="47"/>
        <v/>
      </c>
      <c r="BO11" s="828" t="str">
        <f t="shared" ca="1" si="48"/>
        <v/>
      </c>
    </row>
    <row r="12" spans="1:68" ht="20.100000000000001" customHeight="1">
      <c r="A12" s="823">
        <v>11</v>
      </c>
      <c r="B12" s="1870"/>
      <c r="C12" s="1872"/>
      <c r="D12" s="824" t="s">
        <v>4147</v>
      </c>
      <c r="E12" s="824"/>
      <c r="F12" s="825"/>
      <c r="G12" s="826" t="s">
        <v>4144</v>
      </c>
      <c r="H12" s="827">
        <f t="shared" ca="1" si="0"/>
        <v>33.299999999999997</v>
      </c>
      <c r="I12" s="827">
        <f t="shared" ca="1" si="1"/>
        <v>33.299999999999997</v>
      </c>
      <c r="J12" s="827">
        <f t="shared" ca="1" si="2"/>
        <v>33.299999999999997</v>
      </c>
      <c r="K12" s="827">
        <f t="shared" ca="1" si="3"/>
        <v>33.299999999999997</v>
      </c>
      <c r="L12" s="828">
        <f t="shared" ca="1" si="49"/>
        <v>0</v>
      </c>
      <c r="M12" s="828">
        <f t="shared" ca="1" si="4"/>
        <v>0</v>
      </c>
      <c r="N12" s="828">
        <f t="shared" ca="1" si="4"/>
        <v>0</v>
      </c>
      <c r="O12" s="828">
        <f t="shared" ca="1" si="4"/>
        <v>0</v>
      </c>
      <c r="P12" s="828">
        <f ca="1">SUM(SUMIFS(OFFSET(貼付け_2024実績,$A12,9,1,199),OFFSET(貼付け_2024実績,4,9,1,199),{"横浜*","川崎*"}))</f>
        <v>0</v>
      </c>
      <c r="Q12" s="828">
        <f ca="1">SUM(SUMIFS(OFFSET(貼付け_2025実績,$A12,9,1,199),OFFSET(貼付け_2025実績,4,9,1,199),{"横浜*","川崎*"}))</f>
        <v>0</v>
      </c>
      <c r="R12" s="828">
        <f ca="1">SUM(SUMIFS(OFFSET(貼付け_2026実績,$A12,9,1,199),OFFSET(貼付け_2026実績,4,9,1,199),{"横浜*","川崎*"}))</f>
        <v>0</v>
      </c>
      <c r="S12" s="828">
        <f ca="1">SUM(SUMIFS(OFFSET(貼付け_2027実績,$A12,9,1,199),OFFSET(貼付け_2027実績,4,9,1,199),{"横浜*","川崎*"}))</f>
        <v>0</v>
      </c>
      <c r="T12" s="828">
        <f t="shared" ca="1" si="50"/>
        <v>0</v>
      </c>
      <c r="U12" s="828">
        <f t="shared" ca="1" si="5"/>
        <v>0</v>
      </c>
      <c r="V12" s="828">
        <f t="shared" ca="1" si="5"/>
        <v>0</v>
      </c>
      <c r="W12" s="828">
        <f t="shared" ca="1" si="5"/>
        <v>0</v>
      </c>
      <c r="X12" s="828">
        <f t="shared" ca="1" si="6"/>
        <v>0</v>
      </c>
      <c r="Y12" s="828">
        <f t="shared" ca="1" si="7"/>
        <v>0</v>
      </c>
      <c r="Z12" s="828">
        <f t="shared" ca="1" si="8"/>
        <v>0</v>
      </c>
      <c r="AA12" s="828">
        <f t="shared" ca="1" si="9"/>
        <v>0</v>
      </c>
      <c r="AB12" s="828" t="str">
        <f t="shared" ca="1" si="51"/>
        <v/>
      </c>
      <c r="AC12" s="828" t="str">
        <f t="shared" ca="1" si="10"/>
        <v/>
      </c>
      <c r="AD12" s="828" t="str">
        <f t="shared" ca="1" si="11"/>
        <v/>
      </c>
      <c r="AE12" s="828" t="str">
        <f t="shared" ca="1" si="12"/>
        <v/>
      </c>
      <c r="AF12" s="828" t="str">
        <f t="shared" ca="1" si="13"/>
        <v/>
      </c>
      <c r="AG12" s="828" t="str">
        <f t="shared" ca="1" si="14"/>
        <v/>
      </c>
      <c r="AH12" s="828" t="str">
        <f t="shared" ca="1" si="15"/>
        <v/>
      </c>
      <c r="AI12" s="828" t="str">
        <f t="shared" ca="1" si="16"/>
        <v/>
      </c>
      <c r="AJ12" s="828" t="str">
        <f t="shared" ca="1" si="17"/>
        <v/>
      </c>
      <c r="AK12" s="828" t="str">
        <f t="shared" ca="1" si="18"/>
        <v/>
      </c>
      <c r="AL12" s="828" t="str">
        <f t="shared" ca="1" si="19"/>
        <v/>
      </c>
      <c r="AM12" s="828" t="str">
        <f t="shared" ca="1" si="20"/>
        <v/>
      </c>
      <c r="AN12" s="828" t="str">
        <f t="shared" ca="1" si="21"/>
        <v/>
      </c>
      <c r="AO12" s="828" t="str">
        <f t="shared" ca="1" si="22"/>
        <v/>
      </c>
      <c r="AP12" s="828" t="str">
        <f t="shared" ca="1" si="23"/>
        <v/>
      </c>
      <c r="AQ12" s="828" t="str">
        <f t="shared" ca="1" si="24"/>
        <v/>
      </c>
      <c r="AR12" s="828" t="str">
        <f t="shared" ca="1" si="25"/>
        <v/>
      </c>
      <c r="AS12" s="828" t="str">
        <f t="shared" ca="1" si="26"/>
        <v/>
      </c>
      <c r="AT12" s="828" t="str">
        <f t="shared" ca="1" si="27"/>
        <v/>
      </c>
      <c r="AU12" s="828" t="str">
        <f t="shared" ca="1" si="28"/>
        <v/>
      </c>
      <c r="AV12" s="828" t="str">
        <f t="shared" ca="1" si="29"/>
        <v/>
      </c>
      <c r="AW12" s="828" t="str">
        <f t="shared" ca="1" si="30"/>
        <v/>
      </c>
      <c r="AX12" s="828" t="str">
        <f t="shared" ca="1" si="31"/>
        <v/>
      </c>
      <c r="AY12" s="828" t="str">
        <f t="shared" ca="1" si="32"/>
        <v/>
      </c>
      <c r="AZ12" s="828" t="str">
        <f t="shared" ca="1" si="33"/>
        <v/>
      </c>
      <c r="BA12" s="828" t="str">
        <f t="shared" ca="1" si="34"/>
        <v/>
      </c>
      <c r="BB12" s="828" t="str">
        <f t="shared" ca="1" si="35"/>
        <v/>
      </c>
      <c r="BC12" s="828" t="str">
        <f t="shared" ca="1" si="36"/>
        <v/>
      </c>
      <c r="BD12" s="828" t="str">
        <f t="shared" ca="1" si="37"/>
        <v/>
      </c>
      <c r="BE12" s="828" t="str">
        <f t="shared" ca="1" si="38"/>
        <v/>
      </c>
      <c r="BF12" s="828" t="str">
        <f t="shared" ca="1" si="39"/>
        <v/>
      </c>
      <c r="BG12" s="828" t="str">
        <f t="shared" ca="1" si="40"/>
        <v/>
      </c>
      <c r="BH12" s="828" t="str">
        <f t="shared" ca="1" si="41"/>
        <v/>
      </c>
      <c r="BI12" s="828" t="str">
        <f t="shared" ca="1" si="42"/>
        <v/>
      </c>
      <c r="BJ12" s="828" t="str">
        <f t="shared" ca="1" si="43"/>
        <v/>
      </c>
      <c r="BK12" s="828" t="str">
        <f t="shared" ca="1" si="44"/>
        <v/>
      </c>
      <c r="BL12" s="828" t="str">
        <f t="shared" ca="1" si="45"/>
        <v/>
      </c>
      <c r="BM12" s="828" t="str">
        <f t="shared" ca="1" si="46"/>
        <v/>
      </c>
      <c r="BN12" s="828" t="str">
        <f t="shared" ca="1" si="47"/>
        <v/>
      </c>
      <c r="BO12" s="828" t="str">
        <f t="shared" ca="1" si="48"/>
        <v/>
      </c>
    </row>
    <row r="13" spans="1:68" ht="20.100000000000001" customHeight="1">
      <c r="A13" s="823">
        <v>12</v>
      </c>
      <c r="B13" s="1870"/>
      <c r="C13" s="1872"/>
      <c r="D13" s="824" t="s">
        <v>4393</v>
      </c>
      <c r="E13" s="824"/>
      <c r="F13" s="825"/>
      <c r="G13" s="826" t="s">
        <v>4144</v>
      </c>
      <c r="H13" s="827">
        <f t="shared" ca="1" si="0"/>
        <v>36.299999999999997</v>
      </c>
      <c r="I13" s="827">
        <f t="shared" ca="1" si="1"/>
        <v>36.299999999999997</v>
      </c>
      <c r="J13" s="827">
        <f t="shared" ca="1" si="2"/>
        <v>36.299999999999997</v>
      </c>
      <c r="K13" s="827">
        <f t="shared" ca="1" si="3"/>
        <v>36.299999999999997</v>
      </c>
      <c r="L13" s="828">
        <f t="shared" ca="1" si="49"/>
        <v>0</v>
      </c>
      <c r="M13" s="828">
        <f t="shared" ca="1" si="4"/>
        <v>0</v>
      </c>
      <c r="N13" s="828">
        <f t="shared" ca="1" si="4"/>
        <v>0</v>
      </c>
      <c r="O13" s="828">
        <f t="shared" ca="1" si="4"/>
        <v>0</v>
      </c>
      <c r="P13" s="828">
        <f ca="1">SUM(SUMIFS(OFFSET(貼付け_2024実績,$A13,9,1,199),OFFSET(貼付け_2024実績,4,9,1,199),{"横浜*","川崎*"}))</f>
        <v>0</v>
      </c>
      <c r="Q13" s="828">
        <f ca="1">SUM(SUMIFS(OFFSET(貼付け_2025実績,$A13,9,1,199),OFFSET(貼付け_2025実績,4,9,1,199),{"横浜*","川崎*"}))</f>
        <v>0</v>
      </c>
      <c r="R13" s="828">
        <f ca="1">SUM(SUMIFS(OFFSET(貼付け_2026実績,$A13,9,1,199),OFFSET(貼付け_2026実績,4,9,1,199),{"横浜*","川崎*"}))</f>
        <v>0</v>
      </c>
      <c r="S13" s="828">
        <f ca="1">SUM(SUMIFS(OFFSET(貼付け_2027実績,$A13,9,1,199),OFFSET(貼付け_2027実績,4,9,1,199),{"横浜*","川崎*"}))</f>
        <v>0</v>
      </c>
      <c r="T13" s="828">
        <f t="shared" ca="1" si="50"/>
        <v>0</v>
      </c>
      <c r="U13" s="828">
        <f t="shared" ca="1" si="5"/>
        <v>0</v>
      </c>
      <c r="V13" s="828">
        <f t="shared" ca="1" si="5"/>
        <v>0</v>
      </c>
      <c r="W13" s="828">
        <f t="shared" ca="1" si="5"/>
        <v>0</v>
      </c>
      <c r="X13" s="828">
        <f t="shared" ca="1" si="6"/>
        <v>0</v>
      </c>
      <c r="Y13" s="828">
        <f t="shared" ca="1" si="7"/>
        <v>0</v>
      </c>
      <c r="Z13" s="828">
        <f t="shared" ca="1" si="8"/>
        <v>0</v>
      </c>
      <c r="AA13" s="828">
        <f t="shared" ca="1" si="9"/>
        <v>0</v>
      </c>
      <c r="AB13" s="828" t="str">
        <f t="shared" ca="1" si="51"/>
        <v/>
      </c>
      <c r="AC13" s="828" t="str">
        <f t="shared" ca="1" si="10"/>
        <v/>
      </c>
      <c r="AD13" s="828" t="str">
        <f t="shared" ca="1" si="11"/>
        <v/>
      </c>
      <c r="AE13" s="828" t="str">
        <f t="shared" ca="1" si="12"/>
        <v/>
      </c>
      <c r="AF13" s="828" t="str">
        <f t="shared" ca="1" si="13"/>
        <v/>
      </c>
      <c r="AG13" s="828" t="str">
        <f t="shared" ca="1" si="14"/>
        <v/>
      </c>
      <c r="AH13" s="828" t="str">
        <f t="shared" ca="1" si="15"/>
        <v/>
      </c>
      <c r="AI13" s="828" t="str">
        <f t="shared" ca="1" si="16"/>
        <v/>
      </c>
      <c r="AJ13" s="828" t="str">
        <f t="shared" ca="1" si="17"/>
        <v/>
      </c>
      <c r="AK13" s="828" t="str">
        <f t="shared" ca="1" si="18"/>
        <v/>
      </c>
      <c r="AL13" s="828" t="str">
        <f t="shared" ca="1" si="19"/>
        <v/>
      </c>
      <c r="AM13" s="828" t="str">
        <f t="shared" ca="1" si="20"/>
        <v/>
      </c>
      <c r="AN13" s="828" t="str">
        <f t="shared" ca="1" si="21"/>
        <v/>
      </c>
      <c r="AO13" s="828" t="str">
        <f t="shared" ca="1" si="22"/>
        <v/>
      </c>
      <c r="AP13" s="828" t="str">
        <f t="shared" ca="1" si="23"/>
        <v/>
      </c>
      <c r="AQ13" s="828" t="str">
        <f t="shared" ca="1" si="24"/>
        <v/>
      </c>
      <c r="AR13" s="828" t="str">
        <f t="shared" ca="1" si="25"/>
        <v/>
      </c>
      <c r="AS13" s="828" t="str">
        <f t="shared" ca="1" si="26"/>
        <v/>
      </c>
      <c r="AT13" s="828" t="str">
        <f t="shared" ca="1" si="27"/>
        <v/>
      </c>
      <c r="AU13" s="828" t="str">
        <f t="shared" ca="1" si="28"/>
        <v/>
      </c>
      <c r="AV13" s="828" t="str">
        <f t="shared" ca="1" si="29"/>
        <v/>
      </c>
      <c r="AW13" s="828" t="str">
        <f t="shared" ca="1" si="30"/>
        <v/>
      </c>
      <c r="AX13" s="828" t="str">
        <f t="shared" ca="1" si="31"/>
        <v/>
      </c>
      <c r="AY13" s="828" t="str">
        <f t="shared" ca="1" si="32"/>
        <v/>
      </c>
      <c r="AZ13" s="828" t="str">
        <f t="shared" ca="1" si="33"/>
        <v/>
      </c>
      <c r="BA13" s="828" t="str">
        <f t="shared" ca="1" si="34"/>
        <v/>
      </c>
      <c r="BB13" s="828" t="str">
        <f t="shared" ca="1" si="35"/>
        <v/>
      </c>
      <c r="BC13" s="828" t="str">
        <f t="shared" ca="1" si="36"/>
        <v/>
      </c>
      <c r="BD13" s="828" t="str">
        <f t="shared" ca="1" si="37"/>
        <v/>
      </c>
      <c r="BE13" s="828" t="str">
        <f t="shared" ca="1" si="38"/>
        <v/>
      </c>
      <c r="BF13" s="828" t="str">
        <f t="shared" ca="1" si="39"/>
        <v/>
      </c>
      <c r="BG13" s="828" t="str">
        <f t="shared" ca="1" si="40"/>
        <v/>
      </c>
      <c r="BH13" s="828" t="str">
        <f t="shared" ca="1" si="41"/>
        <v/>
      </c>
      <c r="BI13" s="828" t="str">
        <f t="shared" ca="1" si="42"/>
        <v/>
      </c>
      <c r="BJ13" s="828" t="str">
        <f t="shared" ca="1" si="43"/>
        <v/>
      </c>
      <c r="BK13" s="828" t="str">
        <f t="shared" ca="1" si="44"/>
        <v/>
      </c>
      <c r="BL13" s="828" t="str">
        <f t="shared" ca="1" si="45"/>
        <v/>
      </c>
      <c r="BM13" s="828" t="str">
        <f t="shared" ca="1" si="46"/>
        <v/>
      </c>
      <c r="BN13" s="828" t="str">
        <f t="shared" ca="1" si="47"/>
        <v/>
      </c>
      <c r="BO13" s="828" t="str">
        <f t="shared" ca="1" si="48"/>
        <v/>
      </c>
    </row>
    <row r="14" spans="1:68" ht="20.100000000000001" customHeight="1">
      <c r="A14" s="823">
        <v>13</v>
      </c>
      <c r="B14" s="1871"/>
      <c r="C14" s="1872"/>
      <c r="D14" s="824" t="s">
        <v>4149</v>
      </c>
      <c r="E14" s="824"/>
      <c r="F14" s="825"/>
      <c r="G14" s="826" t="s">
        <v>4144</v>
      </c>
      <c r="H14" s="827">
        <f t="shared" ca="1" si="0"/>
        <v>36.5</v>
      </c>
      <c r="I14" s="827">
        <f t="shared" ca="1" si="1"/>
        <v>36.5</v>
      </c>
      <c r="J14" s="827">
        <f t="shared" ca="1" si="2"/>
        <v>36.5</v>
      </c>
      <c r="K14" s="827">
        <f t="shared" ca="1" si="3"/>
        <v>36.5</v>
      </c>
      <c r="L14" s="828">
        <f t="shared" ca="1" si="49"/>
        <v>0</v>
      </c>
      <c r="M14" s="828">
        <f t="shared" ca="1" si="4"/>
        <v>0</v>
      </c>
      <c r="N14" s="828">
        <f t="shared" ca="1" si="4"/>
        <v>0</v>
      </c>
      <c r="O14" s="828">
        <f t="shared" ca="1" si="4"/>
        <v>0</v>
      </c>
      <c r="P14" s="828">
        <f ca="1">SUM(SUMIFS(OFFSET(貼付け_2024実績,$A14,9,1,199),OFFSET(貼付け_2024実績,4,9,1,199),{"横浜*","川崎*"}))</f>
        <v>0</v>
      </c>
      <c r="Q14" s="828">
        <f ca="1">SUM(SUMIFS(OFFSET(貼付け_2025実績,$A14,9,1,199),OFFSET(貼付け_2025実績,4,9,1,199),{"横浜*","川崎*"}))</f>
        <v>0</v>
      </c>
      <c r="R14" s="828">
        <f ca="1">SUM(SUMIFS(OFFSET(貼付け_2026実績,$A14,9,1,199),OFFSET(貼付け_2026実績,4,9,1,199),{"横浜*","川崎*"}))</f>
        <v>0</v>
      </c>
      <c r="S14" s="828">
        <f ca="1">SUM(SUMIFS(OFFSET(貼付け_2027実績,$A14,9,1,199),OFFSET(貼付け_2027実績,4,9,1,199),{"横浜*","川崎*"}))</f>
        <v>0</v>
      </c>
      <c r="T14" s="828">
        <f t="shared" ca="1" si="50"/>
        <v>0</v>
      </c>
      <c r="U14" s="828">
        <f t="shared" ca="1" si="5"/>
        <v>0</v>
      </c>
      <c r="V14" s="828">
        <f t="shared" ca="1" si="5"/>
        <v>0</v>
      </c>
      <c r="W14" s="828">
        <f t="shared" ca="1" si="5"/>
        <v>0</v>
      </c>
      <c r="X14" s="828">
        <f t="shared" ca="1" si="6"/>
        <v>0</v>
      </c>
      <c r="Y14" s="828">
        <f t="shared" ca="1" si="7"/>
        <v>0</v>
      </c>
      <c r="Z14" s="828">
        <f t="shared" ca="1" si="8"/>
        <v>0</v>
      </c>
      <c r="AA14" s="828">
        <f t="shared" ca="1" si="9"/>
        <v>0</v>
      </c>
      <c r="AB14" s="828" t="str">
        <f t="shared" ca="1" si="51"/>
        <v/>
      </c>
      <c r="AC14" s="828" t="str">
        <f t="shared" ca="1" si="10"/>
        <v/>
      </c>
      <c r="AD14" s="828" t="str">
        <f t="shared" ca="1" si="11"/>
        <v/>
      </c>
      <c r="AE14" s="828" t="str">
        <f t="shared" ca="1" si="12"/>
        <v/>
      </c>
      <c r="AF14" s="828" t="str">
        <f t="shared" ca="1" si="13"/>
        <v/>
      </c>
      <c r="AG14" s="828" t="str">
        <f t="shared" ca="1" si="14"/>
        <v/>
      </c>
      <c r="AH14" s="828" t="str">
        <f t="shared" ca="1" si="15"/>
        <v/>
      </c>
      <c r="AI14" s="828" t="str">
        <f t="shared" ca="1" si="16"/>
        <v/>
      </c>
      <c r="AJ14" s="828" t="str">
        <f t="shared" ca="1" si="17"/>
        <v/>
      </c>
      <c r="AK14" s="828" t="str">
        <f t="shared" ca="1" si="18"/>
        <v/>
      </c>
      <c r="AL14" s="828" t="str">
        <f t="shared" ca="1" si="19"/>
        <v/>
      </c>
      <c r="AM14" s="828" t="str">
        <f t="shared" ca="1" si="20"/>
        <v/>
      </c>
      <c r="AN14" s="828" t="str">
        <f t="shared" ca="1" si="21"/>
        <v/>
      </c>
      <c r="AO14" s="828" t="str">
        <f t="shared" ca="1" si="22"/>
        <v/>
      </c>
      <c r="AP14" s="828" t="str">
        <f t="shared" ca="1" si="23"/>
        <v/>
      </c>
      <c r="AQ14" s="828" t="str">
        <f t="shared" ca="1" si="24"/>
        <v/>
      </c>
      <c r="AR14" s="828" t="str">
        <f t="shared" ca="1" si="25"/>
        <v/>
      </c>
      <c r="AS14" s="828" t="str">
        <f t="shared" ca="1" si="26"/>
        <v/>
      </c>
      <c r="AT14" s="828" t="str">
        <f t="shared" ca="1" si="27"/>
        <v/>
      </c>
      <c r="AU14" s="828" t="str">
        <f t="shared" ca="1" si="28"/>
        <v/>
      </c>
      <c r="AV14" s="828" t="str">
        <f t="shared" ca="1" si="29"/>
        <v/>
      </c>
      <c r="AW14" s="828" t="str">
        <f t="shared" ca="1" si="30"/>
        <v/>
      </c>
      <c r="AX14" s="828" t="str">
        <f t="shared" ca="1" si="31"/>
        <v/>
      </c>
      <c r="AY14" s="828" t="str">
        <f t="shared" ca="1" si="32"/>
        <v/>
      </c>
      <c r="AZ14" s="828" t="str">
        <f t="shared" ca="1" si="33"/>
        <v/>
      </c>
      <c r="BA14" s="828" t="str">
        <f t="shared" ca="1" si="34"/>
        <v/>
      </c>
      <c r="BB14" s="828" t="str">
        <f t="shared" ca="1" si="35"/>
        <v/>
      </c>
      <c r="BC14" s="828" t="str">
        <f t="shared" ca="1" si="36"/>
        <v/>
      </c>
      <c r="BD14" s="828" t="str">
        <f t="shared" ca="1" si="37"/>
        <v/>
      </c>
      <c r="BE14" s="828" t="str">
        <f t="shared" ca="1" si="38"/>
        <v/>
      </c>
      <c r="BF14" s="828" t="str">
        <f t="shared" ca="1" si="39"/>
        <v/>
      </c>
      <c r="BG14" s="828" t="str">
        <f t="shared" ca="1" si="40"/>
        <v/>
      </c>
      <c r="BH14" s="828" t="str">
        <f t="shared" ca="1" si="41"/>
        <v/>
      </c>
      <c r="BI14" s="828" t="str">
        <f t="shared" ca="1" si="42"/>
        <v/>
      </c>
      <c r="BJ14" s="828" t="str">
        <f t="shared" ca="1" si="43"/>
        <v/>
      </c>
      <c r="BK14" s="828" t="str">
        <f t="shared" ca="1" si="44"/>
        <v/>
      </c>
      <c r="BL14" s="828" t="str">
        <f t="shared" ca="1" si="45"/>
        <v/>
      </c>
      <c r="BM14" s="828" t="str">
        <f t="shared" ca="1" si="46"/>
        <v/>
      </c>
      <c r="BN14" s="828" t="str">
        <f t="shared" ca="1" si="47"/>
        <v/>
      </c>
      <c r="BO14" s="828" t="str">
        <f t="shared" ca="1" si="48"/>
        <v/>
      </c>
    </row>
    <row r="15" spans="1:68" ht="20.100000000000001" customHeight="1">
      <c r="A15" s="823">
        <v>14</v>
      </c>
      <c r="B15" s="1871"/>
      <c r="C15" s="1872"/>
      <c r="D15" s="824" t="s">
        <v>4150</v>
      </c>
      <c r="E15" s="824"/>
      <c r="F15" s="825"/>
      <c r="G15" s="826" t="s">
        <v>4144</v>
      </c>
      <c r="H15" s="827">
        <f t="shared" ca="1" si="0"/>
        <v>38</v>
      </c>
      <c r="I15" s="827">
        <f t="shared" ca="1" si="1"/>
        <v>38</v>
      </c>
      <c r="J15" s="827">
        <f t="shared" ca="1" si="2"/>
        <v>38</v>
      </c>
      <c r="K15" s="827">
        <f t="shared" ca="1" si="3"/>
        <v>38</v>
      </c>
      <c r="L15" s="828">
        <f t="shared" ca="1" si="49"/>
        <v>0</v>
      </c>
      <c r="M15" s="828">
        <f t="shared" ca="1" si="4"/>
        <v>0</v>
      </c>
      <c r="N15" s="828">
        <f t="shared" ca="1" si="4"/>
        <v>0</v>
      </c>
      <c r="O15" s="828">
        <f t="shared" ca="1" si="4"/>
        <v>0</v>
      </c>
      <c r="P15" s="828">
        <f ca="1">SUM(SUMIFS(OFFSET(貼付け_2024実績,$A15,9,1,199),OFFSET(貼付け_2024実績,4,9,1,199),{"横浜*","川崎*"}))</f>
        <v>0</v>
      </c>
      <c r="Q15" s="828">
        <f ca="1">SUM(SUMIFS(OFFSET(貼付け_2025実績,$A15,9,1,199),OFFSET(貼付け_2025実績,4,9,1,199),{"横浜*","川崎*"}))</f>
        <v>0</v>
      </c>
      <c r="R15" s="828">
        <f ca="1">SUM(SUMIFS(OFFSET(貼付け_2026実績,$A15,9,1,199),OFFSET(貼付け_2026実績,4,9,1,199),{"横浜*","川崎*"}))</f>
        <v>0</v>
      </c>
      <c r="S15" s="828">
        <f ca="1">SUM(SUMIFS(OFFSET(貼付け_2027実績,$A15,9,1,199),OFFSET(貼付け_2027実績,4,9,1,199),{"横浜*","川崎*"}))</f>
        <v>0</v>
      </c>
      <c r="T15" s="828">
        <f t="shared" ca="1" si="50"/>
        <v>0</v>
      </c>
      <c r="U15" s="828">
        <f t="shared" ca="1" si="5"/>
        <v>0</v>
      </c>
      <c r="V15" s="828">
        <f t="shared" ca="1" si="5"/>
        <v>0</v>
      </c>
      <c r="W15" s="828">
        <f t="shared" ca="1" si="5"/>
        <v>0</v>
      </c>
      <c r="X15" s="828">
        <f t="shared" ca="1" si="6"/>
        <v>0</v>
      </c>
      <c r="Y15" s="828">
        <f t="shared" ca="1" si="7"/>
        <v>0</v>
      </c>
      <c r="Z15" s="828">
        <f t="shared" ca="1" si="8"/>
        <v>0</v>
      </c>
      <c r="AA15" s="828">
        <f t="shared" ca="1" si="9"/>
        <v>0</v>
      </c>
      <c r="AB15" s="828" t="str">
        <f t="shared" ca="1" si="51"/>
        <v/>
      </c>
      <c r="AC15" s="828" t="str">
        <f t="shared" ca="1" si="10"/>
        <v/>
      </c>
      <c r="AD15" s="828" t="str">
        <f t="shared" ca="1" si="11"/>
        <v/>
      </c>
      <c r="AE15" s="828" t="str">
        <f t="shared" ca="1" si="12"/>
        <v/>
      </c>
      <c r="AF15" s="828" t="str">
        <f t="shared" ca="1" si="13"/>
        <v/>
      </c>
      <c r="AG15" s="828" t="str">
        <f t="shared" ca="1" si="14"/>
        <v/>
      </c>
      <c r="AH15" s="828" t="str">
        <f t="shared" ca="1" si="15"/>
        <v/>
      </c>
      <c r="AI15" s="828" t="str">
        <f t="shared" ca="1" si="16"/>
        <v/>
      </c>
      <c r="AJ15" s="828" t="str">
        <f t="shared" ca="1" si="17"/>
        <v/>
      </c>
      <c r="AK15" s="828" t="str">
        <f t="shared" ca="1" si="18"/>
        <v/>
      </c>
      <c r="AL15" s="828" t="str">
        <f t="shared" ca="1" si="19"/>
        <v/>
      </c>
      <c r="AM15" s="828" t="str">
        <f t="shared" ca="1" si="20"/>
        <v/>
      </c>
      <c r="AN15" s="828" t="str">
        <f t="shared" ca="1" si="21"/>
        <v/>
      </c>
      <c r="AO15" s="828" t="str">
        <f t="shared" ca="1" si="22"/>
        <v/>
      </c>
      <c r="AP15" s="828" t="str">
        <f t="shared" ca="1" si="23"/>
        <v/>
      </c>
      <c r="AQ15" s="828" t="str">
        <f t="shared" ca="1" si="24"/>
        <v/>
      </c>
      <c r="AR15" s="828" t="str">
        <f t="shared" ca="1" si="25"/>
        <v/>
      </c>
      <c r="AS15" s="828" t="str">
        <f t="shared" ca="1" si="26"/>
        <v/>
      </c>
      <c r="AT15" s="828" t="str">
        <f t="shared" ca="1" si="27"/>
        <v/>
      </c>
      <c r="AU15" s="828" t="str">
        <f t="shared" ca="1" si="28"/>
        <v/>
      </c>
      <c r="AV15" s="828" t="str">
        <f t="shared" ca="1" si="29"/>
        <v/>
      </c>
      <c r="AW15" s="828" t="str">
        <f t="shared" ca="1" si="30"/>
        <v/>
      </c>
      <c r="AX15" s="828" t="str">
        <f t="shared" ca="1" si="31"/>
        <v/>
      </c>
      <c r="AY15" s="828" t="str">
        <f t="shared" ca="1" si="32"/>
        <v/>
      </c>
      <c r="AZ15" s="828" t="str">
        <f t="shared" ca="1" si="33"/>
        <v/>
      </c>
      <c r="BA15" s="828" t="str">
        <f t="shared" ca="1" si="34"/>
        <v/>
      </c>
      <c r="BB15" s="828" t="str">
        <f t="shared" ca="1" si="35"/>
        <v/>
      </c>
      <c r="BC15" s="828" t="str">
        <f t="shared" ca="1" si="36"/>
        <v/>
      </c>
      <c r="BD15" s="828" t="str">
        <f t="shared" ca="1" si="37"/>
        <v/>
      </c>
      <c r="BE15" s="828" t="str">
        <f t="shared" ca="1" si="38"/>
        <v/>
      </c>
      <c r="BF15" s="828" t="str">
        <f t="shared" ca="1" si="39"/>
        <v/>
      </c>
      <c r="BG15" s="828" t="str">
        <f t="shared" ca="1" si="40"/>
        <v/>
      </c>
      <c r="BH15" s="828" t="str">
        <f t="shared" ca="1" si="41"/>
        <v/>
      </c>
      <c r="BI15" s="828" t="str">
        <f t="shared" ca="1" si="42"/>
        <v/>
      </c>
      <c r="BJ15" s="828" t="str">
        <f t="shared" ca="1" si="43"/>
        <v/>
      </c>
      <c r="BK15" s="828" t="str">
        <f t="shared" ca="1" si="44"/>
        <v/>
      </c>
      <c r="BL15" s="828" t="str">
        <f t="shared" ca="1" si="45"/>
        <v/>
      </c>
      <c r="BM15" s="828" t="str">
        <f t="shared" ca="1" si="46"/>
        <v/>
      </c>
      <c r="BN15" s="828" t="str">
        <f t="shared" ca="1" si="47"/>
        <v/>
      </c>
      <c r="BO15" s="828" t="str">
        <f t="shared" ca="1" si="48"/>
        <v/>
      </c>
    </row>
    <row r="16" spans="1:68" ht="20.100000000000001" customHeight="1">
      <c r="A16" s="823">
        <v>15</v>
      </c>
      <c r="B16" s="1870"/>
      <c r="C16" s="1872"/>
      <c r="D16" s="824" t="s">
        <v>4151</v>
      </c>
      <c r="E16" s="824"/>
      <c r="F16" s="825"/>
      <c r="G16" s="826" t="s">
        <v>4144</v>
      </c>
      <c r="H16" s="827">
        <f t="shared" ca="1" si="0"/>
        <v>38.9</v>
      </c>
      <c r="I16" s="827">
        <f t="shared" ca="1" si="1"/>
        <v>38.9</v>
      </c>
      <c r="J16" s="827">
        <f t="shared" ca="1" si="2"/>
        <v>38.9</v>
      </c>
      <c r="K16" s="827">
        <f t="shared" ca="1" si="3"/>
        <v>38.9</v>
      </c>
      <c r="L16" s="828">
        <f t="shared" ca="1" si="49"/>
        <v>0</v>
      </c>
      <c r="M16" s="828">
        <f t="shared" ca="1" si="4"/>
        <v>0</v>
      </c>
      <c r="N16" s="828">
        <f t="shared" ca="1" si="4"/>
        <v>0</v>
      </c>
      <c r="O16" s="828">
        <f t="shared" ca="1" si="4"/>
        <v>0</v>
      </c>
      <c r="P16" s="828">
        <f ca="1">SUM(SUMIFS(OFFSET(貼付け_2024実績,$A16,9,1,199),OFFSET(貼付け_2024実績,4,9,1,199),{"横浜*","川崎*"}))</f>
        <v>0</v>
      </c>
      <c r="Q16" s="828">
        <f ca="1">SUM(SUMIFS(OFFSET(貼付け_2025実績,$A16,9,1,199),OFFSET(貼付け_2025実績,4,9,1,199),{"横浜*","川崎*"}))</f>
        <v>0</v>
      </c>
      <c r="R16" s="828">
        <f ca="1">SUM(SUMIFS(OFFSET(貼付け_2026実績,$A16,9,1,199),OFFSET(貼付け_2026実績,4,9,1,199),{"横浜*","川崎*"}))</f>
        <v>0</v>
      </c>
      <c r="S16" s="828">
        <f ca="1">SUM(SUMIFS(OFFSET(貼付け_2027実績,$A16,9,1,199),OFFSET(貼付け_2027実績,4,9,1,199),{"横浜*","川崎*"}))</f>
        <v>0</v>
      </c>
      <c r="T16" s="828">
        <f t="shared" ca="1" si="50"/>
        <v>0</v>
      </c>
      <c r="U16" s="828">
        <f t="shared" ca="1" si="5"/>
        <v>0</v>
      </c>
      <c r="V16" s="828">
        <f t="shared" ca="1" si="5"/>
        <v>0</v>
      </c>
      <c r="W16" s="828">
        <f t="shared" ca="1" si="5"/>
        <v>0</v>
      </c>
      <c r="X16" s="828">
        <f t="shared" ca="1" si="6"/>
        <v>0</v>
      </c>
      <c r="Y16" s="828">
        <f t="shared" ca="1" si="7"/>
        <v>0</v>
      </c>
      <c r="Z16" s="828">
        <f t="shared" ca="1" si="8"/>
        <v>0</v>
      </c>
      <c r="AA16" s="828">
        <f t="shared" ca="1" si="9"/>
        <v>0</v>
      </c>
      <c r="AB16" s="828" t="str">
        <f t="shared" ca="1" si="51"/>
        <v/>
      </c>
      <c r="AC16" s="828" t="str">
        <f t="shared" ca="1" si="10"/>
        <v/>
      </c>
      <c r="AD16" s="828" t="str">
        <f t="shared" ca="1" si="11"/>
        <v/>
      </c>
      <c r="AE16" s="828" t="str">
        <f t="shared" ca="1" si="12"/>
        <v/>
      </c>
      <c r="AF16" s="828" t="str">
        <f t="shared" ca="1" si="13"/>
        <v/>
      </c>
      <c r="AG16" s="828" t="str">
        <f t="shared" ca="1" si="14"/>
        <v/>
      </c>
      <c r="AH16" s="828" t="str">
        <f t="shared" ca="1" si="15"/>
        <v/>
      </c>
      <c r="AI16" s="828" t="str">
        <f t="shared" ca="1" si="16"/>
        <v/>
      </c>
      <c r="AJ16" s="828" t="str">
        <f t="shared" ca="1" si="17"/>
        <v/>
      </c>
      <c r="AK16" s="828" t="str">
        <f t="shared" ca="1" si="18"/>
        <v/>
      </c>
      <c r="AL16" s="828" t="str">
        <f t="shared" ca="1" si="19"/>
        <v/>
      </c>
      <c r="AM16" s="828" t="str">
        <f t="shared" ca="1" si="20"/>
        <v/>
      </c>
      <c r="AN16" s="828" t="str">
        <f t="shared" ca="1" si="21"/>
        <v/>
      </c>
      <c r="AO16" s="828" t="str">
        <f t="shared" ca="1" si="22"/>
        <v/>
      </c>
      <c r="AP16" s="828" t="str">
        <f t="shared" ca="1" si="23"/>
        <v/>
      </c>
      <c r="AQ16" s="828" t="str">
        <f t="shared" ca="1" si="24"/>
        <v/>
      </c>
      <c r="AR16" s="828" t="str">
        <f t="shared" ca="1" si="25"/>
        <v/>
      </c>
      <c r="AS16" s="828" t="str">
        <f t="shared" ca="1" si="26"/>
        <v/>
      </c>
      <c r="AT16" s="828" t="str">
        <f t="shared" ca="1" si="27"/>
        <v/>
      </c>
      <c r="AU16" s="828" t="str">
        <f t="shared" ca="1" si="28"/>
        <v/>
      </c>
      <c r="AV16" s="828" t="str">
        <f t="shared" ca="1" si="29"/>
        <v/>
      </c>
      <c r="AW16" s="828" t="str">
        <f t="shared" ca="1" si="30"/>
        <v/>
      </c>
      <c r="AX16" s="828" t="str">
        <f t="shared" ca="1" si="31"/>
        <v/>
      </c>
      <c r="AY16" s="828" t="str">
        <f t="shared" ca="1" si="32"/>
        <v/>
      </c>
      <c r="AZ16" s="828" t="str">
        <f t="shared" ca="1" si="33"/>
        <v/>
      </c>
      <c r="BA16" s="828" t="str">
        <f t="shared" ca="1" si="34"/>
        <v/>
      </c>
      <c r="BB16" s="828" t="str">
        <f t="shared" ca="1" si="35"/>
        <v/>
      </c>
      <c r="BC16" s="828" t="str">
        <f t="shared" ca="1" si="36"/>
        <v/>
      </c>
      <c r="BD16" s="828" t="str">
        <f t="shared" ca="1" si="37"/>
        <v/>
      </c>
      <c r="BE16" s="828" t="str">
        <f t="shared" ca="1" si="38"/>
        <v/>
      </c>
      <c r="BF16" s="828" t="str">
        <f t="shared" ca="1" si="39"/>
        <v/>
      </c>
      <c r="BG16" s="828" t="str">
        <f t="shared" ca="1" si="40"/>
        <v/>
      </c>
      <c r="BH16" s="828" t="str">
        <f t="shared" ca="1" si="41"/>
        <v/>
      </c>
      <c r="BI16" s="828" t="str">
        <f t="shared" ca="1" si="42"/>
        <v/>
      </c>
      <c r="BJ16" s="828" t="str">
        <f t="shared" ca="1" si="43"/>
        <v/>
      </c>
      <c r="BK16" s="828" t="str">
        <f t="shared" ca="1" si="44"/>
        <v/>
      </c>
      <c r="BL16" s="828" t="str">
        <f t="shared" ca="1" si="45"/>
        <v/>
      </c>
      <c r="BM16" s="828" t="str">
        <f t="shared" ca="1" si="46"/>
        <v/>
      </c>
      <c r="BN16" s="828" t="str">
        <f t="shared" ca="1" si="47"/>
        <v/>
      </c>
      <c r="BO16" s="828" t="str">
        <f t="shared" ca="1" si="48"/>
        <v/>
      </c>
    </row>
    <row r="17" spans="1:67" ht="20.100000000000001" customHeight="1">
      <c r="A17" s="823">
        <v>16</v>
      </c>
      <c r="B17" s="1870"/>
      <c r="C17" s="1872"/>
      <c r="D17" s="824" t="s">
        <v>4152</v>
      </c>
      <c r="E17" s="818"/>
      <c r="F17" s="825"/>
      <c r="G17" s="826" t="s">
        <v>4144</v>
      </c>
      <c r="H17" s="827">
        <f t="shared" ca="1" si="0"/>
        <v>41.8</v>
      </c>
      <c r="I17" s="827">
        <f t="shared" ca="1" si="1"/>
        <v>41.8</v>
      </c>
      <c r="J17" s="827">
        <f t="shared" ca="1" si="2"/>
        <v>41.8</v>
      </c>
      <c r="K17" s="827">
        <f t="shared" ca="1" si="3"/>
        <v>41.8</v>
      </c>
      <c r="L17" s="828">
        <f t="shared" ca="1" si="49"/>
        <v>0</v>
      </c>
      <c r="M17" s="828">
        <f t="shared" ca="1" si="4"/>
        <v>0</v>
      </c>
      <c r="N17" s="828">
        <f t="shared" ca="1" si="4"/>
        <v>0</v>
      </c>
      <c r="O17" s="828">
        <f t="shared" ca="1" si="4"/>
        <v>0</v>
      </c>
      <c r="P17" s="828">
        <f ca="1">SUM(SUMIFS(OFFSET(貼付け_2024実績,$A17,9,1,199),OFFSET(貼付け_2024実績,4,9,1,199),{"横浜*","川崎*"}))</f>
        <v>0</v>
      </c>
      <c r="Q17" s="828">
        <f ca="1">SUM(SUMIFS(OFFSET(貼付け_2025実績,$A17,9,1,199),OFFSET(貼付け_2025実績,4,9,1,199),{"横浜*","川崎*"}))</f>
        <v>0</v>
      </c>
      <c r="R17" s="828">
        <f ca="1">SUM(SUMIFS(OFFSET(貼付け_2026実績,$A17,9,1,199),OFFSET(貼付け_2026実績,4,9,1,199),{"横浜*","川崎*"}))</f>
        <v>0</v>
      </c>
      <c r="S17" s="828">
        <f ca="1">SUM(SUMIFS(OFFSET(貼付け_2027実績,$A17,9,1,199),OFFSET(貼付け_2027実績,4,9,1,199),{"横浜*","川崎*"}))</f>
        <v>0</v>
      </c>
      <c r="T17" s="828">
        <f t="shared" ca="1" si="50"/>
        <v>0</v>
      </c>
      <c r="U17" s="828">
        <f t="shared" ca="1" si="5"/>
        <v>0</v>
      </c>
      <c r="V17" s="828">
        <f t="shared" ca="1" si="5"/>
        <v>0</v>
      </c>
      <c r="W17" s="828">
        <f t="shared" ca="1" si="5"/>
        <v>0</v>
      </c>
      <c r="X17" s="828">
        <f t="shared" ca="1" si="6"/>
        <v>0</v>
      </c>
      <c r="Y17" s="828">
        <f t="shared" ca="1" si="7"/>
        <v>0</v>
      </c>
      <c r="Z17" s="828">
        <f t="shared" ca="1" si="8"/>
        <v>0</v>
      </c>
      <c r="AA17" s="828">
        <f t="shared" ca="1" si="9"/>
        <v>0</v>
      </c>
      <c r="AB17" s="828" t="str">
        <f t="shared" ca="1" si="51"/>
        <v/>
      </c>
      <c r="AC17" s="828" t="str">
        <f t="shared" ca="1" si="10"/>
        <v/>
      </c>
      <c r="AD17" s="828" t="str">
        <f t="shared" ca="1" si="11"/>
        <v/>
      </c>
      <c r="AE17" s="828" t="str">
        <f t="shared" ca="1" si="12"/>
        <v/>
      </c>
      <c r="AF17" s="828" t="str">
        <f t="shared" ca="1" si="13"/>
        <v/>
      </c>
      <c r="AG17" s="828" t="str">
        <f t="shared" ca="1" si="14"/>
        <v/>
      </c>
      <c r="AH17" s="828" t="str">
        <f t="shared" ca="1" si="15"/>
        <v/>
      </c>
      <c r="AI17" s="828" t="str">
        <f t="shared" ca="1" si="16"/>
        <v/>
      </c>
      <c r="AJ17" s="828" t="str">
        <f t="shared" ca="1" si="17"/>
        <v/>
      </c>
      <c r="AK17" s="828" t="str">
        <f t="shared" ca="1" si="18"/>
        <v/>
      </c>
      <c r="AL17" s="828" t="str">
        <f t="shared" ca="1" si="19"/>
        <v/>
      </c>
      <c r="AM17" s="828" t="str">
        <f t="shared" ca="1" si="20"/>
        <v/>
      </c>
      <c r="AN17" s="828" t="str">
        <f t="shared" ca="1" si="21"/>
        <v/>
      </c>
      <c r="AO17" s="828" t="str">
        <f t="shared" ca="1" si="22"/>
        <v/>
      </c>
      <c r="AP17" s="828" t="str">
        <f t="shared" ca="1" si="23"/>
        <v/>
      </c>
      <c r="AQ17" s="828" t="str">
        <f t="shared" ca="1" si="24"/>
        <v/>
      </c>
      <c r="AR17" s="828" t="str">
        <f t="shared" ca="1" si="25"/>
        <v/>
      </c>
      <c r="AS17" s="828" t="str">
        <f t="shared" ca="1" si="26"/>
        <v/>
      </c>
      <c r="AT17" s="828" t="str">
        <f t="shared" ca="1" si="27"/>
        <v/>
      </c>
      <c r="AU17" s="828" t="str">
        <f t="shared" ca="1" si="28"/>
        <v/>
      </c>
      <c r="AV17" s="828" t="str">
        <f t="shared" ca="1" si="29"/>
        <v/>
      </c>
      <c r="AW17" s="828" t="str">
        <f t="shared" ca="1" si="30"/>
        <v/>
      </c>
      <c r="AX17" s="828" t="str">
        <f t="shared" ca="1" si="31"/>
        <v/>
      </c>
      <c r="AY17" s="828" t="str">
        <f t="shared" ca="1" si="32"/>
        <v/>
      </c>
      <c r="AZ17" s="828" t="str">
        <f t="shared" ca="1" si="33"/>
        <v/>
      </c>
      <c r="BA17" s="828" t="str">
        <f t="shared" ca="1" si="34"/>
        <v/>
      </c>
      <c r="BB17" s="828" t="str">
        <f t="shared" ca="1" si="35"/>
        <v/>
      </c>
      <c r="BC17" s="828" t="str">
        <f t="shared" ca="1" si="36"/>
        <v/>
      </c>
      <c r="BD17" s="828" t="str">
        <f t="shared" ca="1" si="37"/>
        <v/>
      </c>
      <c r="BE17" s="828" t="str">
        <f t="shared" ca="1" si="38"/>
        <v/>
      </c>
      <c r="BF17" s="828" t="str">
        <f t="shared" ca="1" si="39"/>
        <v/>
      </c>
      <c r="BG17" s="828" t="str">
        <f t="shared" ca="1" si="40"/>
        <v/>
      </c>
      <c r="BH17" s="828" t="str">
        <f t="shared" ca="1" si="41"/>
        <v/>
      </c>
      <c r="BI17" s="828" t="str">
        <f t="shared" ca="1" si="42"/>
        <v/>
      </c>
      <c r="BJ17" s="828" t="str">
        <f t="shared" ca="1" si="43"/>
        <v/>
      </c>
      <c r="BK17" s="828" t="str">
        <f t="shared" ca="1" si="44"/>
        <v/>
      </c>
      <c r="BL17" s="828" t="str">
        <f t="shared" ca="1" si="45"/>
        <v/>
      </c>
      <c r="BM17" s="828" t="str">
        <f t="shared" ca="1" si="46"/>
        <v/>
      </c>
      <c r="BN17" s="828" t="str">
        <f t="shared" ca="1" si="47"/>
        <v/>
      </c>
      <c r="BO17" s="828" t="str">
        <f t="shared" ca="1" si="48"/>
        <v/>
      </c>
    </row>
    <row r="18" spans="1:67" ht="20.100000000000001" customHeight="1">
      <c r="A18" s="823">
        <v>17</v>
      </c>
      <c r="B18" s="1870"/>
      <c r="C18" s="1872"/>
      <c r="D18" s="824" t="s">
        <v>4153</v>
      </c>
      <c r="E18" s="824"/>
      <c r="F18" s="825"/>
      <c r="G18" s="826" t="s">
        <v>3777</v>
      </c>
      <c r="H18" s="827">
        <f t="shared" ca="1" si="0"/>
        <v>40</v>
      </c>
      <c r="I18" s="827">
        <f t="shared" ca="1" si="1"/>
        <v>40</v>
      </c>
      <c r="J18" s="827">
        <f t="shared" ca="1" si="2"/>
        <v>40</v>
      </c>
      <c r="K18" s="827">
        <f t="shared" ca="1" si="3"/>
        <v>40</v>
      </c>
      <c r="L18" s="828">
        <f t="shared" ca="1" si="49"/>
        <v>0</v>
      </c>
      <c r="M18" s="828">
        <f t="shared" ca="1" si="4"/>
        <v>0</v>
      </c>
      <c r="N18" s="828">
        <f t="shared" ca="1" si="4"/>
        <v>0</v>
      </c>
      <c r="O18" s="828">
        <f t="shared" ca="1" si="4"/>
        <v>0</v>
      </c>
      <c r="P18" s="828">
        <f ca="1">SUM(SUMIFS(OFFSET(貼付け_2024実績,$A18,9,1,199),OFFSET(貼付け_2024実績,4,9,1,199),{"横浜*","川崎*"}))</f>
        <v>0</v>
      </c>
      <c r="Q18" s="828">
        <f ca="1">SUM(SUMIFS(OFFSET(貼付け_2025実績,$A18,9,1,199),OFFSET(貼付け_2025実績,4,9,1,199),{"横浜*","川崎*"}))</f>
        <v>0</v>
      </c>
      <c r="R18" s="828">
        <f ca="1">SUM(SUMIFS(OFFSET(貼付け_2026実績,$A18,9,1,199),OFFSET(貼付け_2026実績,4,9,1,199),{"横浜*","川崎*"}))</f>
        <v>0</v>
      </c>
      <c r="S18" s="828">
        <f ca="1">SUM(SUMIFS(OFFSET(貼付け_2027実績,$A18,9,1,199),OFFSET(貼付け_2027実績,4,9,1,199),{"横浜*","川崎*"}))</f>
        <v>0</v>
      </c>
      <c r="T18" s="828">
        <f t="shared" ca="1" si="50"/>
        <v>0</v>
      </c>
      <c r="U18" s="828">
        <f t="shared" ca="1" si="5"/>
        <v>0</v>
      </c>
      <c r="V18" s="828">
        <f t="shared" ca="1" si="5"/>
        <v>0</v>
      </c>
      <c r="W18" s="828">
        <f t="shared" ca="1" si="5"/>
        <v>0</v>
      </c>
      <c r="X18" s="828">
        <f t="shared" ca="1" si="6"/>
        <v>0</v>
      </c>
      <c r="Y18" s="828">
        <f t="shared" ca="1" si="7"/>
        <v>0</v>
      </c>
      <c r="Z18" s="828">
        <f t="shared" ca="1" si="8"/>
        <v>0</v>
      </c>
      <c r="AA18" s="828">
        <f t="shared" ca="1" si="9"/>
        <v>0</v>
      </c>
      <c r="AB18" s="828" t="str">
        <f t="shared" ca="1" si="51"/>
        <v/>
      </c>
      <c r="AC18" s="828" t="str">
        <f t="shared" ca="1" si="10"/>
        <v/>
      </c>
      <c r="AD18" s="828" t="str">
        <f t="shared" ca="1" si="11"/>
        <v/>
      </c>
      <c r="AE18" s="828" t="str">
        <f t="shared" ca="1" si="12"/>
        <v/>
      </c>
      <c r="AF18" s="828" t="str">
        <f t="shared" ca="1" si="13"/>
        <v/>
      </c>
      <c r="AG18" s="828" t="str">
        <f t="shared" ca="1" si="14"/>
        <v/>
      </c>
      <c r="AH18" s="828" t="str">
        <f t="shared" ca="1" si="15"/>
        <v/>
      </c>
      <c r="AI18" s="828" t="str">
        <f t="shared" ca="1" si="16"/>
        <v/>
      </c>
      <c r="AJ18" s="828" t="str">
        <f t="shared" ca="1" si="17"/>
        <v/>
      </c>
      <c r="AK18" s="828" t="str">
        <f t="shared" ca="1" si="18"/>
        <v/>
      </c>
      <c r="AL18" s="828" t="str">
        <f t="shared" ca="1" si="19"/>
        <v/>
      </c>
      <c r="AM18" s="828" t="str">
        <f t="shared" ca="1" si="20"/>
        <v/>
      </c>
      <c r="AN18" s="828" t="str">
        <f t="shared" ca="1" si="21"/>
        <v/>
      </c>
      <c r="AO18" s="828" t="str">
        <f t="shared" ca="1" si="22"/>
        <v/>
      </c>
      <c r="AP18" s="828" t="str">
        <f t="shared" ca="1" si="23"/>
        <v/>
      </c>
      <c r="AQ18" s="828" t="str">
        <f t="shared" ca="1" si="24"/>
        <v/>
      </c>
      <c r="AR18" s="828" t="str">
        <f t="shared" ca="1" si="25"/>
        <v/>
      </c>
      <c r="AS18" s="828" t="str">
        <f t="shared" ca="1" si="26"/>
        <v/>
      </c>
      <c r="AT18" s="828" t="str">
        <f t="shared" ca="1" si="27"/>
        <v/>
      </c>
      <c r="AU18" s="828" t="str">
        <f t="shared" ca="1" si="28"/>
        <v/>
      </c>
      <c r="AV18" s="828" t="str">
        <f t="shared" ca="1" si="29"/>
        <v/>
      </c>
      <c r="AW18" s="828" t="str">
        <f t="shared" ca="1" si="30"/>
        <v/>
      </c>
      <c r="AX18" s="828" t="str">
        <f t="shared" ca="1" si="31"/>
        <v/>
      </c>
      <c r="AY18" s="828" t="str">
        <f t="shared" ca="1" si="32"/>
        <v/>
      </c>
      <c r="AZ18" s="828" t="str">
        <f t="shared" ca="1" si="33"/>
        <v/>
      </c>
      <c r="BA18" s="828" t="str">
        <f t="shared" ca="1" si="34"/>
        <v/>
      </c>
      <c r="BB18" s="828" t="str">
        <f t="shared" ca="1" si="35"/>
        <v/>
      </c>
      <c r="BC18" s="828" t="str">
        <f t="shared" ca="1" si="36"/>
        <v/>
      </c>
      <c r="BD18" s="828" t="str">
        <f t="shared" ca="1" si="37"/>
        <v/>
      </c>
      <c r="BE18" s="828" t="str">
        <f t="shared" ca="1" si="38"/>
        <v/>
      </c>
      <c r="BF18" s="828" t="str">
        <f t="shared" ca="1" si="39"/>
        <v/>
      </c>
      <c r="BG18" s="828" t="str">
        <f t="shared" ca="1" si="40"/>
        <v/>
      </c>
      <c r="BH18" s="828" t="str">
        <f t="shared" ca="1" si="41"/>
        <v/>
      </c>
      <c r="BI18" s="828" t="str">
        <f t="shared" ca="1" si="42"/>
        <v/>
      </c>
      <c r="BJ18" s="828" t="str">
        <f t="shared" ca="1" si="43"/>
        <v/>
      </c>
      <c r="BK18" s="828" t="str">
        <f t="shared" ca="1" si="44"/>
        <v/>
      </c>
      <c r="BL18" s="828" t="str">
        <f t="shared" ca="1" si="45"/>
        <v/>
      </c>
      <c r="BM18" s="828" t="str">
        <f t="shared" ca="1" si="46"/>
        <v/>
      </c>
      <c r="BN18" s="828" t="str">
        <f t="shared" ca="1" si="47"/>
        <v/>
      </c>
      <c r="BO18" s="828" t="str">
        <f t="shared" ca="1" si="48"/>
        <v/>
      </c>
    </row>
    <row r="19" spans="1:67" ht="20.100000000000001" customHeight="1">
      <c r="A19" s="823">
        <v>18</v>
      </c>
      <c r="B19" s="1870"/>
      <c r="C19" s="1872"/>
      <c r="D19" s="824" t="s">
        <v>4154</v>
      </c>
      <c r="E19" s="824"/>
      <c r="F19" s="825"/>
      <c r="G19" s="826" t="s">
        <v>3777</v>
      </c>
      <c r="H19" s="827">
        <f t="shared" ca="1" si="0"/>
        <v>34.1</v>
      </c>
      <c r="I19" s="827">
        <f t="shared" ca="1" si="1"/>
        <v>34.1</v>
      </c>
      <c r="J19" s="827">
        <f t="shared" ca="1" si="2"/>
        <v>34.1</v>
      </c>
      <c r="K19" s="827">
        <f t="shared" ca="1" si="3"/>
        <v>34.1</v>
      </c>
      <c r="L19" s="828">
        <f t="shared" ca="1" si="49"/>
        <v>0</v>
      </c>
      <c r="M19" s="828">
        <f t="shared" ca="1" si="4"/>
        <v>0</v>
      </c>
      <c r="N19" s="828">
        <f t="shared" ca="1" si="4"/>
        <v>0</v>
      </c>
      <c r="O19" s="828">
        <f t="shared" ca="1" si="4"/>
        <v>0</v>
      </c>
      <c r="P19" s="828">
        <f ca="1">SUM(SUMIFS(OFFSET(貼付け_2024実績,$A19,9,1,199),OFFSET(貼付け_2024実績,4,9,1,199),{"横浜*","川崎*"}))</f>
        <v>0</v>
      </c>
      <c r="Q19" s="828">
        <f ca="1">SUM(SUMIFS(OFFSET(貼付け_2025実績,$A19,9,1,199),OFFSET(貼付け_2025実績,4,9,1,199),{"横浜*","川崎*"}))</f>
        <v>0</v>
      </c>
      <c r="R19" s="828">
        <f ca="1">SUM(SUMIFS(OFFSET(貼付け_2026実績,$A19,9,1,199),OFFSET(貼付け_2026実績,4,9,1,199),{"横浜*","川崎*"}))</f>
        <v>0</v>
      </c>
      <c r="S19" s="828">
        <f ca="1">SUM(SUMIFS(OFFSET(貼付け_2027実績,$A19,9,1,199),OFFSET(貼付け_2027実績,4,9,1,199),{"横浜*","川崎*"}))</f>
        <v>0</v>
      </c>
      <c r="T19" s="828">
        <f t="shared" ca="1" si="50"/>
        <v>0</v>
      </c>
      <c r="U19" s="828">
        <f t="shared" ca="1" si="5"/>
        <v>0</v>
      </c>
      <c r="V19" s="828">
        <f t="shared" ca="1" si="5"/>
        <v>0</v>
      </c>
      <c r="W19" s="828">
        <f t="shared" ca="1" si="5"/>
        <v>0</v>
      </c>
      <c r="X19" s="828">
        <f t="shared" ca="1" si="6"/>
        <v>0</v>
      </c>
      <c r="Y19" s="828">
        <f t="shared" ca="1" si="7"/>
        <v>0</v>
      </c>
      <c r="Z19" s="828">
        <f t="shared" ca="1" si="8"/>
        <v>0</v>
      </c>
      <c r="AA19" s="828">
        <f t="shared" ca="1" si="9"/>
        <v>0</v>
      </c>
      <c r="AB19" s="828" t="str">
        <f t="shared" ca="1" si="51"/>
        <v/>
      </c>
      <c r="AC19" s="828" t="str">
        <f t="shared" ca="1" si="10"/>
        <v/>
      </c>
      <c r="AD19" s="828" t="str">
        <f t="shared" ca="1" si="11"/>
        <v/>
      </c>
      <c r="AE19" s="828" t="str">
        <f t="shared" ca="1" si="12"/>
        <v/>
      </c>
      <c r="AF19" s="828" t="str">
        <f t="shared" ca="1" si="13"/>
        <v/>
      </c>
      <c r="AG19" s="828" t="str">
        <f t="shared" ca="1" si="14"/>
        <v/>
      </c>
      <c r="AH19" s="828" t="str">
        <f t="shared" ca="1" si="15"/>
        <v/>
      </c>
      <c r="AI19" s="828" t="str">
        <f t="shared" ca="1" si="16"/>
        <v/>
      </c>
      <c r="AJ19" s="828" t="str">
        <f t="shared" ca="1" si="17"/>
        <v/>
      </c>
      <c r="AK19" s="828" t="str">
        <f t="shared" ca="1" si="18"/>
        <v/>
      </c>
      <c r="AL19" s="828" t="str">
        <f t="shared" ca="1" si="19"/>
        <v/>
      </c>
      <c r="AM19" s="828" t="str">
        <f t="shared" ca="1" si="20"/>
        <v/>
      </c>
      <c r="AN19" s="828" t="str">
        <f t="shared" ca="1" si="21"/>
        <v/>
      </c>
      <c r="AO19" s="828" t="str">
        <f t="shared" ca="1" si="22"/>
        <v/>
      </c>
      <c r="AP19" s="828" t="str">
        <f t="shared" ca="1" si="23"/>
        <v/>
      </c>
      <c r="AQ19" s="828" t="str">
        <f t="shared" ca="1" si="24"/>
        <v/>
      </c>
      <c r="AR19" s="828" t="str">
        <f t="shared" ca="1" si="25"/>
        <v/>
      </c>
      <c r="AS19" s="828" t="str">
        <f t="shared" ca="1" si="26"/>
        <v/>
      </c>
      <c r="AT19" s="828" t="str">
        <f t="shared" ca="1" si="27"/>
        <v/>
      </c>
      <c r="AU19" s="828" t="str">
        <f t="shared" ca="1" si="28"/>
        <v/>
      </c>
      <c r="AV19" s="828" t="str">
        <f t="shared" ca="1" si="29"/>
        <v/>
      </c>
      <c r="AW19" s="828" t="str">
        <f t="shared" ca="1" si="30"/>
        <v/>
      </c>
      <c r="AX19" s="828" t="str">
        <f t="shared" ca="1" si="31"/>
        <v/>
      </c>
      <c r="AY19" s="828" t="str">
        <f t="shared" ca="1" si="32"/>
        <v/>
      </c>
      <c r="AZ19" s="828" t="str">
        <f t="shared" ca="1" si="33"/>
        <v/>
      </c>
      <c r="BA19" s="828" t="str">
        <f t="shared" ca="1" si="34"/>
        <v/>
      </c>
      <c r="BB19" s="828" t="str">
        <f t="shared" ca="1" si="35"/>
        <v/>
      </c>
      <c r="BC19" s="828" t="str">
        <f t="shared" ca="1" si="36"/>
        <v/>
      </c>
      <c r="BD19" s="828" t="str">
        <f t="shared" ca="1" si="37"/>
        <v/>
      </c>
      <c r="BE19" s="828" t="str">
        <f t="shared" ca="1" si="38"/>
        <v/>
      </c>
      <c r="BF19" s="828" t="str">
        <f t="shared" ca="1" si="39"/>
        <v/>
      </c>
      <c r="BG19" s="828" t="str">
        <f t="shared" ca="1" si="40"/>
        <v/>
      </c>
      <c r="BH19" s="828" t="str">
        <f t="shared" ca="1" si="41"/>
        <v/>
      </c>
      <c r="BI19" s="828" t="str">
        <f t="shared" ca="1" si="42"/>
        <v/>
      </c>
      <c r="BJ19" s="828" t="str">
        <f t="shared" ca="1" si="43"/>
        <v/>
      </c>
      <c r="BK19" s="828" t="str">
        <f t="shared" ca="1" si="44"/>
        <v/>
      </c>
      <c r="BL19" s="828" t="str">
        <f t="shared" ca="1" si="45"/>
        <v/>
      </c>
      <c r="BM19" s="828" t="str">
        <f t="shared" ca="1" si="46"/>
        <v/>
      </c>
      <c r="BN19" s="828" t="str">
        <f t="shared" ca="1" si="47"/>
        <v/>
      </c>
      <c r="BO19" s="828" t="str">
        <f t="shared" ca="1" si="48"/>
        <v/>
      </c>
    </row>
    <row r="20" spans="1:67" ht="20.100000000000001" customHeight="1">
      <c r="A20" s="823">
        <v>19</v>
      </c>
      <c r="B20" s="1871"/>
      <c r="C20" s="1872"/>
      <c r="D20" s="824" t="s">
        <v>4394</v>
      </c>
      <c r="E20" s="824"/>
      <c r="F20" s="825"/>
      <c r="G20" s="826" t="s">
        <v>3777</v>
      </c>
      <c r="H20" s="827">
        <f t="shared" ca="1" si="0"/>
        <v>50.1</v>
      </c>
      <c r="I20" s="827">
        <f t="shared" ca="1" si="1"/>
        <v>50.1</v>
      </c>
      <c r="J20" s="827">
        <f t="shared" ca="1" si="2"/>
        <v>50.1</v>
      </c>
      <c r="K20" s="827">
        <f t="shared" ca="1" si="3"/>
        <v>50.1</v>
      </c>
      <c r="L20" s="828">
        <f t="shared" ca="1" si="49"/>
        <v>0</v>
      </c>
      <c r="M20" s="828">
        <f t="shared" ca="1" si="4"/>
        <v>0</v>
      </c>
      <c r="N20" s="828">
        <f t="shared" ca="1" si="4"/>
        <v>0</v>
      </c>
      <c r="O20" s="828">
        <f t="shared" ca="1" si="4"/>
        <v>0</v>
      </c>
      <c r="P20" s="828">
        <f ca="1">SUM(SUMIFS(OFFSET(貼付け_2024実績,$A20,9,1,199),OFFSET(貼付け_2024実績,4,9,1,199),{"横浜*","川崎*"}))</f>
        <v>0</v>
      </c>
      <c r="Q20" s="828">
        <f ca="1">SUM(SUMIFS(OFFSET(貼付け_2025実績,$A20,9,1,199),OFFSET(貼付け_2025実績,4,9,1,199),{"横浜*","川崎*"}))</f>
        <v>0</v>
      </c>
      <c r="R20" s="828">
        <f ca="1">SUM(SUMIFS(OFFSET(貼付け_2026実績,$A20,9,1,199),OFFSET(貼付け_2026実績,4,9,1,199),{"横浜*","川崎*"}))</f>
        <v>0</v>
      </c>
      <c r="S20" s="828">
        <f ca="1">SUM(SUMIFS(OFFSET(貼付け_2027実績,$A20,9,1,199),OFFSET(貼付け_2027実績,4,9,1,199),{"横浜*","川崎*"}))</f>
        <v>0</v>
      </c>
      <c r="T20" s="828">
        <f t="shared" ca="1" si="50"/>
        <v>0</v>
      </c>
      <c r="U20" s="828">
        <f t="shared" ca="1" si="5"/>
        <v>0</v>
      </c>
      <c r="V20" s="828">
        <f t="shared" ca="1" si="5"/>
        <v>0</v>
      </c>
      <c r="W20" s="828">
        <f t="shared" ca="1" si="5"/>
        <v>0</v>
      </c>
      <c r="X20" s="828">
        <f t="shared" ca="1" si="6"/>
        <v>0</v>
      </c>
      <c r="Y20" s="828">
        <f t="shared" ca="1" si="7"/>
        <v>0</v>
      </c>
      <c r="Z20" s="828">
        <f t="shared" ca="1" si="8"/>
        <v>0</v>
      </c>
      <c r="AA20" s="828">
        <f t="shared" ca="1" si="9"/>
        <v>0</v>
      </c>
      <c r="AB20" s="828" t="str">
        <f t="shared" ca="1" si="51"/>
        <v/>
      </c>
      <c r="AC20" s="828" t="str">
        <f t="shared" ca="1" si="10"/>
        <v/>
      </c>
      <c r="AD20" s="828" t="str">
        <f t="shared" ca="1" si="11"/>
        <v/>
      </c>
      <c r="AE20" s="828" t="str">
        <f t="shared" ca="1" si="12"/>
        <v/>
      </c>
      <c r="AF20" s="828" t="str">
        <f t="shared" ca="1" si="13"/>
        <v/>
      </c>
      <c r="AG20" s="828" t="str">
        <f t="shared" ca="1" si="14"/>
        <v/>
      </c>
      <c r="AH20" s="828" t="str">
        <f t="shared" ca="1" si="15"/>
        <v/>
      </c>
      <c r="AI20" s="828" t="str">
        <f t="shared" ca="1" si="16"/>
        <v/>
      </c>
      <c r="AJ20" s="828" t="str">
        <f t="shared" ca="1" si="17"/>
        <v/>
      </c>
      <c r="AK20" s="828" t="str">
        <f t="shared" ca="1" si="18"/>
        <v/>
      </c>
      <c r="AL20" s="828" t="str">
        <f t="shared" ca="1" si="19"/>
        <v/>
      </c>
      <c r="AM20" s="828" t="str">
        <f t="shared" ca="1" si="20"/>
        <v/>
      </c>
      <c r="AN20" s="828" t="str">
        <f t="shared" ca="1" si="21"/>
        <v/>
      </c>
      <c r="AO20" s="828" t="str">
        <f t="shared" ca="1" si="22"/>
        <v/>
      </c>
      <c r="AP20" s="828" t="str">
        <f t="shared" ca="1" si="23"/>
        <v/>
      </c>
      <c r="AQ20" s="828" t="str">
        <f t="shared" ca="1" si="24"/>
        <v/>
      </c>
      <c r="AR20" s="828" t="str">
        <f t="shared" ca="1" si="25"/>
        <v/>
      </c>
      <c r="AS20" s="828" t="str">
        <f t="shared" ca="1" si="26"/>
        <v/>
      </c>
      <c r="AT20" s="828" t="str">
        <f t="shared" ca="1" si="27"/>
        <v/>
      </c>
      <c r="AU20" s="828" t="str">
        <f t="shared" ca="1" si="28"/>
        <v/>
      </c>
      <c r="AV20" s="828" t="str">
        <f t="shared" ca="1" si="29"/>
        <v/>
      </c>
      <c r="AW20" s="828" t="str">
        <f t="shared" ca="1" si="30"/>
        <v/>
      </c>
      <c r="AX20" s="828" t="str">
        <f t="shared" ca="1" si="31"/>
        <v/>
      </c>
      <c r="AY20" s="828" t="str">
        <f t="shared" ca="1" si="32"/>
        <v/>
      </c>
      <c r="AZ20" s="828" t="str">
        <f t="shared" ca="1" si="33"/>
        <v/>
      </c>
      <c r="BA20" s="828" t="str">
        <f t="shared" ca="1" si="34"/>
        <v/>
      </c>
      <c r="BB20" s="828" t="str">
        <f t="shared" ca="1" si="35"/>
        <v/>
      </c>
      <c r="BC20" s="828" t="str">
        <f t="shared" ca="1" si="36"/>
        <v/>
      </c>
      <c r="BD20" s="828" t="str">
        <f t="shared" ca="1" si="37"/>
        <v/>
      </c>
      <c r="BE20" s="828" t="str">
        <f t="shared" ca="1" si="38"/>
        <v/>
      </c>
      <c r="BF20" s="828" t="str">
        <f t="shared" ca="1" si="39"/>
        <v/>
      </c>
      <c r="BG20" s="828" t="str">
        <f t="shared" ca="1" si="40"/>
        <v/>
      </c>
      <c r="BH20" s="828" t="str">
        <f t="shared" ca="1" si="41"/>
        <v/>
      </c>
      <c r="BI20" s="828" t="str">
        <f t="shared" ca="1" si="42"/>
        <v/>
      </c>
      <c r="BJ20" s="828" t="str">
        <f t="shared" ca="1" si="43"/>
        <v/>
      </c>
      <c r="BK20" s="828" t="str">
        <f t="shared" ca="1" si="44"/>
        <v/>
      </c>
      <c r="BL20" s="828" t="str">
        <f t="shared" ca="1" si="45"/>
        <v/>
      </c>
      <c r="BM20" s="828" t="str">
        <f t="shared" ca="1" si="46"/>
        <v/>
      </c>
      <c r="BN20" s="828" t="str">
        <f t="shared" ca="1" si="47"/>
        <v/>
      </c>
      <c r="BO20" s="828" t="str">
        <f t="shared" ca="1" si="48"/>
        <v/>
      </c>
    </row>
    <row r="21" spans="1:67" ht="20.100000000000001" customHeight="1">
      <c r="A21" s="823">
        <v>20</v>
      </c>
      <c r="B21" s="1870"/>
      <c r="C21" s="1872"/>
      <c r="D21" s="824" t="s">
        <v>4395</v>
      </c>
      <c r="E21" s="824"/>
      <c r="F21" s="825"/>
      <c r="G21" s="826" t="s">
        <v>4158</v>
      </c>
      <c r="H21" s="827">
        <f t="shared" ca="1" si="0"/>
        <v>46.1</v>
      </c>
      <c r="I21" s="827">
        <f t="shared" ca="1" si="1"/>
        <v>46.1</v>
      </c>
      <c r="J21" s="827">
        <f t="shared" ca="1" si="2"/>
        <v>46.1</v>
      </c>
      <c r="K21" s="827">
        <f t="shared" ca="1" si="3"/>
        <v>46.1</v>
      </c>
      <c r="L21" s="828">
        <f t="shared" ca="1" si="49"/>
        <v>0</v>
      </c>
      <c r="M21" s="828">
        <f t="shared" ca="1" si="4"/>
        <v>0</v>
      </c>
      <c r="N21" s="828">
        <f t="shared" ca="1" si="4"/>
        <v>0</v>
      </c>
      <c r="O21" s="828">
        <f t="shared" ca="1" si="4"/>
        <v>0</v>
      </c>
      <c r="P21" s="828">
        <f ca="1">SUM(SUMIFS(OFFSET(貼付け_2024実績,$A21,9,1,199),OFFSET(貼付け_2024実績,4,9,1,199),{"横浜*","川崎*"}))</f>
        <v>0</v>
      </c>
      <c r="Q21" s="828">
        <f ca="1">SUM(SUMIFS(OFFSET(貼付け_2025実績,$A21,9,1,199),OFFSET(貼付け_2025実績,4,9,1,199),{"横浜*","川崎*"}))</f>
        <v>0</v>
      </c>
      <c r="R21" s="828">
        <f ca="1">SUM(SUMIFS(OFFSET(貼付け_2026実績,$A21,9,1,199),OFFSET(貼付け_2026実績,4,9,1,199),{"横浜*","川崎*"}))</f>
        <v>0</v>
      </c>
      <c r="S21" s="828">
        <f ca="1">SUM(SUMIFS(OFFSET(貼付け_2027実績,$A21,9,1,199),OFFSET(貼付け_2027実績,4,9,1,199),{"横浜*","川崎*"}))</f>
        <v>0</v>
      </c>
      <c r="T21" s="828">
        <f t="shared" ca="1" si="50"/>
        <v>0</v>
      </c>
      <c r="U21" s="828">
        <f t="shared" ca="1" si="5"/>
        <v>0</v>
      </c>
      <c r="V21" s="828">
        <f t="shared" ca="1" si="5"/>
        <v>0</v>
      </c>
      <c r="W21" s="828">
        <f t="shared" ca="1" si="5"/>
        <v>0</v>
      </c>
      <c r="X21" s="828">
        <f t="shared" ca="1" si="6"/>
        <v>0</v>
      </c>
      <c r="Y21" s="828">
        <f t="shared" ca="1" si="7"/>
        <v>0</v>
      </c>
      <c r="Z21" s="828">
        <f t="shared" ca="1" si="8"/>
        <v>0</v>
      </c>
      <c r="AA21" s="828">
        <f t="shared" ca="1" si="9"/>
        <v>0</v>
      </c>
      <c r="AB21" s="828" t="str">
        <f t="shared" ca="1" si="51"/>
        <v/>
      </c>
      <c r="AC21" s="828" t="str">
        <f t="shared" ca="1" si="10"/>
        <v/>
      </c>
      <c r="AD21" s="828" t="str">
        <f t="shared" ca="1" si="11"/>
        <v/>
      </c>
      <c r="AE21" s="828" t="str">
        <f t="shared" ca="1" si="12"/>
        <v/>
      </c>
      <c r="AF21" s="828" t="str">
        <f t="shared" ca="1" si="13"/>
        <v/>
      </c>
      <c r="AG21" s="828" t="str">
        <f t="shared" ca="1" si="14"/>
        <v/>
      </c>
      <c r="AH21" s="828" t="str">
        <f t="shared" ca="1" si="15"/>
        <v/>
      </c>
      <c r="AI21" s="828" t="str">
        <f t="shared" ca="1" si="16"/>
        <v/>
      </c>
      <c r="AJ21" s="828" t="str">
        <f t="shared" ca="1" si="17"/>
        <v/>
      </c>
      <c r="AK21" s="828" t="str">
        <f t="shared" ca="1" si="18"/>
        <v/>
      </c>
      <c r="AL21" s="828" t="str">
        <f t="shared" ca="1" si="19"/>
        <v/>
      </c>
      <c r="AM21" s="828" t="str">
        <f t="shared" ca="1" si="20"/>
        <v/>
      </c>
      <c r="AN21" s="828" t="str">
        <f t="shared" ca="1" si="21"/>
        <v/>
      </c>
      <c r="AO21" s="828" t="str">
        <f t="shared" ca="1" si="22"/>
        <v/>
      </c>
      <c r="AP21" s="828" t="str">
        <f t="shared" ca="1" si="23"/>
        <v/>
      </c>
      <c r="AQ21" s="828" t="str">
        <f t="shared" ca="1" si="24"/>
        <v/>
      </c>
      <c r="AR21" s="828" t="str">
        <f t="shared" ca="1" si="25"/>
        <v/>
      </c>
      <c r="AS21" s="828" t="str">
        <f t="shared" ca="1" si="26"/>
        <v/>
      </c>
      <c r="AT21" s="828" t="str">
        <f t="shared" ca="1" si="27"/>
        <v/>
      </c>
      <c r="AU21" s="828" t="str">
        <f t="shared" ca="1" si="28"/>
        <v/>
      </c>
      <c r="AV21" s="828" t="str">
        <f t="shared" ca="1" si="29"/>
        <v/>
      </c>
      <c r="AW21" s="828" t="str">
        <f t="shared" ca="1" si="30"/>
        <v/>
      </c>
      <c r="AX21" s="828" t="str">
        <f t="shared" ca="1" si="31"/>
        <v/>
      </c>
      <c r="AY21" s="828" t="str">
        <f t="shared" ca="1" si="32"/>
        <v/>
      </c>
      <c r="AZ21" s="828" t="str">
        <f t="shared" ca="1" si="33"/>
        <v/>
      </c>
      <c r="BA21" s="828" t="str">
        <f t="shared" ca="1" si="34"/>
        <v/>
      </c>
      <c r="BB21" s="828" t="str">
        <f t="shared" ca="1" si="35"/>
        <v/>
      </c>
      <c r="BC21" s="828" t="str">
        <f t="shared" ca="1" si="36"/>
        <v/>
      </c>
      <c r="BD21" s="828" t="str">
        <f t="shared" ca="1" si="37"/>
        <v/>
      </c>
      <c r="BE21" s="828" t="str">
        <f t="shared" ca="1" si="38"/>
        <v/>
      </c>
      <c r="BF21" s="828" t="str">
        <f t="shared" ca="1" si="39"/>
        <v/>
      </c>
      <c r="BG21" s="828" t="str">
        <f t="shared" ca="1" si="40"/>
        <v/>
      </c>
      <c r="BH21" s="828" t="str">
        <f t="shared" ca="1" si="41"/>
        <v/>
      </c>
      <c r="BI21" s="828" t="str">
        <f t="shared" ca="1" si="42"/>
        <v/>
      </c>
      <c r="BJ21" s="828" t="str">
        <f t="shared" ca="1" si="43"/>
        <v/>
      </c>
      <c r="BK21" s="828" t="str">
        <f t="shared" ca="1" si="44"/>
        <v/>
      </c>
      <c r="BL21" s="828" t="str">
        <f t="shared" ca="1" si="45"/>
        <v/>
      </c>
      <c r="BM21" s="828" t="str">
        <f t="shared" ca="1" si="46"/>
        <v/>
      </c>
      <c r="BN21" s="828" t="str">
        <f t="shared" ca="1" si="47"/>
        <v/>
      </c>
      <c r="BO21" s="828" t="str">
        <f t="shared" ca="1" si="48"/>
        <v/>
      </c>
    </row>
    <row r="22" spans="1:67" ht="20.100000000000001" customHeight="1">
      <c r="A22" s="823">
        <v>21</v>
      </c>
      <c r="B22" s="1871"/>
      <c r="C22" s="1872"/>
      <c r="D22" s="824" t="s">
        <v>4396</v>
      </c>
      <c r="E22" s="818"/>
      <c r="F22" s="825"/>
      <c r="G22" s="826" t="s">
        <v>3777</v>
      </c>
      <c r="H22" s="827">
        <f t="shared" ca="1" si="0"/>
        <v>54.7</v>
      </c>
      <c r="I22" s="827">
        <f t="shared" ca="1" si="1"/>
        <v>54.7</v>
      </c>
      <c r="J22" s="827">
        <f t="shared" ca="1" si="2"/>
        <v>54.7</v>
      </c>
      <c r="K22" s="827">
        <f t="shared" ca="1" si="3"/>
        <v>54.7</v>
      </c>
      <c r="L22" s="828">
        <f t="shared" ca="1" si="49"/>
        <v>0</v>
      </c>
      <c r="M22" s="828">
        <f t="shared" ca="1" si="4"/>
        <v>0</v>
      </c>
      <c r="N22" s="828">
        <f t="shared" ca="1" si="4"/>
        <v>0</v>
      </c>
      <c r="O22" s="828">
        <f t="shared" ca="1" si="4"/>
        <v>0</v>
      </c>
      <c r="P22" s="828">
        <f ca="1">SUM(SUMIFS(OFFSET(貼付け_2024実績,$A22,9,1,199),OFFSET(貼付け_2024実績,4,9,1,199),{"横浜*","川崎*"}))</f>
        <v>0</v>
      </c>
      <c r="Q22" s="828">
        <f ca="1">SUM(SUMIFS(OFFSET(貼付け_2025実績,$A22,9,1,199),OFFSET(貼付け_2025実績,4,9,1,199),{"横浜*","川崎*"}))</f>
        <v>0</v>
      </c>
      <c r="R22" s="828">
        <f ca="1">SUM(SUMIFS(OFFSET(貼付け_2026実績,$A22,9,1,199),OFFSET(貼付け_2026実績,4,9,1,199),{"横浜*","川崎*"}))</f>
        <v>0</v>
      </c>
      <c r="S22" s="828">
        <f ca="1">SUM(SUMIFS(OFFSET(貼付け_2027実績,$A22,9,1,199),OFFSET(貼付け_2027実績,4,9,1,199),{"横浜*","川崎*"}))</f>
        <v>0</v>
      </c>
      <c r="T22" s="828">
        <f t="shared" ca="1" si="50"/>
        <v>0</v>
      </c>
      <c r="U22" s="828">
        <f t="shared" ca="1" si="5"/>
        <v>0</v>
      </c>
      <c r="V22" s="828">
        <f t="shared" ca="1" si="5"/>
        <v>0</v>
      </c>
      <c r="W22" s="828">
        <f t="shared" ca="1" si="5"/>
        <v>0</v>
      </c>
      <c r="X22" s="828">
        <f t="shared" ca="1" si="6"/>
        <v>0</v>
      </c>
      <c r="Y22" s="828">
        <f t="shared" ca="1" si="7"/>
        <v>0</v>
      </c>
      <c r="Z22" s="828">
        <f t="shared" ca="1" si="8"/>
        <v>0</v>
      </c>
      <c r="AA22" s="828">
        <f t="shared" ca="1" si="9"/>
        <v>0</v>
      </c>
      <c r="AB22" s="828" t="str">
        <f t="shared" ca="1" si="51"/>
        <v/>
      </c>
      <c r="AC22" s="828" t="str">
        <f t="shared" ca="1" si="10"/>
        <v/>
      </c>
      <c r="AD22" s="828" t="str">
        <f t="shared" ca="1" si="11"/>
        <v/>
      </c>
      <c r="AE22" s="828" t="str">
        <f t="shared" ca="1" si="12"/>
        <v/>
      </c>
      <c r="AF22" s="828" t="str">
        <f t="shared" ca="1" si="13"/>
        <v/>
      </c>
      <c r="AG22" s="828" t="str">
        <f t="shared" ca="1" si="14"/>
        <v/>
      </c>
      <c r="AH22" s="828" t="str">
        <f t="shared" ca="1" si="15"/>
        <v/>
      </c>
      <c r="AI22" s="828" t="str">
        <f t="shared" ca="1" si="16"/>
        <v/>
      </c>
      <c r="AJ22" s="828" t="str">
        <f t="shared" ca="1" si="17"/>
        <v/>
      </c>
      <c r="AK22" s="828" t="str">
        <f t="shared" ca="1" si="18"/>
        <v/>
      </c>
      <c r="AL22" s="828" t="str">
        <f t="shared" ca="1" si="19"/>
        <v/>
      </c>
      <c r="AM22" s="828" t="str">
        <f t="shared" ca="1" si="20"/>
        <v/>
      </c>
      <c r="AN22" s="828" t="str">
        <f t="shared" ca="1" si="21"/>
        <v/>
      </c>
      <c r="AO22" s="828" t="str">
        <f t="shared" ca="1" si="22"/>
        <v/>
      </c>
      <c r="AP22" s="828" t="str">
        <f t="shared" ca="1" si="23"/>
        <v/>
      </c>
      <c r="AQ22" s="828" t="str">
        <f t="shared" ca="1" si="24"/>
        <v/>
      </c>
      <c r="AR22" s="828" t="str">
        <f t="shared" ca="1" si="25"/>
        <v/>
      </c>
      <c r="AS22" s="828" t="str">
        <f t="shared" ca="1" si="26"/>
        <v/>
      </c>
      <c r="AT22" s="828" t="str">
        <f t="shared" ca="1" si="27"/>
        <v/>
      </c>
      <c r="AU22" s="828" t="str">
        <f t="shared" ca="1" si="28"/>
        <v/>
      </c>
      <c r="AV22" s="828" t="str">
        <f t="shared" ca="1" si="29"/>
        <v/>
      </c>
      <c r="AW22" s="828" t="str">
        <f t="shared" ca="1" si="30"/>
        <v/>
      </c>
      <c r="AX22" s="828" t="str">
        <f t="shared" ca="1" si="31"/>
        <v/>
      </c>
      <c r="AY22" s="828" t="str">
        <f t="shared" ca="1" si="32"/>
        <v/>
      </c>
      <c r="AZ22" s="828" t="str">
        <f t="shared" ca="1" si="33"/>
        <v/>
      </c>
      <c r="BA22" s="828" t="str">
        <f t="shared" ca="1" si="34"/>
        <v/>
      </c>
      <c r="BB22" s="828" t="str">
        <f t="shared" ca="1" si="35"/>
        <v/>
      </c>
      <c r="BC22" s="828" t="str">
        <f t="shared" ca="1" si="36"/>
        <v/>
      </c>
      <c r="BD22" s="828" t="str">
        <f t="shared" ca="1" si="37"/>
        <v/>
      </c>
      <c r="BE22" s="828" t="str">
        <f t="shared" ca="1" si="38"/>
        <v/>
      </c>
      <c r="BF22" s="828" t="str">
        <f t="shared" ca="1" si="39"/>
        <v/>
      </c>
      <c r="BG22" s="828" t="str">
        <f t="shared" ca="1" si="40"/>
        <v/>
      </c>
      <c r="BH22" s="828" t="str">
        <f t="shared" ca="1" si="41"/>
        <v/>
      </c>
      <c r="BI22" s="828" t="str">
        <f t="shared" ca="1" si="42"/>
        <v/>
      </c>
      <c r="BJ22" s="828" t="str">
        <f t="shared" ca="1" si="43"/>
        <v/>
      </c>
      <c r="BK22" s="828" t="str">
        <f t="shared" ca="1" si="44"/>
        <v/>
      </c>
      <c r="BL22" s="828" t="str">
        <f t="shared" ca="1" si="45"/>
        <v/>
      </c>
      <c r="BM22" s="828" t="str">
        <f t="shared" ca="1" si="46"/>
        <v/>
      </c>
      <c r="BN22" s="828" t="str">
        <f t="shared" ca="1" si="47"/>
        <v/>
      </c>
      <c r="BO22" s="828" t="str">
        <f t="shared" ca="1" si="48"/>
        <v/>
      </c>
    </row>
    <row r="23" spans="1:67" ht="20.100000000000001" customHeight="1">
      <c r="A23" s="823">
        <v>22</v>
      </c>
      <c r="B23" s="1870"/>
      <c r="C23" s="1872"/>
      <c r="D23" s="824" t="s">
        <v>4397</v>
      </c>
      <c r="E23" s="824"/>
      <c r="F23" s="825"/>
      <c r="G23" s="826" t="s">
        <v>4158</v>
      </c>
      <c r="H23" s="827">
        <f t="shared" ca="1" si="0"/>
        <v>38.4</v>
      </c>
      <c r="I23" s="827">
        <f t="shared" ca="1" si="1"/>
        <v>38.4</v>
      </c>
      <c r="J23" s="827">
        <f t="shared" ca="1" si="2"/>
        <v>38.4</v>
      </c>
      <c r="K23" s="827">
        <f t="shared" ca="1" si="3"/>
        <v>38.4</v>
      </c>
      <c r="L23" s="828">
        <f t="shared" ca="1" si="49"/>
        <v>0</v>
      </c>
      <c r="M23" s="828">
        <f t="shared" ca="1" si="4"/>
        <v>0</v>
      </c>
      <c r="N23" s="828">
        <f t="shared" ca="1" si="4"/>
        <v>0</v>
      </c>
      <c r="O23" s="828">
        <f t="shared" ca="1" si="4"/>
        <v>0</v>
      </c>
      <c r="P23" s="828">
        <f ca="1">SUM(SUMIFS(OFFSET(貼付け_2024実績,$A23,9,1,199),OFFSET(貼付け_2024実績,4,9,1,199),{"横浜*","川崎*"}))</f>
        <v>0</v>
      </c>
      <c r="Q23" s="828">
        <f ca="1">SUM(SUMIFS(OFFSET(貼付け_2025実績,$A23,9,1,199),OFFSET(貼付け_2025実績,4,9,1,199),{"横浜*","川崎*"}))</f>
        <v>0</v>
      </c>
      <c r="R23" s="828">
        <f ca="1">SUM(SUMIFS(OFFSET(貼付け_2026実績,$A23,9,1,199),OFFSET(貼付け_2026実績,4,9,1,199),{"横浜*","川崎*"}))</f>
        <v>0</v>
      </c>
      <c r="S23" s="828">
        <f ca="1">SUM(SUMIFS(OFFSET(貼付け_2027実績,$A23,9,1,199),OFFSET(貼付け_2027実績,4,9,1,199),{"横浜*","川崎*"}))</f>
        <v>0</v>
      </c>
      <c r="T23" s="828">
        <f t="shared" ca="1" si="50"/>
        <v>0</v>
      </c>
      <c r="U23" s="828">
        <f t="shared" ca="1" si="5"/>
        <v>0</v>
      </c>
      <c r="V23" s="828">
        <f t="shared" ca="1" si="5"/>
        <v>0</v>
      </c>
      <c r="W23" s="828">
        <f t="shared" ca="1" si="5"/>
        <v>0</v>
      </c>
      <c r="X23" s="828">
        <f t="shared" ca="1" si="6"/>
        <v>0</v>
      </c>
      <c r="Y23" s="828">
        <f t="shared" ca="1" si="7"/>
        <v>0</v>
      </c>
      <c r="Z23" s="828">
        <f t="shared" ca="1" si="8"/>
        <v>0</v>
      </c>
      <c r="AA23" s="828">
        <f t="shared" ca="1" si="9"/>
        <v>0</v>
      </c>
      <c r="AB23" s="828" t="str">
        <f t="shared" ca="1" si="51"/>
        <v/>
      </c>
      <c r="AC23" s="828" t="str">
        <f t="shared" ca="1" si="10"/>
        <v/>
      </c>
      <c r="AD23" s="828" t="str">
        <f t="shared" ca="1" si="11"/>
        <v/>
      </c>
      <c r="AE23" s="828" t="str">
        <f t="shared" ca="1" si="12"/>
        <v/>
      </c>
      <c r="AF23" s="828" t="str">
        <f t="shared" ca="1" si="13"/>
        <v/>
      </c>
      <c r="AG23" s="828" t="str">
        <f t="shared" ca="1" si="14"/>
        <v/>
      </c>
      <c r="AH23" s="828" t="str">
        <f t="shared" ca="1" si="15"/>
        <v/>
      </c>
      <c r="AI23" s="828" t="str">
        <f t="shared" ca="1" si="16"/>
        <v/>
      </c>
      <c r="AJ23" s="828" t="str">
        <f t="shared" ca="1" si="17"/>
        <v/>
      </c>
      <c r="AK23" s="828" t="str">
        <f t="shared" ca="1" si="18"/>
        <v/>
      </c>
      <c r="AL23" s="828" t="str">
        <f t="shared" ca="1" si="19"/>
        <v/>
      </c>
      <c r="AM23" s="828" t="str">
        <f t="shared" ca="1" si="20"/>
        <v/>
      </c>
      <c r="AN23" s="828" t="str">
        <f t="shared" ca="1" si="21"/>
        <v/>
      </c>
      <c r="AO23" s="828" t="str">
        <f t="shared" ca="1" si="22"/>
        <v/>
      </c>
      <c r="AP23" s="828" t="str">
        <f t="shared" ca="1" si="23"/>
        <v/>
      </c>
      <c r="AQ23" s="828" t="str">
        <f t="shared" ca="1" si="24"/>
        <v/>
      </c>
      <c r="AR23" s="828" t="str">
        <f t="shared" ca="1" si="25"/>
        <v/>
      </c>
      <c r="AS23" s="828" t="str">
        <f t="shared" ca="1" si="26"/>
        <v/>
      </c>
      <c r="AT23" s="828" t="str">
        <f t="shared" ca="1" si="27"/>
        <v/>
      </c>
      <c r="AU23" s="828" t="str">
        <f t="shared" ca="1" si="28"/>
        <v/>
      </c>
      <c r="AV23" s="828" t="str">
        <f t="shared" ca="1" si="29"/>
        <v/>
      </c>
      <c r="AW23" s="828" t="str">
        <f t="shared" ca="1" si="30"/>
        <v/>
      </c>
      <c r="AX23" s="828" t="str">
        <f t="shared" ca="1" si="31"/>
        <v/>
      </c>
      <c r="AY23" s="828" t="str">
        <f t="shared" ca="1" si="32"/>
        <v/>
      </c>
      <c r="AZ23" s="828" t="str">
        <f t="shared" ca="1" si="33"/>
        <v/>
      </c>
      <c r="BA23" s="828" t="str">
        <f t="shared" ca="1" si="34"/>
        <v/>
      </c>
      <c r="BB23" s="828" t="str">
        <f t="shared" ca="1" si="35"/>
        <v/>
      </c>
      <c r="BC23" s="828" t="str">
        <f t="shared" ca="1" si="36"/>
        <v/>
      </c>
      <c r="BD23" s="828" t="str">
        <f t="shared" ca="1" si="37"/>
        <v/>
      </c>
      <c r="BE23" s="828" t="str">
        <f t="shared" ca="1" si="38"/>
        <v/>
      </c>
      <c r="BF23" s="828" t="str">
        <f t="shared" ca="1" si="39"/>
        <v/>
      </c>
      <c r="BG23" s="828" t="str">
        <f t="shared" ca="1" si="40"/>
        <v/>
      </c>
      <c r="BH23" s="828" t="str">
        <f t="shared" ca="1" si="41"/>
        <v/>
      </c>
      <c r="BI23" s="828" t="str">
        <f t="shared" ca="1" si="42"/>
        <v/>
      </c>
      <c r="BJ23" s="828" t="str">
        <f t="shared" ca="1" si="43"/>
        <v/>
      </c>
      <c r="BK23" s="828" t="str">
        <f t="shared" ca="1" si="44"/>
        <v/>
      </c>
      <c r="BL23" s="828" t="str">
        <f t="shared" ca="1" si="45"/>
        <v/>
      </c>
      <c r="BM23" s="828" t="str">
        <f t="shared" ca="1" si="46"/>
        <v/>
      </c>
      <c r="BN23" s="828" t="str">
        <f t="shared" ca="1" si="47"/>
        <v/>
      </c>
      <c r="BO23" s="828" t="str">
        <f t="shared" ca="1" si="48"/>
        <v/>
      </c>
    </row>
    <row r="24" spans="1:67" ht="20.100000000000001" customHeight="1">
      <c r="A24" s="823">
        <v>23</v>
      </c>
      <c r="B24" s="1870"/>
      <c r="C24" s="1872"/>
      <c r="D24" s="824" t="s">
        <v>4398</v>
      </c>
      <c r="E24" s="824"/>
      <c r="F24" s="825"/>
      <c r="G24" s="826" t="s">
        <v>3777</v>
      </c>
      <c r="H24" s="827">
        <f t="shared" ca="1" si="0"/>
        <v>28.7</v>
      </c>
      <c r="I24" s="827">
        <f t="shared" ca="1" si="1"/>
        <v>28.7</v>
      </c>
      <c r="J24" s="827">
        <f t="shared" ca="1" si="2"/>
        <v>28.7</v>
      </c>
      <c r="K24" s="827">
        <f t="shared" ca="1" si="3"/>
        <v>28.7</v>
      </c>
      <c r="L24" s="828">
        <f t="shared" ca="1" si="49"/>
        <v>0</v>
      </c>
      <c r="M24" s="828">
        <f t="shared" ca="1" si="4"/>
        <v>0</v>
      </c>
      <c r="N24" s="828">
        <f t="shared" ca="1" si="4"/>
        <v>0</v>
      </c>
      <c r="O24" s="828">
        <f t="shared" ca="1" si="4"/>
        <v>0</v>
      </c>
      <c r="P24" s="828">
        <f ca="1">SUM(SUMIFS(OFFSET(貼付け_2024実績,$A24,9,1,199),OFFSET(貼付け_2024実績,4,9,1,199),{"横浜*","川崎*"}))</f>
        <v>0</v>
      </c>
      <c r="Q24" s="828">
        <f ca="1">SUM(SUMIFS(OFFSET(貼付け_2025実績,$A24,9,1,199),OFFSET(貼付け_2025実績,4,9,1,199),{"横浜*","川崎*"}))</f>
        <v>0</v>
      </c>
      <c r="R24" s="828">
        <f ca="1">SUM(SUMIFS(OFFSET(貼付け_2026実績,$A24,9,1,199),OFFSET(貼付け_2026実績,4,9,1,199),{"横浜*","川崎*"}))</f>
        <v>0</v>
      </c>
      <c r="S24" s="828">
        <f ca="1">SUM(SUMIFS(OFFSET(貼付け_2027実績,$A24,9,1,199),OFFSET(貼付け_2027実績,4,9,1,199),{"横浜*","川崎*"}))</f>
        <v>0</v>
      </c>
      <c r="T24" s="828">
        <f t="shared" ca="1" si="50"/>
        <v>0</v>
      </c>
      <c r="U24" s="828">
        <f t="shared" ca="1" si="5"/>
        <v>0</v>
      </c>
      <c r="V24" s="828">
        <f t="shared" ca="1" si="5"/>
        <v>0</v>
      </c>
      <c r="W24" s="828">
        <f t="shared" ca="1" si="5"/>
        <v>0</v>
      </c>
      <c r="X24" s="828">
        <f t="shared" ca="1" si="6"/>
        <v>0</v>
      </c>
      <c r="Y24" s="828">
        <f t="shared" ca="1" si="7"/>
        <v>0</v>
      </c>
      <c r="Z24" s="828">
        <f t="shared" ca="1" si="8"/>
        <v>0</v>
      </c>
      <c r="AA24" s="828">
        <f t="shared" ca="1" si="9"/>
        <v>0</v>
      </c>
      <c r="AB24" s="828" t="str">
        <f t="shared" ca="1" si="51"/>
        <v/>
      </c>
      <c r="AC24" s="828" t="str">
        <f t="shared" ca="1" si="10"/>
        <v/>
      </c>
      <c r="AD24" s="828" t="str">
        <f t="shared" ca="1" si="11"/>
        <v/>
      </c>
      <c r="AE24" s="828" t="str">
        <f t="shared" ca="1" si="12"/>
        <v/>
      </c>
      <c r="AF24" s="828" t="str">
        <f t="shared" ca="1" si="13"/>
        <v/>
      </c>
      <c r="AG24" s="828" t="str">
        <f t="shared" ca="1" si="14"/>
        <v/>
      </c>
      <c r="AH24" s="828" t="str">
        <f t="shared" ca="1" si="15"/>
        <v/>
      </c>
      <c r="AI24" s="828" t="str">
        <f t="shared" ca="1" si="16"/>
        <v/>
      </c>
      <c r="AJ24" s="828" t="str">
        <f t="shared" ca="1" si="17"/>
        <v/>
      </c>
      <c r="AK24" s="828" t="str">
        <f t="shared" ca="1" si="18"/>
        <v/>
      </c>
      <c r="AL24" s="828" t="str">
        <f t="shared" ca="1" si="19"/>
        <v/>
      </c>
      <c r="AM24" s="828" t="str">
        <f t="shared" ca="1" si="20"/>
        <v/>
      </c>
      <c r="AN24" s="828" t="str">
        <f t="shared" ca="1" si="21"/>
        <v/>
      </c>
      <c r="AO24" s="828" t="str">
        <f t="shared" ca="1" si="22"/>
        <v/>
      </c>
      <c r="AP24" s="828" t="str">
        <f t="shared" ca="1" si="23"/>
        <v/>
      </c>
      <c r="AQ24" s="828" t="str">
        <f t="shared" ca="1" si="24"/>
        <v/>
      </c>
      <c r="AR24" s="828" t="str">
        <f t="shared" ca="1" si="25"/>
        <v/>
      </c>
      <c r="AS24" s="828" t="str">
        <f t="shared" ca="1" si="26"/>
        <v/>
      </c>
      <c r="AT24" s="828" t="str">
        <f t="shared" ca="1" si="27"/>
        <v/>
      </c>
      <c r="AU24" s="828" t="str">
        <f t="shared" ca="1" si="28"/>
        <v/>
      </c>
      <c r="AV24" s="828" t="str">
        <f t="shared" ca="1" si="29"/>
        <v/>
      </c>
      <c r="AW24" s="828" t="str">
        <f t="shared" ca="1" si="30"/>
        <v/>
      </c>
      <c r="AX24" s="828" t="str">
        <f t="shared" ca="1" si="31"/>
        <v/>
      </c>
      <c r="AY24" s="828" t="str">
        <f t="shared" ca="1" si="32"/>
        <v/>
      </c>
      <c r="AZ24" s="828" t="str">
        <f t="shared" ca="1" si="33"/>
        <v/>
      </c>
      <c r="BA24" s="828" t="str">
        <f t="shared" ca="1" si="34"/>
        <v/>
      </c>
      <c r="BB24" s="828" t="str">
        <f t="shared" ca="1" si="35"/>
        <v/>
      </c>
      <c r="BC24" s="828" t="str">
        <f t="shared" ca="1" si="36"/>
        <v/>
      </c>
      <c r="BD24" s="828" t="str">
        <f t="shared" ca="1" si="37"/>
        <v/>
      </c>
      <c r="BE24" s="828" t="str">
        <f t="shared" ca="1" si="38"/>
        <v/>
      </c>
      <c r="BF24" s="828" t="str">
        <f t="shared" ca="1" si="39"/>
        <v/>
      </c>
      <c r="BG24" s="828" t="str">
        <f t="shared" ca="1" si="40"/>
        <v/>
      </c>
      <c r="BH24" s="828" t="str">
        <f t="shared" ca="1" si="41"/>
        <v/>
      </c>
      <c r="BI24" s="828" t="str">
        <f t="shared" ca="1" si="42"/>
        <v/>
      </c>
      <c r="BJ24" s="828" t="str">
        <f t="shared" ca="1" si="43"/>
        <v/>
      </c>
      <c r="BK24" s="828" t="str">
        <f t="shared" ca="1" si="44"/>
        <v/>
      </c>
      <c r="BL24" s="828" t="str">
        <f t="shared" ca="1" si="45"/>
        <v/>
      </c>
      <c r="BM24" s="828" t="str">
        <f t="shared" ca="1" si="46"/>
        <v/>
      </c>
      <c r="BN24" s="828" t="str">
        <f t="shared" ca="1" si="47"/>
        <v/>
      </c>
      <c r="BO24" s="828" t="str">
        <f t="shared" ca="1" si="48"/>
        <v/>
      </c>
    </row>
    <row r="25" spans="1:67" ht="20.100000000000001" customHeight="1">
      <c r="A25" s="823">
        <v>24</v>
      </c>
      <c r="B25" s="1870"/>
      <c r="C25" s="1872"/>
      <c r="D25" s="824" t="s">
        <v>4399</v>
      </c>
      <c r="E25" s="818"/>
      <c r="F25" s="825"/>
      <c r="G25" s="826" t="s">
        <v>3777</v>
      </c>
      <c r="H25" s="827">
        <f t="shared" ca="1" si="0"/>
        <v>28.9</v>
      </c>
      <c r="I25" s="827">
        <f t="shared" ca="1" si="1"/>
        <v>28.9</v>
      </c>
      <c r="J25" s="827">
        <f t="shared" ca="1" si="2"/>
        <v>28.9</v>
      </c>
      <c r="K25" s="827">
        <f t="shared" ca="1" si="3"/>
        <v>28.9</v>
      </c>
      <c r="L25" s="828">
        <f t="shared" ca="1" si="49"/>
        <v>0</v>
      </c>
      <c r="M25" s="828">
        <f t="shared" ca="1" si="49"/>
        <v>0</v>
      </c>
      <c r="N25" s="828">
        <f t="shared" ca="1" si="49"/>
        <v>0</v>
      </c>
      <c r="O25" s="828">
        <f t="shared" ca="1" si="49"/>
        <v>0</v>
      </c>
      <c r="P25" s="828">
        <f ca="1">SUM(SUMIFS(OFFSET(貼付け_2024実績,$A25,9,1,199),OFFSET(貼付け_2024実績,4,9,1,199),{"横浜*","川崎*"}))</f>
        <v>0</v>
      </c>
      <c r="Q25" s="828">
        <f ca="1">SUM(SUMIFS(OFFSET(貼付け_2025実績,$A25,9,1,199),OFFSET(貼付け_2025実績,4,9,1,199),{"横浜*","川崎*"}))</f>
        <v>0</v>
      </c>
      <c r="R25" s="828">
        <f ca="1">SUM(SUMIFS(OFFSET(貼付け_2026実績,$A25,9,1,199),OFFSET(貼付け_2026実績,4,9,1,199),{"横浜*","川崎*"}))</f>
        <v>0</v>
      </c>
      <c r="S25" s="828">
        <f ca="1">SUM(SUMIFS(OFFSET(貼付け_2027実績,$A25,9,1,199),OFFSET(貼付け_2027実績,4,9,1,199),{"横浜*","川崎*"}))</f>
        <v>0</v>
      </c>
      <c r="T25" s="828">
        <f t="shared" ca="1" si="50"/>
        <v>0</v>
      </c>
      <c r="U25" s="828">
        <f t="shared" ca="1" si="50"/>
        <v>0</v>
      </c>
      <c r="V25" s="828">
        <f t="shared" ca="1" si="50"/>
        <v>0</v>
      </c>
      <c r="W25" s="828">
        <f t="shared" ca="1" si="50"/>
        <v>0</v>
      </c>
      <c r="X25" s="828">
        <f t="shared" ca="1" si="6"/>
        <v>0</v>
      </c>
      <c r="Y25" s="828">
        <f t="shared" ca="1" si="7"/>
        <v>0</v>
      </c>
      <c r="Z25" s="828">
        <f t="shared" ca="1" si="8"/>
        <v>0</v>
      </c>
      <c r="AA25" s="828">
        <f t="shared" ca="1" si="9"/>
        <v>0</v>
      </c>
      <c r="AB25" s="828" t="str">
        <f t="shared" ca="1" si="51"/>
        <v/>
      </c>
      <c r="AC25" s="828" t="str">
        <f t="shared" ca="1" si="10"/>
        <v/>
      </c>
      <c r="AD25" s="828" t="str">
        <f t="shared" ca="1" si="11"/>
        <v/>
      </c>
      <c r="AE25" s="828" t="str">
        <f t="shared" ca="1" si="12"/>
        <v/>
      </c>
      <c r="AF25" s="828" t="str">
        <f t="shared" ca="1" si="13"/>
        <v/>
      </c>
      <c r="AG25" s="828" t="str">
        <f t="shared" ca="1" si="14"/>
        <v/>
      </c>
      <c r="AH25" s="828" t="str">
        <f t="shared" ca="1" si="15"/>
        <v/>
      </c>
      <c r="AI25" s="828" t="str">
        <f t="shared" ca="1" si="16"/>
        <v/>
      </c>
      <c r="AJ25" s="828" t="str">
        <f t="shared" ca="1" si="17"/>
        <v/>
      </c>
      <c r="AK25" s="828" t="str">
        <f t="shared" ca="1" si="18"/>
        <v/>
      </c>
      <c r="AL25" s="828" t="str">
        <f t="shared" ca="1" si="19"/>
        <v/>
      </c>
      <c r="AM25" s="828" t="str">
        <f t="shared" ca="1" si="20"/>
        <v/>
      </c>
      <c r="AN25" s="828" t="str">
        <f t="shared" ca="1" si="21"/>
        <v/>
      </c>
      <c r="AO25" s="828" t="str">
        <f t="shared" ca="1" si="22"/>
        <v/>
      </c>
      <c r="AP25" s="828" t="str">
        <f t="shared" ca="1" si="23"/>
        <v/>
      </c>
      <c r="AQ25" s="828" t="str">
        <f t="shared" ca="1" si="24"/>
        <v/>
      </c>
      <c r="AR25" s="828" t="str">
        <f t="shared" ca="1" si="25"/>
        <v/>
      </c>
      <c r="AS25" s="828" t="str">
        <f t="shared" ca="1" si="26"/>
        <v/>
      </c>
      <c r="AT25" s="828" t="str">
        <f t="shared" ca="1" si="27"/>
        <v/>
      </c>
      <c r="AU25" s="828" t="str">
        <f t="shared" ca="1" si="28"/>
        <v/>
      </c>
      <c r="AV25" s="828" t="str">
        <f t="shared" ca="1" si="29"/>
        <v/>
      </c>
      <c r="AW25" s="828" t="str">
        <f t="shared" ca="1" si="30"/>
        <v/>
      </c>
      <c r="AX25" s="828" t="str">
        <f t="shared" ca="1" si="31"/>
        <v/>
      </c>
      <c r="AY25" s="828" t="str">
        <f t="shared" ca="1" si="32"/>
        <v/>
      </c>
      <c r="AZ25" s="828" t="str">
        <f t="shared" ca="1" si="33"/>
        <v/>
      </c>
      <c r="BA25" s="828" t="str">
        <f t="shared" ca="1" si="34"/>
        <v/>
      </c>
      <c r="BB25" s="828" t="str">
        <f t="shared" ca="1" si="35"/>
        <v/>
      </c>
      <c r="BC25" s="828" t="str">
        <f t="shared" ca="1" si="36"/>
        <v/>
      </c>
      <c r="BD25" s="828" t="str">
        <f t="shared" ca="1" si="37"/>
        <v/>
      </c>
      <c r="BE25" s="828" t="str">
        <f t="shared" ca="1" si="38"/>
        <v/>
      </c>
      <c r="BF25" s="828" t="str">
        <f t="shared" ca="1" si="39"/>
        <v/>
      </c>
      <c r="BG25" s="828" t="str">
        <f t="shared" ca="1" si="40"/>
        <v/>
      </c>
      <c r="BH25" s="828" t="str">
        <f t="shared" ca="1" si="41"/>
        <v/>
      </c>
      <c r="BI25" s="828" t="str">
        <f t="shared" ca="1" si="42"/>
        <v/>
      </c>
      <c r="BJ25" s="828" t="str">
        <f t="shared" ca="1" si="43"/>
        <v/>
      </c>
      <c r="BK25" s="828" t="str">
        <f t="shared" ca="1" si="44"/>
        <v/>
      </c>
      <c r="BL25" s="828" t="str">
        <f t="shared" ca="1" si="45"/>
        <v/>
      </c>
      <c r="BM25" s="828" t="str">
        <f t="shared" ca="1" si="46"/>
        <v/>
      </c>
      <c r="BN25" s="828" t="str">
        <f t="shared" ca="1" si="47"/>
        <v/>
      </c>
      <c r="BO25" s="828" t="str">
        <f t="shared" ca="1" si="48"/>
        <v/>
      </c>
    </row>
    <row r="26" spans="1:67" ht="20.100000000000001" customHeight="1">
      <c r="A26" s="823">
        <v>25</v>
      </c>
      <c r="B26" s="1870"/>
      <c r="C26" s="1872"/>
      <c r="D26" s="824" t="s">
        <v>4400</v>
      </c>
      <c r="E26" s="824"/>
      <c r="F26" s="825"/>
      <c r="G26" s="826" t="s">
        <v>3777</v>
      </c>
      <c r="H26" s="827">
        <f t="shared" ca="1" si="0"/>
        <v>28.3</v>
      </c>
      <c r="I26" s="827">
        <f t="shared" ca="1" si="1"/>
        <v>28.3</v>
      </c>
      <c r="J26" s="827">
        <f t="shared" ca="1" si="2"/>
        <v>28.3</v>
      </c>
      <c r="K26" s="827">
        <f t="shared" ca="1" si="3"/>
        <v>28.3</v>
      </c>
      <c r="L26" s="828">
        <f t="shared" ca="1" si="49"/>
        <v>0</v>
      </c>
      <c r="M26" s="828">
        <f t="shared" ca="1" si="49"/>
        <v>0</v>
      </c>
      <c r="N26" s="828">
        <f t="shared" ca="1" si="49"/>
        <v>0</v>
      </c>
      <c r="O26" s="828">
        <f t="shared" ca="1" si="49"/>
        <v>0</v>
      </c>
      <c r="P26" s="828">
        <f ca="1">SUM(SUMIFS(OFFSET(貼付け_2024実績,$A26,9,1,199),OFFSET(貼付け_2024実績,4,9,1,199),{"横浜*","川崎*"}))</f>
        <v>0</v>
      </c>
      <c r="Q26" s="828">
        <f ca="1">SUM(SUMIFS(OFFSET(貼付け_2025実績,$A26,9,1,199),OFFSET(貼付け_2025実績,4,9,1,199),{"横浜*","川崎*"}))</f>
        <v>0</v>
      </c>
      <c r="R26" s="828">
        <f ca="1">SUM(SUMIFS(OFFSET(貼付け_2026実績,$A26,9,1,199),OFFSET(貼付け_2026実績,4,9,1,199),{"横浜*","川崎*"}))</f>
        <v>0</v>
      </c>
      <c r="S26" s="828">
        <f ca="1">SUM(SUMIFS(OFFSET(貼付け_2027実績,$A26,9,1,199),OFFSET(貼付け_2027実績,4,9,1,199),{"横浜*","川崎*"}))</f>
        <v>0</v>
      </c>
      <c r="T26" s="828">
        <f t="shared" ca="1" si="50"/>
        <v>0</v>
      </c>
      <c r="U26" s="828">
        <f t="shared" ca="1" si="50"/>
        <v>0</v>
      </c>
      <c r="V26" s="828">
        <f t="shared" ca="1" si="50"/>
        <v>0</v>
      </c>
      <c r="W26" s="828">
        <f t="shared" ca="1" si="50"/>
        <v>0</v>
      </c>
      <c r="X26" s="828">
        <f t="shared" ca="1" si="6"/>
        <v>0</v>
      </c>
      <c r="Y26" s="828">
        <f t="shared" ca="1" si="7"/>
        <v>0</v>
      </c>
      <c r="Z26" s="828">
        <f t="shared" ca="1" si="8"/>
        <v>0</v>
      </c>
      <c r="AA26" s="828">
        <f t="shared" ca="1" si="9"/>
        <v>0</v>
      </c>
      <c r="AB26" s="828" t="str">
        <f t="shared" ca="1" si="51"/>
        <v/>
      </c>
      <c r="AC26" s="828" t="str">
        <f t="shared" ca="1" si="10"/>
        <v/>
      </c>
      <c r="AD26" s="828" t="str">
        <f t="shared" ca="1" si="11"/>
        <v/>
      </c>
      <c r="AE26" s="828" t="str">
        <f t="shared" ca="1" si="12"/>
        <v/>
      </c>
      <c r="AF26" s="828" t="str">
        <f t="shared" ca="1" si="13"/>
        <v/>
      </c>
      <c r="AG26" s="828" t="str">
        <f t="shared" ca="1" si="14"/>
        <v/>
      </c>
      <c r="AH26" s="828" t="str">
        <f t="shared" ca="1" si="15"/>
        <v/>
      </c>
      <c r="AI26" s="828" t="str">
        <f t="shared" ca="1" si="16"/>
        <v/>
      </c>
      <c r="AJ26" s="828" t="str">
        <f t="shared" ca="1" si="17"/>
        <v/>
      </c>
      <c r="AK26" s="828" t="str">
        <f t="shared" ca="1" si="18"/>
        <v/>
      </c>
      <c r="AL26" s="828" t="str">
        <f t="shared" ca="1" si="19"/>
        <v/>
      </c>
      <c r="AM26" s="828" t="str">
        <f t="shared" ca="1" si="20"/>
        <v/>
      </c>
      <c r="AN26" s="828" t="str">
        <f t="shared" ca="1" si="21"/>
        <v/>
      </c>
      <c r="AO26" s="828" t="str">
        <f t="shared" ca="1" si="22"/>
        <v/>
      </c>
      <c r="AP26" s="828" t="str">
        <f t="shared" ca="1" si="23"/>
        <v/>
      </c>
      <c r="AQ26" s="828" t="str">
        <f t="shared" ca="1" si="24"/>
        <v/>
      </c>
      <c r="AR26" s="828" t="str">
        <f t="shared" ca="1" si="25"/>
        <v/>
      </c>
      <c r="AS26" s="828" t="str">
        <f t="shared" ca="1" si="26"/>
        <v/>
      </c>
      <c r="AT26" s="828" t="str">
        <f t="shared" ca="1" si="27"/>
        <v/>
      </c>
      <c r="AU26" s="828" t="str">
        <f t="shared" ca="1" si="28"/>
        <v/>
      </c>
      <c r="AV26" s="828" t="str">
        <f t="shared" ca="1" si="29"/>
        <v/>
      </c>
      <c r="AW26" s="828" t="str">
        <f t="shared" ca="1" si="30"/>
        <v/>
      </c>
      <c r="AX26" s="828" t="str">
        <f t="shared" ca="1" si="31"/>
        <v/>
      </c>
      <c r="AY26" s="828" t="str">
        <f t="shared" ca="1" si="32"/>
        <v/>
      </c>
      <c r="AZ26" s="828" t="str">
        <f t="shared" ca="1" si="33"/>
        <v/>
      </c>
      <c r="BA26" s="828" t="str">
        <f t="shared" ca="1" si="34"/>
        <v/>
      </c>
      <c r="BB26" s="828" t="str">
        <f t="shared" ca="1" si="35"/>
        <v/>
      </c>
      <c r="BC26" s="828" t="str">
        <f t="shared" ca="1" si="36"/>
        <v/>
      </c>
      <c r="BD26" s="828" t="str">
        <f t="shared" ca="1" si="37"/>
        <v/>
      </c>
      <c r="BE26" s="828" t="str">
        <f t="shared" ca="1" si="38"/>
        <v/>
      </c>
      <c r="BF26" s="828" t="str">
        <f t="shared" ca="1" si="39"/>
        <v/>
      </c>
      <c r="BG26" s="828" t="str">
        <f t="shared" ca="1" si="40"/>
        <v/>
      </c>
      <c r="BH26" s="828" t="str">
        <f t="shared" ca="1" si="41"/>
        <v/>
      </c>
      <c r="BI26" s="828" t="str">
        <f t="shared" ca="1" si="42"/>
        <v/>
      </c>
      <c r="BJ26" s="828" t="str">
        <f t="shared" ca="1" si="43"/>
        <v/>
      </c>
      <c r="BK26" s="828" t="str">
        <f t="shared" ca="1" si="44"/>
        <v/>
      </c>
      <c r="BL26" s="828" t="str">
        <f t="shared" ca="1" si="45"/>
        <v/>
      </c>
      <c r="BM26" s="828" t="str">
        <f t="shared" ca="1" si="46"/>
        <v/>
      </c>
      <c r="BN26" s="828" t="str">
        <f t="shared" ca="1" si="47"/>
        <v/>
      </c>
      <c r="BO26" s="828" t="str">
        <f t="shared" ca="1" si="48"/>
        <v/>
      </c>
    </row>
    <row r="27" spans="1:67" ht="20.100000000000001" customHeight="1">
      <c r="A27" s="823">
        <v>26</v>
      </c>
      <c r="B27" s="1870"/>
      <c r="C27" s="1872"/>
      <c r="D27" s="824" t="s">
        <v>4401</v>
      </c>
      <c r="E27" s="824"/>
      <c r="F27" s="825"/>
      <c r="G27" s="826" t="s">
        <v>3777</v>
      </c>
      <c r="H27" s="827">
        <f t="shared" ca="1" si="0"/>
        <v>26.1</v>
      </c>
      <c r="I27" s="827">
        <f t="shared" ca="1" si="1"/>
        <v>26.1</v>
      </c>
      <c r="J27" s="827">
        <f t="shared" ca="1" si="2"/>
        <v>26.1</v>
      </c>
      <c r="K27" s="827">
        <f t="shared" ca="1" si="3"/>
        <v>26.1</v>
      </c>
      <c r="L27" s="828">
        <f t="shared" ca="1" si="49"/>
        <v>0</v>
      </c>
      <c r="M27" s="828">
        <f t="shared" ca="1" si="49"/>
        <v>0</v>
      </c>
      <c r="N27" s="828">
        <f t="shared" ca="1" si="49"/>
        <v>0</v>
      </c>
      <c r="O27" s="828">
        <f t="shared" ca="1" si="49"/>
        <v>0</v>
      </c>
      <c r="P27" s="828">
        <f ca="1">SUM(SUMIFS(OFFSET(貼付け_2024実績,$A27,9,1,199),OFFSET(貼付け_2024実績,4,9,1,199),{"横浜*","川崎*"}))</f>
        <v>0</v>
      </c>
      <c r="Q27" s="828">
        <f ca="1">SUM(SUMIFS(OFFSET(貼付け_2025実績,$A27,9,1,199),OFFSET(貼付け_2025実績,4,9,1,199),{"横浜*","川崎*"}))</f>
        <v>0</v>
      </c>
      <c r="R27" s="828">
        <f ca="1">SUM(SUMIFS(OFFSET(貼付け_2026実績,$A27,9,1,199),OFFSET(貼付け_2026実績,4,9,1,199),{"横浜*","川崎*"}))</f>
        <v>0</v>
      </c>
      <c r="S27" s="828">
        <f ca="1">SUM(SUMIFS(OFFSET(貼付け_2027実績,$A27,9,1,199),OFFSET(貼付け_2027実績,4,9,1,199),{"横浜*","川崎*"}))</f>
        <v>0</v>
      </c>
      <c r="T27" s="828">
        <f t="shared" ca="1" si="50"/>
        <v>0</v>
      </c>
      <c r="U27" s="828">
        <f t="shared" ca="1" si="50"/>
        <v>0</v>
      </c>
      <c r="V27" s="828">
        <f t="shared" ca="1" si="50"/>
        <v>0</v>
      </c>
      <c r="W27" s="828">
        <f t="shared" ca="1" si="50"/>
        <v>0</v>
      </c>
      <c r="X27" s="828">
        <f t="shared" ca="1" si="6"/>
        <v>0</v>
      </c>
      <c r="Y27" s="828">
        <f t="shared" ca="1" si="7"/>
        <v>0</v>
      </c>
      <c r="Z27" s="828">
        <f t="shared" ca="1" si="8"/>
        <v>0</v>
      </c>
      <c r="AA27" s="828">
        <f t="shared" ca="1" si="9"/>
        <v>0</v>
      </c>
      <c r="AB27" s="828" t="str">
        <f t="shared" ca="1" si="51"/>
        <v/>
      </c>
      <c r="AC27" s="828" t="str">
        <f t="shared" ca="1" si="10"/>
        <v/>
      </c>
      <c r="AD27" s="828" t="str">
        <f t="shared" ca="1" si="11"/>
        <v/>
      </c>
      <c r="AE27" s="828" t="str">
        <f t="shared" ca="1" si="12"/>
        <v/>
      </c>
      <c r="AF27" s="828" t="str">
        <f t="shared" ca="1" si="13"/>
        <v/>
      </c>
      <c r="AG27" s="828" t="str">
        <f t="shared" ca="1" si="14"/>
        <v/>
      </c>
      <c r="AH27" s="828" t="str">
        <f t="shared" ca="1" si="15"/>
        <v/>
      </c>
      <c r="AI27" s="828" t="str">
        <f t="shared" ca="1" si="16"/>
        <v/>
      </c>
      <c r="AJ27" s="828" t="str">
        <f t="shared" ca="1" si="17"/>
        <v/>
      </c>
      <c r="AK27" s="828" t="str">
        <f t="shared" ca="1" si="18"/>
        <v/>
      </c>
      <c r="AL27" s="828" t="str">
        <f t="shared" ca="1" si="19"/>
        <v/>
      </c>
      <c r="AM27" s="828" t="str">
        <f t="shared" ca="1" si="20"/>
        <v/>
      </c>
      <c r="AN27" s="828" t="str">
        <f t="shared" ca="1" si="21"/>
        <v/>
      </c>
      <c r="AO27" s="828" t="str">
        <f t="shared" ca="1" si="22"/>
        <v/>
      </c>
      <c r="AP27" s="828" t="str">
        <f t="shared" ca="1" si="23"/>
        <v/>
      </c>
      <c r="AQ27" s="828" t="str">
        <f t="shared" ca="1" si="24"/>
        <v/>
      </c>
      <c r="AR27" s="828" t="str">
        <f t="shared" ca="1" si="25"/>
        <v/>
      </c>
      <c r="AS27" s="828" t="str">
        <f t="shared" ca="1" si="26"/>
        <v/>
      </c>
      <c r="AT27" s="828" t="str">
        <f t="shared" ca="1" si="27"/>
        <v/>
      </c>
      <c r="AU27" s="828" t="str">
        <f t="shared" ca="1" si="28"/>
        <v/>
      </c>
      <c r="AV27" s="828" t="str">
        <f t="shared" ca="1" si="29"/>
        <v/>
      </c>
      <c r="AW27" s="828" t="str">
        <f t="shared" ca="1" si="30"/>
        <v/>
      </c>
      <c r="AX27" s="828" t="str">
        <f t="shared" ca="1" si="31"/>
        <v/>
      </c>
      <c r="AY27" s="828" t="str">
        <f t="shared" ca="1" si="32"/>
        <v/>
      </c>
      <c r="AZ27" s="828" t="str">
        <f t="shared" ca="1" si="33"/>
        <v/>
      </c>
      <c r="BA27" s="828" t="str">
        <f t="shared" ca="1" si="34"/>
        <v/>
      </c>
      <c r="BB27" s="828" t="str">
        <f t="shared" ca="1" si="35"/>
        <v/>
      </c>
      <c r="BC27" s="828" t="str">
        <f t="shared" ca="1" si="36"/>
        <v/>
      </c>
      <c r="BD27" s="828" t="str">
        <f t="shared" ca="1" si="37"/>
        <v/>
      </c>
      <c r="BE27" s="828" t="str">
        <f t="shared" ca="1" si="38"/>
        <v/>
      </c>
      <c r="BF27" s="828" t="str">
        <f t="shared" ca="1" si="39"/>
        <v/>
      </c>
      <c r="BG27" s="828" t="str">
        <f t="shared" ca="1" si="40"/>
        <v/>
      </c>
      <c r="BH27" s="828" t="str">
        <f t="shared" ca="1" si="41"/>
        <v/>
      </c>
      <c r="BI27" s="828" t="str">
        <f t="shared" ca="1" si="42"/>
        <v/>
      </c>
      <c r="BJ27" s="828" t="str">
        <f t="shared" ca="1" si="43"/>
        <v/>
      </c>
      <c r="BK27" s="828" t="str">
        <f t="shared" ca="1" si="44"/>
        <v/>
      </c>
      <c r="BL27" s="828" t="str">
        <f t="shared" ca="1" si="45"/>
        <v/>
      </c>
      <c r="BM27" s="828" t="str">
        <f t="shared" ca="1" si="46"/>
        <v/>
      </c>
      <c r="BN27" s="828" t="str">
        <f t="shared" ca="1" si="47"/>
        <v/>
      </c>
      <c r="BO27" s="828" t="str">
        <f t="shared" ca="1" si="48"/>
        <v/>
      </c>
    </row>
    <row r="28" spans="1:67" ht="20.100000000000001" customHeight="1">
      <c r="A28" s="823">
        <v>27</v>
      </c>
      <c r="B28" s="1870"/>
      <c r="C28" s="1872"/>
      <c r="D28" s="824" t="s">
        <v>4402</v>
      </c>
      <c r="E28" s="824"/>
      <c r="F28" s="825"/>
      <c r="G28" s="826" t="s">
        <v>3777</v>
      </c>
      <c r="H28" s="827">
        <f t="shared" ca="1" si="0"/>
        <v>24.2</v>
      </c>
      <c r="I28" s="827">
        <f t="shared" ca="1" si="1"/>
        <v>24.2</v>
      </c>
      <c r="J28" s="827">
        <f t="shared" ca="1" si="2"/>
        <v>24.2</v>
      </c>
      <c r="K28" s="827">
        <f t="shared" ca="1" si="3"/>
        <v>24.2</v>
      </c>
      <c r="L28" s="828">
        <f t="shared" ca="1" si="49"/>
        <v>0</v>
      </c>
      <c r="M28" s="828">
        <f t="shared" ca="1" si="49"/>
        <v>0</v>
      </c>
      <c r="N28" s="828">
        <f t="shared" ca="1" si="49"/>
        <v>0</v>
      </c>
      <c r="O28" s="828">
        <f t="shared" ca="1" si="49"/>
        <v>0</v>
      </c>
      <c r="P28" s="828">
        <f ca="1">SUM(SUMIFS(OFFSET(貼付け_2024実績,$A28,9,1,199),OFFSET(貼付け_2024実績,4,9,1,199),{"横浜*","川崎*"}))</f>
        <v>0</v>
      </c>
      <c r="Q28" s="828">
        <f ca="1">SUM(SUMIFS(OFFSET(貼付け_2025実績,$A28,9,1,199),OFFSET(貼付け_2025実績,4,9,1,199),{"横浜*","川崎*"}))</f>
        <v>0</v>
      </c>
      <c r="R28" s="828">
        <f ca="1">SUM(SUMIFS(OFFSET(貼付け_2026実績,$A28,9,1,199),OFFSET(貼付け_2026実績,4,9,1,199),{"横浜*","川崎*"}))</f>
        <v>0</v>
      </c>
      <c r="S28" s="828">
        <f ca="1">SUM(SUMIFS(OFFSET(貼付け_2027実績,$A28,9,1,199),OFFSET(貼付け_2027実績,4,9,1,199),{"横浜*","川崎*"}))</f>
        <v>0</v>
      </c>
      <c r="T28" s="828">
        <f t="shared" ca="1" si="50"/>
        <v>0</v>
      </c>
      <c r="U28" s="828">
        <f t="shared" ca="1" si="50"/>
        <v>0</v>
      </c>
      <c r="V28" s="828">
        <f t="shared" ca="1" si="50"/>
        <v>0</v>
      </c>
      <c r="W28" s="828">
        <f t="shared" ca="1" si="50"/>
        <v>0</v>
      </c>
      <c r="X28" s="828">
        <f t="shared" ca="1" si="6"/>
        <v>0</v>
      </c>
      <c r="Y28" s="828">
        <f t="shared" ca="1" si="7"/>
        <v>0</v>
      </c>
      <c r="Z28" s="828">
        <f t="shared" ca="1" si="8"/>
        <v>0</v>
      </c>
      <c r="AA28" s="828">
        <f t="shared" ca="1" si="9"/>
        <v>0</v>
      </c>
      <c r="AB28" s="828" t="str">
        <f t="shared" ca="1" si="51"/>
        <v/>
      </c>
      <c r="AC28" s="828" t="str">
        <f t="shared" ca="1" si="10"/>
        <v/>
      </c>
      <c r="AD28" s="828" t="str">
        <f t="shared" ca="1" si="11"/>
        <v/>
      </c>
      <c r="AE28" s="828" t="str">
        <f t="shared" ca="1" si="12"/>
        <v/>
      </c>
      <c r="AF28" s="828" t="str">
        <f t="shared" ca="1" si="13"/>
        <v/>
      </c>
      <c r="AG28" s="828" t="str">
        <f t="shared" ca="1" si="14"/>
        <v/>
      </c>
      <c r="AH28" s="828" t="str">
        <f t="shared" ca="1" si="15"/>
        <v/>
      </c>
      <c r="AI28" s="828" t="str">
        <f t="shared" ca="1" si="16"/>
        <v/>
      </c>
      <c r="AJ28" s="828" t="str">
        <f t="shared" ca="1" si="17"/>
        <v/>
      </c>
      <c r="AK28" s="828" t="str">
        <f t="shared" ca="1" si="18"/>
        <v/>
      </c>
      <c r="AL28" s="828" t="str">
        <f t="shared" ca="1" si="19"/>
        <v/>
      </c>
      <c r="AM28" s="828" t="str">
        <f t="shared" ca="1" si="20"/>
        <v/>
      </c>
      <c r="AN28" s="828" t="str">
        <f t="shared" ca="1" si="21"/>
        <v/>
      </c>
      <c r="AO28" s="828" t="str">
        <f t="shared" ca="1" si="22"/>
        <v/>
      </c>
      <c r="AP28" s="828" t="str">
        <f t="shared" ca="1" si="23"/>
        <v/>
      </c>
      <c r="AQ28" s="828" t="str">
        <f t="shared" ca="1" si="24"/>
        <v/>
      </c>
      <c r="AR28" s="828" t="str">
        <f t="shared" ca="1" si="25"/>
        <v/>
      </c>
      <c r="AS28" s="828" t="str">
        <f t="shared" ca="1" si="26"/>
        <v/>
      </c>
      <c r="AT28" s="828" t="str">
        <f t="shared" ca="1" si="27"/>
        <v/>
      </c>
      <c r="AU28" s="828" t="str">
        <f t="shared" ca="1" si="28"/>
        <v/>
      </c>
      <c r="AV28" s="828" t="str">
        <f t="shared" ca="1" si="29"/>
        <v/>
      </c>
      <c r="AW28" s="828" t="str">
        <f t="shared" ca="1" si="30"/>
        <v/>
      </c>
      <c r="AX28" s="828" t="str">
        <f t="shared" ca="1" si="31"/>
        <v/>
      </c>
      <c r="AY28" s="828" t="str">
        <f t="shared" ca="1" si="32"/>
        <v/>
      </c>
      <c r="AZ28" s="828" t="str">
        <f t="shared" ca="1" si="33"/>
        <v/>
      </c>
      <c r="BA28" s="828" t="str">
        <f t="shared" ca="1" si="34"/>
        <v/>
      </c>
      <c r="BB28" s="828" t="str">
        <f t="shared" ca="1" si="35"/>
        <v/>
      </c>
      <c r="BC28" s="828" t="str">
        <f t="shared" ca="1" si="36"/>
        <v/>
      </c>
      <c r="BD28" s="828" t="str">
        <f t="shared" ca="1" si="37"/>
        <v/>
      </c>
      <c r="BE28" s="828" t="str">
        <f t="shared" ca="1" si="38"/>
        <v/>
      </c>
      <c r="BF28" s="828" t="str">
        <f t="shared" ca="1" si="39"/>
        <v/>
      </c>
      <c r="BG28" s="828" t="str">
        <f t="shared" ca="1" si="40"/>
        <v/>
      </c>
      <c r="BH28" s="828" t="str">
        <f t="shared" ca="1" si="41"/>
        <v/>
      </c>
      <c r="BI28" s="828" t="str">
        <f t="shared" ca="1" si="42"/>
        <v/>
      </c>
      <c r="BJ28" s="828" t="str">
        <f t="shared" ca="1" si="43"/>
        <v/>
      </c>
      <c r="BK28" s="828" t="str">
        <f t="shared" ca="1" si="44"/>
        <v/>
      </c>
      <c r="BL28" s="828" t="str">
        <f t="shared" ca="1" si="45"/>
        <v/>
      </c>
      <c r="BM28" s="828" t="str">
        <f t="shared" ca="1" si="46"/>
        <v/>
      </c>
      <c r="BN28" s="828" t="str">
        <f t="shared" ca="1" si="47"/>
        <v/>
      </c>
      <c r="BO28" s="828" t="str">
        <f t="shared" ca="1" si="48"/>
        <v/>
      </c>
    </row>
    <row r="29" spans="1:67" ht="20.100000000000001" customHeight="1">
      <c r="A29" s="823">
        <v>28</v>
      </c>
      <c r="B29" s="1870"/>
      <c r="C29" s="1872"/>
      <c r="D29" s="824" t="s">
        <v>4403</v>
      </c>
      <c r="E29" s="824"/>
      <c r="F29" s="825"/>
      <c r="G29" s="826" t="s">
        <v>3777</v>
      </c>
      <c r="H29" s="827">
        <f t="shared" ca="1" si="0"/>
        <v>27.8</v>
      </c>
      <c r="I29" s="827">
        <f t="shared" ca="1" si="1"/>
        <v>27.8</v>
      </c>
      <c r="J29" s="827">
        <f t="shared" ca="1" si="2"/>
        <v>27.8</v>
      </c>
      <c r="K29" s="827">
        <f t="shared" ca="1" si="3"/>
        <v>27.8</v>
      </c>
      <c r="L29" s="828">
        <f t="shared" ca="1" si="49"/>
        <v>0</v>
      </c>
      <c r="M29" s="828">
        <f t="shared" ca="1" si="49"/>
        <v>0</v>
      </c>
      <c r="N29" s="828">
        <f t="shared" ca="1" si="49"/>
        <v>0</v>
      </c>
      <c r="O29" s="828">
        <f t="shared" ca="1" si="49"/>
        <v>0</v>
      </c>
      <c r="P29" s="828">
        <f ca="1">SUM(SUMIFS(OFFSET(貼付け_2024実績,$A29,9,1,199),OFFSET(貼付け_2024実績,4,9,1,199),{"横浜*","川崎*"}))</f>
        <v>0</v>
      </c>
      <c r="Q29" s="828">
        <f ca="1">SUM(SUMIFS(OFFSET(貼付け_2025実績,$A29,9,1,199),OFFSET(貼付け_2025実績,4,9,1,199),{"横浜*","川崎*"}))</f>
        <v>0</v>
      </c>
      <c r="R29" s="828">
        <f ca="1">SUM(SUMIFS(OFFSET(貼付け_2026実績,$A29,9,1,199),OFFSET(貼付け_2026実績,4,9,1,199),{"横浜*","川崎*"}))</f>
        <v>0</v>
      </c>
      <c r="S29" s="828">
        <f ca="1">SUM(SUMIFS(OFFSET(貼付け_2027実績,$A29,9,1,199),OFFSET(貼付け_2027実績,4,9,1,199),{"横浜*","川崎*"}))</f>
        <v>0</v>
      </c>
      <c r="T29" s="828">
        <f t="shared" ca="1" si="50"/>
        <v>0</v>
      </c>
      <c r="U29" s="828">
        <f t="shared" ca="1" si="50"/>
        <v>0</v>
      </c>
      <c r="V29" s="828">
        <f t="shared" ca="1" si="50"/>
        <v>0</v>
      </c>
      <c r="W29" s="828">
        <f t="shared" ca="1" si="50"/>
        <v>0</v>
      </c>
      <c r="X29" s="828">
        <f t="shared" ca="1" si="6"/>
        <v>0</v>
      </c>
      <c r="Y29" s="828">
        <f t="shared" ca="1" si="7"/>
        <v>0</v>
      </c>
      <c r="Z29" s="828">
        <f t="shared" ca="1" si="8"/>
        <v>0</v>
      </c>
      <c r="AA29" s="828">
        <f t="shared" ca="1" si="9"/>
        <v>0</v>
      </c>
      <c r="AB29" s="828" t="str">
        <f t="shared" ca="1" si="51"/>
        <v/>
      </c>
      <c r="AC29" s="828" t="str">
        <f t="shared" ca="1" si="10"/>
        <v/>
      </c>
      <c r="AD29" s="828" t="str">
        <f t="shared" ca="1" si="11"/>
        <v/>
      </c>
      <c r="AE29" s="828" t="str">
        <f t="shared" ca="1" si="12"/>
        <v/>
      </c>
      <c r="AF29" s="828" t="str">
        <f t="shared" ca="1" si="13"/>
        <v/>
      </c>
      <c r="AG29" s="828" t="str">
        <f t="shared" ca="1" si="14"/>
        <v/>
      </c>
      <c r="AH29" s="828" t="str">
        <f t="shared" ca="1" si="15"/>
        <v/>
      </c>
      <c r="AI29" s="828" t="str">
        <f t="shared" ca="1" si="16"/>
        <v/>
      </c>
      <c r="AJ29" s="828" t="str">
        <f t="shared" ca="1" si="17"/>
        <v/>
      </c>
      <c r="AK29" s="828" t="str">
        <f t="shared" ca="1" si="18"/>
        <v/>
      </c>
      <c r="AL29" s="828" t="str">
        <f t="shared" ca="1" si="19"/>
        <v/>
      </c>
      <c r="AM29" s="828" t="str">
        <f t="shared" ca="1" si="20"/>
        <v/>
      </c>
      <c r="AN29" s="828" t="str">
        <f t="shared" ca="1" si="21"/>
        <v/>
      </c>
      <c r="AO29" s="828" t="str">
        <f t="shared" ca="1" si="22"/>
        <v/>
      </c>
      <c r="AP29" s="828" t="str">
        <f t="shared" ca="1" si="23"/>
        <v/>
      </c>
      <c r="AQ29" s="828" t="str">
        <f t="shared" ca="1" si="24"/>
        <v/>
      </c>
      <c r="AR29" s="828" t="str">
        <f t="shared" ca="1" si="25"/>
        <v/>
      </c>
      <c r="AS29" s="828" t="str">
        <f t="shared" ca="1" si="26"/>
        <v/>
      </c>
      <c r="AT29" s="828" t="str">
        <f t="shared" ca="1" si="27"/>
        <v/>
      </c>
      <c r="AU29" s="828" t="str">
        <f t="shared" ca="1" si="28"/>
        <v/>
      </c>
      <c r="AV29" s="828" t="str">
        <f t="shared" ca="1" si="29"/>
        <v/>
      </c>
      <c r="AW29" s="828" t="str">
        <f t="shared" ca="1" si="30"/>
        <v/>
      </c>
      <c r="AX29" s="828" t="str">
        <f t="shared" ca="1" si="31"/>
        <v/>
      </c>
      <c r="AY29" s="828" t="str">
        <f t="shared" ca="1" si="32"/>
        <v/>
      </c>
      <c r="AZ29" s="828" t="str">
        <f t="shared" ca="1" si="33"/>
        <v/>
      </c>
      <c r="BA29" s="828" t="str">
        <f t="shared" ca="1" si="34"/>
        <v/>
      </c>
      <c r="BB29" s="828" t="str">
        <f t="shared" ca="1" si="35"/>
        <v/>
      </c>
      <c r="BC29" s="828" t="str">
        <f t="shared" ca="1" si="36"/>
        <v/>
      </c>
      <c r="BD29" s="828" t="str">
        <f t="shared" ca="1" si="37"/>
        <v/>
      </c>
      <c r="BE29" s="828" t="str">
        <f t="shared" ca="1" si="38"/>
        <v/>
      </c>
      <c r="BF29" s="828" t="str">
        <f t="shared" ca="1" si="39"/>
        <v/>
      </c>
      <c r="BG29" s="828" t="str">
        <f t="shared" ca="1" si="40"/>
        <v/>
      </c>
      <c r="BH29" s="828" t="str">
        <f t="shared" ca="1" si="41"/>
        <v/>
      </c>
      <c r="BI29" s="828" t="str">
        <f t="shared" ca="1" si="42"/>
        <v/>
      </c>
      <c r="BJ29" s="828" t="str">
        <f t="shared" ca="1" si="43"/>
        <v/>
      </c>
      <c r="BK29" s="828" t="str">
        <f t="shared" ca="1" si="44"/>
        <v/>
      </c>
      <c r="BL29" s="828" t="str">
        <f t="shared" ca="1" si="45"/>
        <v/>
      </c>
      <c r="BM29" s="828" t="str">
        <f t="shared" ca="1" si="46"/>
        <v/>
      </c>
      <c r="BN29" s="828" t="str">
        <f t="shared" ca="1" si="47"/>
        <v/>
      </c>
      <c r="BO29" s="828" t="str">
        <f t="shared" ca="1" si="48"/>
        <v/>
      </c>
    </row>
    <row r="30" spans="1:67" ht="20.100000000000001" customHeight="1">
      <c r="A30" s="823">
        <v>29</v>
      </c>
      <c r="B30" s="1870"/>
      <c r="C30" s="1872"/>
      <c r="D30" s="824" t="s">
        <v>4169</v>
      </c>
      <c r="E30" s="824"/>
      <c r="F30" s="825"/>
      <c r="G30" s="826" t="s">
        <v>3777</v>
      </c>
      <c r="H30" s="827">
        <f t="shared" ca="1" si="0"/>
        <v>29</v>
      </c>
      <c r="I30" s="827">
        <f t="shared" ca="1" si="1"/>
        <v>29</v>
      </c>
      <c r="J30" s="827">
        <f t="shared" ca="1" si="2"/>
        <v>29</v>
      </c>
      <c r="K30" s="827">
        <f t="shared" ca="1" si="3"/>
        <v>29</v>
      </c>
      <c r="L30" s="828">
        <f t="shared" ca="1" si="49"/>
        <v>0</v>
      </c>
      <c r="M30" s="828">
        <f t="shared" ca="1" si="49"/>
        <v>0</v>
      </c>
      <c r="N30" s="828">
        <f t="shared" ca="1" si="49"/>
        <v>0</v>
      </c>
      <c r="O30" s="828">
        <f t="shared" ca="1" si="49"/>
        <v>0</v>
      </c>
      <c r="P30" s="828">
        <f ca="1">SUM(SUMIFS(OFFSET(貼付け_2024実績,$A30,9,1,199),OFFSET(貼付け_2024実績,4,9,1,199),{"横浜*","川崎*"}))</f>
        <v>0</v>
      </c>
      <c r="Q30" s="828">
        <f ca="1">SUM(SUMIFS(OFFSET(貼付け_2025実績,$A30,9,1,199),OFFSET(貼付け_2025実績,4,9,1,199),{"横浜*","川崎*"}))</f>
        <v>0</v>
      </c>
      <c r="R30" s="828">
        <f ca="1">SUM(SUMIFS(OFFSET(貼付け_2026実績,$A30,9,1,199),OFFSET(貼付け_2026実績,4,9,1,199),{"横浜*","川崎*"}))</f>
        <v>0</v>
      </c>
      <c r="S30" s="828">
        <f ca="1">SUM(SUMIFS(OFFSET(貼付け_2027実績,$A30,9,1,199),OFFSET(貼付け_2027実績,4,9,1,199),{"横浜*","川崎*"}))</f>
        <v>0</v>
      </c>
      <c r="T30" s="828">
        <f t="shared" ca="1" si="50"/>
        <v>0</v>
      </c>
      <c r="U30" s="828">
        <f t="shared" ca="1" si="50"/>
        <v>0</v>
      </c>
      <c r="V30" s="828">
        <f t="shared" ca="1" si="50"/>
        <v>0</v>
      </c>
      <c r="W30" s="828">
        <f t="shared" ca="1" si="50"/>
        <v>0</v>
      </c>
      <c r="X30" s="828">
        <f t="shared" ca="1" si="6"/>
        <v>0</v>
      </c>
      <c r="Y30" s="828">
        <f t="shared" ca="1" si="7"/>
        <v>0</v>
      </c>
      <c r="Z30" s="828">
        <f t="shared" ca="1" si="8"/>
        <v>0</v>
      </c>
      <c r="AA30" s="828">
        <f t="shared" ca="1" si="9"/>
        <v>0</v>
      </c>
      <c r="AB30" s="828" t="str">
        <f t="shared" ca="1" si="51"/>
        <v/>
      </c>
      <c r="AC30" s="828" t="str">
        <f t="shared" ca="1" si="10"/>
        <v/>
      </c>
      <c r="AD30" s="828" t="str">
        <f t="shared" ca="1" si="11"/>
        <v/>
      </c>
      <c r="AE30" s="828" t="str">
        <f t="shared" ca="1" si="12"/>
        <v/>
      </c>
      <c r="AF30" s="828" t="str">
        <f t="shared" ca="1" si="13"/>
        <v/>
      </c>
      <c r="AG30" s="828" t="str">
        <f t="shared" ca="1" si="14"/>
        <v/>
      </c>
      <c r="AH30" s="828" t="str">
        <f t="shared" ca="1" si="15"/>
        <v/>
      </c>
      <c r="AI30" s="828" t="str">
        <f t="shared" ca="1" si="16"/>
        <v/>
      </c>
      <c r="AJ30" s="828" t="str">
        <f t="shared" ca="1" si="17"/>
        <v/>
      </c>
      <c r="AK30" s="828" t="str">
        <f t="shared" ca="1" si="18"/>
        <v/>
      </c>
      <c r="AL30" s="828" t="str">
        <f t="shared" ca="1" si="19"/>
        <v/>
      </c>
      <c r="AM30" s="828" t="str">
        <f t="shared" ca="1" si="20"/>
        <v/>
      </c>
      <c r="AN30" s="828" t="str">
        <f t="shared" ca="1" si="21"/>
        <v/>
      </c>
      <c r="AO30" s="828" t="str">
        <f t="shared" ca="1" si="22"/>
        <v/>
      </c>
      <c r="AP30" s="828" t="str">
        <f t="shared" ca="1" si="23"/>
        <v/>
      </c>
      <c r="AQ30" s="828" t="str">
        <f t="shared" ca="1" si="24"/>
        <v/>
      </c>
      <c r="AR30" s="828" t="str">
        <f t="shared" ca="1" si="25"/>
        <v/>
      </c>
      <c r="AS30" s="828" t="str">
        <f t="shared" ca="1" si="26"/>
        <v/>
      </c>
      <c r="AT30" s="828" t="str">
        <f t="shared" ca="1" si="27"/>
        <v/>
      </c>
      <c r="AU30" s="828" t="str">
        <f t="shared" ca="1" si="28"/>
        <v/>
      </c>
      <c r="AV30" s="828" t="str">
        <f t="shared" ca="1" si="29"/>
        <v/>
      </c>
      <c r="AW30" s="828" t="str">
        <f t="shared" ca="1" si="30"/>
        <v/>
      </c>
      <c r="AX30" s="828" t="str">
        <f t="shared" ca="1" si="31"/>
        <v/>
      </c>
      <c r="AY30" s="828" t="str">
        <f t="shared" ca="1" si="32"/>
        <v/>
      </c>
      <c r="AZ30" s="828" t="str">
        <f t="shared" ca="1" si="33"/>
        <v/>
      </c>
      <c r="BA30" s="828" t="str">
        <f t="shared" ca="1" si="34"/>
        <v/>
      </c>
      <c r="BB30" s="828" t="str">
        <f t="shared" ca="1" si="35"/>
        <v/>
      </c>
      <c r="BC30" s="828" t="str">
        <f t="shared" ca="1" si="36"/>
        <v/>
      </c>
      <c r="BD30" s="828" t="str">
        <f t="shared" ca="1" si="37"/>
        <v/>
      </c>
      <c r="BE30" s="828" t="str">
        <f t="shared" ca="1" si="38"/>
        <v/>
      </c>
      <c r="BF30" s="828" t="str">
        <f t="shared" ca="1" si="39"/>
        <v/>
      </c>
      <c r="BG30" s="828" t="str">
        <f t="shared" ca="1" si="40"/>
        <v/>
      </c>
      <c r="BH30" s="828" t="str">
        <f t="shared" ca="1" si="41"/>
        <v/>
      </c>
      <c r="BI30" s="828" t="str">
        <f t="shared" ca="1" si="42"/>
        <v/>
      </c>
      <c r="BJ30" s="828" t="str">
        <f t="shared" ca="1" si="43"/>
        <v/>
      </c>
      <c r="BK30" s="828" t="str">
        <f t="shared" ca="1" si="44"/>
        <v/>
      </c>
      <c r="BL30" s="828" t="str">
        <f t="shared" ca="1" si="45"/>
        <v/>
      </c>
      <c r="BM30" s="828" t="str">
        <f t="shared" ca="1" si="46"/>
        <v/>
      </c>
      <c r="BN30" s="828" t="str">
        <f t="shared" ca="1" si="47"/>
        <v/>
      </c>
      <c r="BO30" s="828" t="str">
        <f t="shared" ca="1" si="48"/>
        <v/>
      </c>
    </row>
    <row r="31" spans="1:67" ht="20.100000000000001" customHeight="1">
      <c r="A31" s="823">
        <v>30</v>
      </c>
      <c r="B31" s="1870"/>
      <c r="C31" s="1872"/>
      <c r="D31" s="824" t="s">
        <v>4170</v>
      </c>
      <c r="E31" s="818"/>
      <c r="F31" s="825"/>
      <c r="G31" s="826" t="s">
        <v>3777</v>
      </c>
      <c r="H31" s="827">
        <f t="shared" ca="1" si="0"/>
        <v>37.299999999999997</v>
      </c>
      <c r="I31" s="827">
        <f t="shared" ca="1" si="1"/>
        <v>37.299999999999997</v>
      </c>
      <c r="J31" s="827">
        <f t="shared" ca="1" si="2"/>
        <v>37.299999999999997</v>
      </c>
      <c r="K31" s="827">
        <f t="shared" ca="1" si="3"/>
        <v>37.299999999999997</v>
      </c>
      <c r="L31" s="828">
        <f t="shared" ca="1" si="49"/>
        <v>0</v>
      </c>
      <c r="M31" s="828">
        <f t="shared" ca="1" si="49"/>
        <v>0</v>
      </c>
      <c r="N31" s="828">
        <f t="shared" ca="1" si="49"/>
        <v>0</v>
      </c>
      <c r="O31" s="828">
        <f t="shared" ca="1" si="49"/>
        <v>0</v>
      </c>
      <c r="P31" s="828">
        <f ca="1">SUM(SUMIFS(OFFSET(貼付け_2024実績,$A31,9,1,199),OFFSET(貼付け_2024実績,4,9,1,199),{"横浜*","川崎*"}))</f>
        <v>0</v>
      </c>
      <c r="Q31" s="828">
        <f ca="1">SUM(SUMIFS(OFFSET(貼付け_2025実績,$A31,9,1,199),OFFSET(貼付け_2025実績,4,9,1,199),{"横浜*","川崎*"}))</f>
        <v>0</v>
      </c>
      <c r="R31" s="828">
        <f ca="1">SUM(SUMIFS(OFFSET(貼付け_2026実績,$A31,9,1,199),OFFSET(貼付け_2026実績,4,9,1,199),{"横浜*","川崎*"}))</f>
        <v>0</v>
      </c>
      <c r="S31" s="828">
        <f ca="1">SUM(SUMIFS(OFFSET(貼付け_2027実績,$A31,9,1,199),OFFSET(貼付け_2027実績,4,9,1,199),{"横浜*","川崎*"}))</f>
        <v>0</v>
      </c>
      <c r="T31" s="828">
        <f t="shared" ca="1" si="50"/>
        <v>0</v>
      </c>
      <c r="U31" s="828">
        <f t="shared" ca="1" si="50"/>
        <v>0</v>
      </c>
      <c r="V31" s="828">
        <f t="shared" ca="1" si="50"/>
        <v>0</v>
      </c>
      <c r="W31" s="828">
        <f t="shared" ca="1" si="50"/>
        <v>0</v>
      </c>
      <c r="X31" s="828">
        <f t="shared" ca="1" si="6"/>
        <v>0</v>
      </c>
      <c r="Y31" s="828">
        <f t="shared" ca="1" si="7"/>
        <v>0</v>
      </c>
      <c r="Z31" s="828">
        <f t="shared" ca="1" si="8"/>
        <v>0</v>
      </c>
      <c r="AA31" s="828">
        <f t="shared" ca="1" si="9"/>
        <v>0</v>
      </c>
      <c r="AB31" s="828" t="str">
        <f t="shared" ca="1" si="51"/>
        <v/>
      </c>
      <c r="AC31" s="828" t="str">
        <f t="shared" ca="1" si="10"/>
        <v/>
      </c>
      <c r="AD31" s="828" t="str">
        <f t="shared" ca="1" si="11"/>
        <v/>
      </c>
      <c r="AE31" s="828" t="str">
        <f t="shared" ca="1" si="12"/>
        <v/>
      </c>
      <c r="AF31" s="828" t="str">
        <f t="shared" ca="1" si="13"/>
        <v/>
      </c>
      <c r="AG31" s="828" t="str">
        <f t="shared" ca="1" si="14"/>
        <v/>
      </c>
      <c r="AH31" s="828" t="str">
        <f t="shared" ca="1" si="15"/>
        <v/>
      </c>
      <c r="AI31" s="828" t="str">
        <f t="shared" ca="1" si="16"/>
        <v/>
      </c>
      <c r="AJ31" s="828" t="str">
        <f t="shared" ca="1" si="17"/>
        <v/>
      </c>
      <c r="AK31" s="828" t="str">
        <f t="shared" ca="1" si="18"/>
        <v/>
      </c>
      <c r="AL31" s="828" t="str">
        <f t="shared" ca="1" si="19"/>
        <v/>
      </c>
      <c r="AM31" s="828" t="str">
        <f t="shared" ca="1" si="20"/>
        <v/>
      </c>
      <c r="AN31" s="828" t="str">
        <f t="shared" ca="1" si="21"/>
        <v/>
      </c>
      <c r="AO31" s="828" t="str">
        <f t="shared" ca="1" si="22"/>
        <v/>
      </c>
      <c r="AP31" s="828" t="str">
        <f t="shared" ca="1" si="23"/>
        <v/>
      </c>
      <c r="AQ31" s="828" t="str">
        <f t="shared" ca="1" si="24"/>
        <v/>
      </c>
      <c r="AR31" s="828" t="str">
        <f t="shared" ca="1" si="25"/>
        <v/>
      </c>
      <c r="AS31" s="828" t="str">
        <f t="shared" ca="1" si="26"/>
        <v/>
      </c>
      <c r="AT31" s="828" t="str">
        <f t="shared" ca="1" si="27"/>
        <v/>
      </c>
      <c r="AU31" s="828" t="str">
        <f t="shared" ca="1" si="28"/>
        <v/>
      </c>
      <c r="AV31" s="828" t="str">
        <f t="shared" ca="1" si="29"/>
        <v/>
      </c>
      <c r="AW31" s="828" t="str">
        <f t="shared" ca="1" si="30"/>
        <v/>
      </c>
      <c r="AX31" s="828" t="str">
        <f t="shared" ca="1" si="31"/>
        <v/>
      </c>
      <c r="AY31" s="828" t="str">
        <f t="shared" ca="1" si="32"/>
        <v/>
      </c>
      <c r="AZ31" s="828" t="str">
        <f t="shared" ca="1" si="33"/>
        <v/>
      </c>
      <c r="BA31" s="828" t="str">
        <f t="shared" ca="1" si="34"/>
        <v/>
      </c>
      <c r="BB31" s="828" t="str">
        <f t="shared" ca="1" si="35"/>
        <v/>
      </c>
      <c r="BC31" s="828" t="str">
        <f t="shared" ca="1" si="36"/>
        <v/>
      </c>
      <c r="BD31" s="828" t="str">
        <f t="shared" ca="1" si="37"/>
        <v/>
      </c>
      <c r="BE31" s="828" t="str">
        <f t="shared" ca="1" si="38"/>
        <v/>
      </c>
      <c r="BF31" s="828" t="str">
        <f t="shared" ca="1" si="39"/>
        <v/>
      </c>
      <c r="BG31" s="828" t="str">
        <f t="shared" ca="1" si="40"/>
        <v/>
      </c>
      <c r="BH31" s="828" t="str">
        <f t="shared" ca="1" si="41"/>
        <v/>
      </c>
      <c r="BI31" s="828" t="str">
        <f t="shared" ca="1" si="42"/>
        <v/>
      </c>
      <c r="BJ31" s="828" t="str">
        <f t="shared" ca="1" si="43"/>
        <v/>
      </c>
      <c r="BK31" s="828" t="str">
        <f t="shared" ca="1" si="44"/>
        <v/>
      </c>
      <c r="BL31" s="828" t="str">
        <f t="shared" ca="1" si="45"/>
        <v/>
      </c>
      <c r="BM31" s="828" t="str">
        <f t="shared" ca="1" si="46"/>
        <v/>
      </c>
      <c r="BN31" s="828" t="str">
        <f t="shared" ca="1" si="47"/>
        <v/>
      </c>
      <c r="BO31" s="828" t="str">
        <f t="shared" ca="1" si="48"/>
        <v/>
      </c>
    </row>
    <row r="32" spans="1:67" ht="20.100000000000001" customHeight="1">
      <c r="A32" s="823">
        <v>31</v>
      </c>
      <c r="B32" s="1870"/>
      <c r="C32" s="1872"/>
      <c r="D32" s="824" t="s">
        <v>4171</v>
      </c>
      <c r="E32" s="824"/>
      <c r="F32" s="825"/>
      <c r="G32" s="826" t="s">
        <v>4158</v>
      </c>
      <c r="H32" s="827">
        <f t="shared" ca="1" si="0"/>
        <v>18.399999999999999</v>
      </c>
      <c r="I32" s="827">
        <f t="shared" ca="1" si="1"/>
        <v>18.399999999999999</v>
      </c>
      <c r="J32" s="827">
        <f t="shared" ca="1" si="2"/>
        <v>18.399999999999999</v>
      </c>
      <c r="K32" s="827">
        <f t="shared" ca="1" si="3"/>
        <v>18.399999999999999</v>
      </c>
      <c r="L32" s="828">
        <f t="shared" ca="1" si="49"/>
        <v>0</v>
      </c>
      <c r="M32" s="828">
        <f t="shared" ca="1" si="49"/>
        <v>0</v>
      </c>
      <c r="N32" s="828">
        <f t="shared" ca="1" si="49"/>
        <v>0</v>
      </c>
      <c r="O32" s="828">
        <f t="shared" ca="1" si="49"/>
        <v>0</v>
      </c>
      <c r="P32" s="828">
        <f ca="1">SUM(SUMIFS(OFFSET(貼付け_2024実績,$A32,9,1,199),OFFSET(貼付け_2024実績,4,9,1,199),{"横浜*","川崎*"}))</f>
        <v>0</v>
      </c>
      <c r="Q32" s="828">
        <f ca="1">SUM(SUMIFS(OFFSET(貼付け_2025実績,$A32,9,1,199),OFFSET(貼付け_2025実績,4,9,1,199),{"横浜*","川崎*"}))</f>
        <v>0</v>
      </c>
      <c r="R32" s="828">
        <f ca="1">SUM(SUMIFS(OFFSET(貼付け_2026実績,$A32,9,1,199),OFFSET(貼付け_2026実績,4,9,1,199),{"横浜*","川崎*"}))</f>
        <v>0</v>
      </c>
      <c r="S32" s="828">
        <f ca="1">SUM(SUMIFS(OFFSET(貼付け_2027実績,$A32,9,1,199),OFFSET(貼付け_2027実績,4,9,1,199),{"横浜*","川崎*"}))</f>
        <v>0</v>
      </c>
      <c r="T32" s="828">
        <f t="shared" ca="1" si="50"/>
        <v>0</v>
      </c>
      <c r="U32" s="828">
        <f t="shared" ca="1" si="50"/>
        <v>0</v>
      </c>
      <c r="V32" s="828">
        <f t="shared" ca="1" si="50"/>
        <v>0</v>
      </c>
      <c r="W32" s="828">
        <f t="shared" ca="1" si="50"/>
        <v>0</v>
      </c>
      <c r="X32" s="828">
        <f t="shared" ca="1" si="6"/>
        <v>0</v>
      </c>
      <c r="Y32" s="828">
        <f t="shared" ca="1" si="7"/>
        <v>0</v>
      </c>
      <c r="Z32" s="828">
        <f t="shared" ca="1" si="8"/>
        <v>0</v>
      </c>
      <c r="AA32" s="828">
        <f t="shared" ca="1" si="9"/>
        <v>0</v>
      </c>
      <c r="AB32" s="828" t="str">
        <f t="shared" ca="1" si="51"/>
        <v/>
      </c>
      <c r="AC32" s="828" t="str">
        <f t="shared" ca="1" si="10"/>
        <v/>
      </c>
      <c r="AD32" s="828" t="str">
        <f t="shared" ca="1" si="11"/>
        <v/>
      </c>
      <c r="AE32" s="828" t="str">
        <f t="shared" ca="1" si="12"/>
        <v/>
      </c>
      <c r="AF32" s="828" t="str">
        <f t="shared" ca="1" si="13"/>
        <v/>
      </c>
      <c r="AG32" s="828" t="str">
        <f t="shared" ca="1" si="14"/>
        <v/>
      </c>
      <c r="AH32" s="828" t="str">
        <f t="shared" ca="1" si="15"/>
        <v/>
      </c>
      <c r="AI32" s="828" t="str">
        <f t="shared" ca="1" si="16"/>
        <v/>
      </c>
      <c r="AJ32" s="828" t="str">
        <f t="shared" ca="1" si="17"/>
        <v/>
      </c>
      <c r="AK32" s="828" t="str">
        <f t="shared" ca="1" si="18"/>
        <v/>
      </c>
      <c r="AL32" s="828" t="str">
        <f t="shared" ca="1" si="19"/>
        <v/>
      </c>
      <c r="AM32" s="828" t="str">
        <f t="shared" ca="1" si="20"/>
        <v/>
      </c>
      <c r="AN32" s="828" t="str">
        <f t="shared" ca="1" si="21"/>
        <v/>
      </c>
      <c r="AO32" s="828" t="str">
        <f t="shared" ca="1" si="22"/>
        <v/>
      </c>
      <c r="AP32" s="828" t="str">
        <f t="shared" ca="1" si="23"/>
        <v/>
      </c>
      <c r="AQ32" s="828" t="str">
        <f t="shared" ca="1" si="24"/>
        <v/>
      </c>
      <c r="AR32" s="828" t="str">
        <f t="shared" ca="1" si="25"/>
        <v/>
      </c>
      <c r="AS32" s="828" t="str">
        <f t="shared" ca="1" si="26"/>
        <v/>
      </c>
      <c r="AT32" s="828" t="str">
        <f t="shared" ca="1" si="27"/>
        <v/>
      </c>
      <c r="AU32" s="828" t="str">
        <f t="shared" ca="1" si="28"/>
        <v/>
      </c>
      <c r="AV32" s="828" t="str">
        <f t="shared" ca="1" si="29"/>
        <v/>
      </c>
      <c r="AW32" s="828" t="str">
        <f t="shared" ca="1" si="30"/>
        <v/>
      </c>
      <c r="AX32" s="828" t="str">
        <f t="shared" ca="1" si="31"/>
        <v/>
      </c>
      <c r="AY32" s="828" t="str">
        <f t="shared" ca="1" si="32"/>
        <v/>
      </c>
      <c r="AZ32" s="828" t="str">
        <f t="shared" ca="1" si="33"/>
        <v/>
      </c>
      <c r="BA32" s="828" t="str">
        <f t="shared" ca="1" si="34"/>
        <v/>
      </c>
      <c r="BB32" s="828" t="str">
        <f t="shared" ca="1" si="35"/>
        <v/>
      </c>
      <c r="BC32" s="828" t="str">
        <f t="shared" ca="1" si="36"/>
        <v/>
      </c>
      <c r="BD32" s="828" t="str">
        <f t="shared" ca="1" si="37"/>
        <v/>
      </c>
      <c r="BE32" s="828" t="str">
        <f t="shared" ca="1" si="38"/>
        <v/>
      </c>
      <c r="BF32" s="828" t="str">
        <f t="shared" ca="1" si="39"/>
        <v/>
      </c>
      <c r="BG32" s="828" t="str">
        <f t="shared" ca="1" si="40"/>
        <v/>
      </c>
      <c r="BH32" s="828" t="str">
        <f t="shared" ca="1" si="41"/>
        <v/>
      </c>
      <c r="BI32" s="828" t="str">
        <f t="shared" ca="1" si="42"/>
        <v/>
      </c>
      <c r="BJ32" s="828" t="str">
        <f t="shared" ca="1" si="43"/>
        <v/>
      </c>
      <c r="BK32" s="828" t="str">
        <f t="shared" ca="1" si="44"/>
        <v/>
      </c>
      <c r="BL32" s="828" t="str">
        <f t="shared" ca="1" si="45"/>
        <v/>
      </c>
      <c r="BM32" s="828" t="str">
        <f t="shared" ca="1" si="46"/>
        <v/>
      </c>
      <c r="BN32" s="828" t="str">
        <f t="shared" ca="1" si="47"/>
        <v/>
      </c>
      <c r="BO32" s="828" t="str">
        <f t="shared" ca="1" si="48"/>
        <v/>
      </c>
    </row>
    <row r="33" spans="1:67" ht="20.100000000000001" customHeight="1">
      <c r="A33" s="823">
        <v>32</v>
      </c>
      <c r="B33" s="1870"/>
      <c r="C33" s="1872"/>
      <c r="D33" s="824" t="s">
        <v>4172</v>
      </c>
      <c r="E33" s="824"/>
      <c r="F33" s="825"/>
      <c r="G33" s="826" t="s">
        <v>4158</v>
      </c>
      <c r="H33" s="827">
        <f t="shared" ca="1" si="0"/>
        <v>3.23</v>
      </c>
      <c r="I33" s="827">
        <f t="shared" ca="1" si="1"/>
        <v>3.23</v>
      </c>
      <c r="J33" s="827">
        <f t="shared" ca="1" si="2"/>
        <v>3.23</v>
      </c>
      <c r="K33" s="827">
        <f t="shared" ca="1" si="3"/>
        <v>3.23</v>
      </c>
      <c r="L33" s="828">
        <f t="shared" ca="1" si="49"/>
        <v>0</v>
      </c>
      <c r="M33" s="828">
        <f t="shared" ca="1" si="49"/>
        <v>0</v>
      </c>
      <c r="N33" s="828">
        <f t="shared" ca="1" si="49"/>
        <v>0</v>
      </c>
      <c r="O33" s="828">
        <f t="shared" ca="1" si="49"/>
        <v>0</v>
      </c>
      <c r="P33" s="828">
        <f ca="1">SUM(SUMIFS(OFFSET(貼付け_2024実績,$A33,9,1,199),OFFSET(貼付け_2024実績,4,9,1,199),{"横浜*","川崎*"}))</f>
        <v>0</v>
      </c>
      <c r="Q33" s="828">
        <f ca="1">SUM(SUMIFS(OFFSET(貼付け_2025実績,$A33,9,1,199),OFFSET(貼付け_2025実績,4,9,1,199),{"横浜*","川崎*"}))</f>
        <v>0</v>
      </c>
      <c r="R33" s="828">
        <f ca="1">SUM(SUMIFS(OFFSET(貼付け_2026実績,$A33,9,1,199),OFFSET(貼付け_2026実績,4,9,1,199),{"横浜*","川崎*"}))</f>
        <v>0</v>
      </c>
      <c r="S33" s="828">
        <f ca="1">SUM(SUMIFS(OFFSET(貼付け_2027実績,$A33,9,1,199),OFFSET(貼付け_2027実績,4,9,1,199),{"横浜*","川崎*"}))</f>
        <v>0</v>
      </c>
      <c r="T33" s="828">
        <f t="shared" ca="1" si="50"/>
        <v>0</v>
      </c>
      <c r="U33" s="828">
        <f t="shared" ca="1" si="50"/>
        <v>0</v>
      </c>
      <c r="V33" s="828">
        <f t="shared" ca="1" si="50"/>
        <v>0</v>
      </c>
      <c r="W33" s="828">
        <f t="shared" ca="1" si="50"/>
        <v>0</v>
      </c>
      <c r="X33" s="828">
        <f t="shared" ca="1" si="6"/>
        <v>0</v>
      </c>
      <c r="Y33" s="828">
        <f t="shared" ca="1" si="7"/>
        <v>0</v>
      </c>
      <c r="Z33" s="828">
        <f t="shared" ca="1" si="8"/>
        <v>0</v>
      </c>
      <c r="AA33" s="828">
        <f t="shared" ca="1" si="9"/>
        <v>0</v>
      </c>
      <c r="AB33" s="828" t="str">
        <f t="shared" ca="1" si="51"/>
        <v/>
      </c>
      <c r="AC33" s="828" t="str">
        <f t="shared" ca="1" si="10"/>
        <v/>
      </c>
      <c r="AD33" s="828" t="str">
        <f t="shared" ca="1" si="11"/>
        <v/>
      </c>
      <c r="AE33" s="828" t="str">
        <f t="shared" ca="1" si="12"/>
        <v/>
      </c>
      <c r="AF33" s="828" t="str">
        <f t="shared" ca="1" si="13"/>
        <v/>
      </c>
      <c r="AG33" s="828" t="str">
        <f t="shared" ca="1" si="14"/>
        <v/>
      </c>
      <c r="AH33" s="828" t="str">
        <f t="shared" ca="1" si="15"/>
        <v/>
      </c>
      <c r="AI33" s="828" t="str">
        <f t="shared" ca="1" si="16"/>
        <v/>
      </c>
      <c r="AJ33" s="828" t="str">
        <f t="shared" ca="1" si="17"/>
        <v/>
      </c>
      <c r="AK33" s="828" t="str">
        <f t="shared" ca="1" si="18"/>
        <v/>
      </c>
      <c r="AL33" s="828" t="str">
        <f t="shared" ca="1" si="19"/>
        <v/>
      </c>
      <c r="AM33" s="828" t="str">
        <f t="shared" ca="1" si="20"/>
        <v/>
      </c>
      <c r="AN33" s="828" t="str">
        <f t="shared" ca="1" si="21"/>
        <v/>
      </c>
      <c r="AO33" s="828" t="str">
        <f t="shared" ca="1" si="22"/>
        <v/>
      </c>
      <c r="AP33" s="828" t="str">
        <f t="shared" ca="1" si="23"/>
        <v/>
      </c>
      <c r="AQ33" s="828" t="str">
        <f t="shared" ca="1" si="24"/>
        <v/>
      </c>
      <c r="AR33" s="828" t="str">
        <f t="shared" ca="1" si="25"/>
        <v/>
      </c>
      <c r="AS33" s="828" t="str">
        <f t="shared" ca="1" si="26"/>
        <v/>
      </c>
      <c r="AT33" s="828" t="str">
        <f t="shared" ca="1" si="27"/>
        <v/>
      </c>
      <c r="AU33" s="828" t="str">
        <f t="shared" ca="1" si="28"/>
        <v/>
      </c>
      <c r="AV33" s="828" t="str">
        <f t="shared" ca="1" si="29"/>
        <v/>
      </c>
      <c r="AW33" s="828" t="str">
        <f t="shared" ca="1" si="30"/>
        <v/>
      </c>
      <c r="AX33" s="828" t="str">
        <f t="shared" ca="1" si="31"/>
        <v/>
      </c>
      <c r="AY33" s="828" t="str">
        <f t="shared" ca="1" si="32"/>
        <v/>
      </c>
      <c r="AZ33" s="828" t="str">
        <f t="shared" ca="1" si="33"/>
        <v/>
      </c>
      <c r="BA33" s="828" t="str">
        <f t="shared" ca="1" si="34"/>
        <v/>
      </c>
      <c r="BB33" s="828" t="str">
        <f t="shared" ca="1" si="35"/>
        <v/>
      </c>
      <c r="BC33" s="828" t="str">
        <f t="shared" ca="1" si="36"/>
        <v/>
      </c>
      <c r="BD33" s="828" t="str">
        <f t="shared" ca="1" si="37"/>
        <v/>
      </c>
      <c r="BE33" s="828" t="str">
        <f t="shared" ca="1" si="38"/>
        <v/>
      </c>
      <c r="BF33" s="828" t="str">
        <f t="shared" ca="1" si="39"/>
        <v/>
      </c>
      <c r="BG33" s="828" t="str">
        <f t="shared" ca="1" si="40"/>
        <v/>
      </c>
      <c r="BH33" s="828" t="str">
        <f t="shared" ca="1" si="41"/>
        <v/>
      </c>
      <c r="BI33" s="828" t="str">
        <f t="shared" ca="1" si="42"/>
        <v/>
      </c>
      <c r="BJ33" s="828" t="str">
        <f t="shared" ca="1" si="43"/>
        <v/>
      </c>
      <c r="BK33" s="828" t="str">
        <f t="shared" ca="1" si="44"/>
        <v/>
      </c>
      <c r="BL33" s="828" t="str">
        <f t="shared" ca="1" si="45"/>
        <v/>
      </c>
      <c r="BM33" s="828" t="str">
        <f t="shared" ca="1" si="46"/>
        <v/>
      </c>
      <c r="BN33" s="828" t="str">
        <f t="shared" ca="1" si="47"/>
        <v/>
      </c>
      <c r="BO33" s="828" t="str">
        <f t="shared" ca="1" si="48"/>
        <v/>
      </c>
    </row>
    <row r="34" spans="1:67" ht="20.100000000000001" customHeight="1">
      <c r="A34" s="823">
        <v>33</v>
      </c>
      <c r="B34" s="1870"/>
      <c r="C34" s="1872"/>
      <c r="D34" s="824" t="s">
        <v>4404</v>
      </c>
      <c r="E34" s="824"/>
      <c r="F34" s="825"/>
      <c r="G34" s="826" t="s">
        <v>4158</v>
      </c>
      <c r="H34" s="827">
        <f t="shared" ca="1" si="0"/>
        <v>3.45</v>
      </c>
      <c r="I34" s="827">
        <f t="shared" ca="1" si="1"/>
        <v>3.45</v>
      </c>
      <c r="J34" s="827">
        <f t="shared" ca="1" si="2"/>
        <v>3.45</v>
      </c>
      <c r="K34" s="827">
        <f t="shared" ca="1" si="3"/>
        <v>3.45</v>
      </c>
      <c r="L34" s="828">
        <f t="shared" ca="1" si="49"/>
        <v>0</v>
      </c>
      <c r="M34" s="828">
        <f t="shared" ca="1" si="49"/>
        <v>0</v>
      </c>
      <c r="N34" s="828">
        <f t="shared" ca="1" si="49"/>
        <v>0</v>
      </c>
      <c r="O34" s="828">
        <f t="shared" ca="1" si="49"/>
        <v>0</v>
      </c>
      <c r="P34" s="828">
        <f ca="1">SUM(SUMIFS(OFFSET(貼付け_2024実績,$A34,9,1,199),OFFSET(貼付け_2024実績,4,9,1,199),{"横浜*","川崎*"}))</f>
        <v>0</v>
      </c>
      <c r="Q34" s="828">
        <f ca="1">SUM(SUMIFS(OFFSET(貼付け_2025実績,$A34,9,1,199),OFFSET(貼付け_2025実績,4,9,1,199),{"横浜*","川崎*"}))</f>
        <v>0</v>
      </c>
      <c r="R34" s="828">
        <f ca="1">SUM(SUMIFS(OFFSET(貼付け_2026実績,$A34,9,1,199),OFFSET(貼付け_2026実績,4,9,1,199),{"横浜*","川崎*"}))</f>
        <v>0</v>
      </c>
      <c r="S34" s="828">
        <f ca="1">SUM(SUMIFS(OFFSET(貼付け_2027実績,$A34,9,1,199),OFFSET(貼付け_2027実績,4,9,1,199),{"横浜*","川崎*"}))</f>
        <v>0</v>
      </c>
      <c r="T34" s="828">
        <f t="shared" ca="1" si="50"/>
        <v>0</v>
      </c>
      <c r="U34" s="828">
        <f t="shared" ca="1" si="50"/>
        <v>0</v>
      </c>
      <c r="V34" s="828">
        <f t="shared" ca="1" si="50"/>
        <v>0</v>
      </c>
      <c r="W34" s="828">
        <f t="shared" ca="1" si="50"/>
        <v>0</v>
      </c>
      <c r="X34" s="828">
        <f t="shared" ca="1" si="6"/>
        <v>0</v>
      </c>
      <c r="Y34" s="828">
        <f t="shared" ca="1" si="7"/>
        <v>0</v>
      </c>
      <c r="Z34" s="828">
        <f t="shared" ca="1" si="8"/>
        <v>0</v>
      </c>
      <c r="AA34" s="828">
        <f t="shared" ca="1" si="9"/>
        <v>0</v>
      </c>
      <c r="AB34" s="828" t="str">
        <f t="shared" ca="1" si="51"/>
        <v/>
      </c>
      <c r="AC34" s="828" t="str">
        <f t="shared" ca="1" si="10"/>
        <v/>
      </c>
      <c r="AD34" s="828" t="str">
        <f t="shared" ca="1" si="11"/>
        <v/>
      </c>
      <c r="AE34" s="828" t="str">
        <f t="shared" ca="1" si="12"/>
        <v/>
      </c>
      <c r="AF34" s="828" t="str">
        <f t="shared" ca="1" si="13"/>
        <v/>
      </c>
      <c r="AG34" s="828" t="str">
        <f t="shared" ca="1" si="14"/>
        <v/>
      </c>
      <c r="AH34" s="828" t="str">
        <f t="shared" ca="1" si="15"/>
        <v/>
      </c>
      <c r="AI34" s="828" t="str">
        <f t="shared" ca="1" si="16"/>
        <v/>
      </c>
      <c r="AJ34" s="828" t="str">
        <f t="shared" ca="1" si="17"/>
        <v/>
      </c>
      <c r="AK34" s="828" t="str">
        <f t="shared" ca="1" si="18"/>
        <v/>
      </c>
      <c r="AL34" s="828" t="str">
        <f t="shared" ca="1" si="19"/>
        <v/>
      </c>
      <c r="AM34" s="828" t="str">
        <f t="shared" ca="1" si="20"/>
        <v/>
      </c>
      <c r="AN34" s="828" t="str">
        <f t="shared" ca="1" si="21"/>
        <v/>
      </c>
      <c r="AO34" s="828" t="str">
        <f t="shared" ca="1" si="22"/>
        <v/>
      </c>
      <c r="AP34" s="828" t="str">
        <f t="shared" ca="1" si="23"/>
        <v/>
      </c>
      <c r="AQ34" s="828" t="str">
        <f t="shared" ca="1" si="24"/>
        <v/>
      </c>
      <c r="AR34" s="828" t="str">
        <f t="shared" ca="1" si="25"/>
        <v/>
      </c>
      <c r="AS34" s="828" t="str">
        <f t="shared" ca="1" si="26"/>
        <v/>
      </c>
      <c r="AT34" s="828" t="str">
        <f t="shared" ca="1" si="27"/>
        <v/>
      </c>
      <c r="AU34" s="828" t="str">
        <f t="shared" ca="1" si="28"/>
        <v/>
      </c>
      <c r="AV34" s="828" t="str">
        <f t="shared" ca="1" si="29"/>
        <v/>
      </c>
      <c r="AW34" s="828" t="str">
        <f t="shared" ca="1" si="30"/>
        <v/>
      </c>
      <c r="AX34" s="828" t="str">
        <f t="shared" ca="1" si="31"/>
        <v/>
      </c>
      <c r="AY34" s="828" t="str">
        <f t="shared" ca="1" si="32"/>
        <v/>
      </c>
      <c r="AZ34" s="828" t="str">
        <f t="shared" ca="1" si="33"/>
        <v/>
      </c>
      <c r="BA34" s="828" t="str">
        <f t="shared" ca="1" si="34"/>
        <v/>
      </c>
      <c r="BB34" s="828" t="str">
        <f t="shared" ca="1" si="35"/>
        <v/>
      </c>
      <c r="BC34" s="828" t="str">
        <f t="shared" ca="1" si="36"/>
        <v/>
      </c>
      <c r="BD34" s="828" t="str">
        <f t="shared" ca="1" si="37"/>
        <v/>
      </c>
      <c r="BE34" s="828" t="str">
        <f t="shared" ca="1" si="38"/>
        <v/>
      </c>
      <c r="BF34" s="828" t="str">
        <f t="shared" ca="1" si="39"/>
        <v/>
      </c>
      <c r="BG34" s="828" t="str">
        <f t="shared" ca="1" si="40"/>
        <v/>
      </c>
      <c r="BH34" s="828" t="str">
        <f t="shared" ca="1" si="41"/>
        <v/>
      </c>
      <c r="BI34" s="828" t="str">
        <f t="shared" ca="1" si="42"/>
        <v/>
      </c>
      <c r="BJ34" s="828" t="str">
        <f t="shared" ca="1" si="43"/>
        <v/>
      </c>
      <c r="BK34" s="828" t="str">
        <f t="shared" ca="1" si="44"/>
        <v/>
      </c>
      <c r="BL34" s="828" t="str">
        <f t="shared" ca="1" si="45"/>
        <v/>
      </c>
      <c r="BM34" s="828" t="str">
        <f t="shared" ca="1" si="46"/>
        <v/>
      </c>
      <c r="BN34" s="828" t="str">
        <f t="shared" ca="1" si="47"/>
        <v/>
      </c>
      <c r="BO34" s="828" t="str">
        <f t="shared" ca="1" si="48"/>
        <v/>
      </c>
    </row>
    <row r="35" spans="1:67" ht="20.100000000000001" customHeight="1">
      <c r="A35" s="823">
        <v>34</v>
      </c>
      <c r="B35" s="1870"/>
      <c r="C35" s="1872"/>
      <c r="D35" s="824" t="s">
        <v>4174</v>
      </c>
      <c r="E35" s="824"/>
      <c r="F35" s="825"/>
      <c r="G35" s="826" t="s">
        <v>4158</v>
      </c>
      <c r="H35" s="827">
        <f t="shared" ca="1" si="0"/>
        <v>7.53</v>
      </c>
      <c r="I35" s="827">
        <f t="shared" ca="1" si="1"/>
        <v>7.53</v>
      </c>
      <c r="J35" s="827">
        <f t="shared" ca="1" si="2"/>
        <v>7.53</v>
      </c>
      <c r="K35" s="827">
        <f t="shared" ca="1" si="3"/>
        <v>7.53</v>
      </c>
      <c r="L35" s="828">
        <f t="shared" ca="1" si="49"/>
        <v>0</v>
      </c>
      <c r="M35" s="828">
        <f t="shared" ca="1" si="49"/>
        <v>0</v>
      </c>
      <c r="N35" s="828">
        <f t="shared" ca="1" si="49"/>
        <v>0</v>
      </c>
      <c r="O35" s="828">
        <f t="shared" ca="1" si="49"/>
        <v>0</v>
      </c>
      <c r="P35" s="828">
        <f ca="1">SUM(SUMIFS(OFFSET(貼付け_2024実績,$A35,9,1,199),OFFSET(貼付け_2024実績,4,9,1,199),{"横浜*","川崎*"}))</f>
        <v>0</v>
      </c>
      <c r="Q35" s="828">
        <f ca="1">SUM(SUMIFS(OFFSET(貼付け_2025実績,$A35,9,1,199),OFFSET(貼付け_2025実績,4,9,1,199),{"横浜*","川崎*"}))</f>
        <v>0</v>
      </c>
      <c r="R35" s="828">
        <f ca="1">SUM(SUMIFS(OFFSET(貼付け_2026実績,$A35,9,1,199),OFFSET(貼付け_2026実績,4,9,1,199),{"横浜*","川崎*"}))</f>
        <v>0</v>
      </c>
      <c r="S35" s="828">
        <f ca="1">SUM(SUMIFS(OFFSET(貼付け_2027実績,$A35,9,1,199),OFFSET(貼付け_2027実績,4,9,1,199),{"横浜*","川崎*"}))</f>
        <v>0</v>
      </c>
      <c r="T35" s="828">
        <f t="shared" ca="1" si="50"/>
        <v>0</v>
      </c>
      <c r="U35" s="828">
        <f t="shared" ca="1" si="50"/>
        <v>0</v>
      </c>
      <c r="V35" s="828">
        <f t="shared" ca="1" si="50"/>
        <v>0</v>
      </c>
      <c r="W35" s="828">
        <f t="shared" ca="1" si="50"/>
        <v>0</v>
      </c>
      <c r="X35" s="828">
        <f t="shared" ca="1" si="6"/>
        <v>0</v>
      </c>
      <c r="Y35" s="828">
        <f t="shared" ca="1" si="7"/>
        <v>0</v>
      </c>
      <c r="Z35" s="828">
        <f t="shared" ca="1" si="8"/>
        <v>0</v>
      </c>
      <c r="AA35" s="828">
        <f t="shared" ca="1" si="9"/>
        <v>0</v>
      </c>
      <c r="AB35" s="828" t="str">
        <f t="shared" ca="1" si="51"/>
        <v/>
      </c>
      <c r="AC35" s="828" t="str">
        <f t="shared" ca="1" si="10"/>
        <v/>
      </c>
      <c r="AD35" s="828" t="str">
        <f t="shared" ca="1" si="11"/>
        <v/>
      </c>
      <c r="AE35" s="828" t="str">
        <f t="shared" ca="1" si="12"/>
        <v/>
      </c>
      <c r="AF35" s="828" t="str">
        <f t="shared" ca="1" si="13"/>
        <v/>
      </c>
      <c r="AG35" s="828" t="str">
        <f t="shared" ca="1" si="14"/>
        <v/>
      </c>
      <c r="AH35" s="828" t="str">
        <f t="shared" ca="1" si="15"/>
        <v/>
      </c>
      <c r="AI35" s="828" t="str">
        <f t="shared" ca="1" si="16"/>
        <v/>
      </c>
      <c r="AJ35" s="828" t="str">
        <f t="shared" ca="1" si="17"/>
        <v/>
      </c>
      <c r="AK35" s="828" t="str">
        <f t="shared" ca="1" si="18"/>
        <v/>
      </c>
      <c r="AL35" s="828" t="str">
        <f t="shared" ca="1" si="19"/>
        <v/>
      </c>
      <c r="AM35" s="828" t="str">
        <f t="shared" ca="1" si="20"/>
        <v/>
      </c>
      <c r="AN35" s="828" t="str">
        <f t="shared" ca="1" si="21"/>
        <v/>
      </c>
      <c r="AO35" s="828" t="str">
        <f t="shared" ca="1" si="22"/>
        <v/>
      </c>
      <c r="AP35" s="828" t="str">
        <f t="shared" ca="1" si="23"/>
        <v/>
      </c>
      <c r="AQ35" s="828" t="str">
        <f t="shared" ca="1" si="24"/>
        <v/>
      </c>
      <c r="AR35" s="828" t="str">
        <f t="shared" ca="1" si="25"/>
        <v/>
      </c>
      <c r="AS35" s="828" t="str">
        <f t="shared" ca="1" si="26"/>
        <v/>
      </c>
      <c r="AT35" s="828" t="str">
        <f t="shared" ca="1" si="27"/>
        <v/>
      </c>
      <c r="AU35" s="828" t="str">
        <f t="shared" ca="1" si="28"/>
        <v/>
      </c>
      <c r="AV35" s="828" t="str">
        <f t="shared" ca="1" si="29"/>
        <v/>
      </c>
      <c r="AW35" s="828" t="str">
        <f t="shared" ca="1" si="30"/>
        <v/>
      </c>
      <c r="AX35" s="828" t="str">
        <f t="shared" ca="1" si="31"/>
        <v/>
      </c>
      <c r="AY35" s="828" t="str">
        <f t="shared" ca="1" si="32"/>
        <v/>
      </c>
      <c r="AZ35" s="828" t="str">
        <f t="shared" ca="1" si="33"/>
        <v/>
      </c>
      <c r="BA35" s="828" t="str">
        <f t="shared" ca="1" si="34"/>
        <v/>
      </c>
      <c r="BB35" s="828" t="str">
        <f t="shared" ca="1" si="35"/>
        <v/>
      </c>
      <c r="BC35" s="828" t="str">
        <f t="shared" ca="1" si="36"/>
        <v/>
      </c>
      <c r="BD35" s="828" t="str">
        <f t="shared" ca="1" si="37"/>
        <v/>
      </c>
      <c r="BE35" s="828" t="str">
        <f t="shared" ca="1" si="38"/>
        <v/>
      </c>
      <c r="BF35" s="828" t="str">
        <f t="shared" ca="1" si="39"/>
        <v/>
      </c>
      <c r="BG35" s="828" t="str">
        <f t="shared" ca="1" si="40"/>
        <v/>
      </c>
      <c r="BH35" s="828" t="str">
        <f t="shared" ca="1" si="41"/>
        <v/>
      </c>
      <c r="BI35" s="828" t="str">
        <f t="shared" ca="1" si="42"/>
        <v/>
      </c>
      <c r="BJ35" s="828" t="str">
        <f t="shared" ca="1" si="43"/>
        <v/>
      </c>
      <c r="BK35" s="828" t="str">
        <f t="shared" ca="1" si="44"/>
        <v/>
      </c>
      <c r="BL35" s="828" t="str">
        <f t="shared" ca="1" si="45"/>
        <v/>
      </c>
      <c r="BM35" s="828" t="str">
        <f t="shared" ca="1" si="46"/>
        <v/>
      </c>
      <c r="BN35" s="828" t="str">
        <f t="shared" ca="1" si="47"/>
        <v/>
      </c>
      <c r="BO35" s="828" t="str">
        <f t="shared" ca="1" si="48"/>
        <v/>
      </c>
    </row>
    <row r="36" spans="1:67" ht="20.100000000000001" customHeight="1">
      <c r="A36" s="823">
        <v>35</v>
      </c>
      <c r="B36" s="1871"/>
      <c r="C36" s="1872"/>
      <c r="D36" s="824" t="s">
        <v>4405</v>
      </c>
      <c r="E36" s="829"/>
      <c r="F36" s="825"/>
      <c r="G36" s="826" t="s">
        <v>4158</v>
      </c>
      <c r="H36" s="830"/>
      <c r="I36" s="830"/>
      <c r="J36" s="830"/>
      <c r="K36" s="830"/>
      <c r="L36" s="828">
        <f t="shared" ca="1" si="49"/>
        <v>0</v>
      </c>
      <c r="M36" s="828">
        <f t="shared" ca="1" si="49"/>
        <v>0</v>
      </c>
      <c r="N36" s="828">
        <f t="shared" ca="1" si="49"/>
        <v>0</v>
      </c>
      <c r="O36" s="828">
        <f t="shared" ca="1" si="49"/>
        <v>0</v>
      </c>
      <c r="P36" s="828">
        <f ca="1">SUM(SUMIFS(OFFSET(貼付け_2024実績,$A36,9,1,199),OFFSET(貼付け_2024実績,4,9,1,199),{"横浜*","川崎*"}))</f>
        <v>0</v>
      </c>
      <c r="Q36" s="828">
        <f ca="1">SUM(SUMIFS(OFFSET(貼付け_2025実績,$A36,9,1,199),OFFSET(貼付け_2025実績,4,9,1,199),{"横浜*","川崎*"}))</f>
        <v>0</v>
      </c>
      <c r="R36" s="828">
        <f ca="1">SUM(SUMIFS(OFFSET(貼付け_2026実績,$A36,9,1,199),OFFSET(貼付け_2026実績,4,9,1,199),{"横浜*","川崎*"}))</f>
        <v>0</v>
      </c>
      <c r="S36" s="828">
        <f ca="1">SUM(SUMIFS(OFFSET(貼付け_2027実績,$A36,9,1,199),OFFSET(貼付け_2027実績,4,9,1,199),{"横浜*","川崎*"}))</f>
        <v>0</v>
      </c>
      <c r="T36" s="828">
        <f t="shared" ca="1" si="50"/>
        <v>0</v>
      </c>
      <c r="U36" s="828">
        <f t="shared" ca="1" si="50"/>
        <v>0</v>
      </c>
      <c r="V36" s="828">
        <f t="shared" ca="1" si="50"/>
        <v>0</v>
      </c>
      <c r="W36" s="828">
        <f t="shared" ca="1" si="50"/>
        <v>0</v>
      </c>
      <c r="X36" s="828">
        <f t="shared" ca="1" si="6"/>
        <v>0</v>
      </c>
      <c r="Y36" s="828">
        <f t="shared" ca="1" si="7"/>
        <v>0</v>
      </c>
      <c r="Z36" s="828">
        <f t="shared" ca="1" si="8"/>
        <v>0</v>
      </c>
      <c r="AA36" s="828">
        <f t="shared" ca="1" si="9"/>
        <v>0</v>
      </c>
      <c r="AB36" s="828" t="str">
        <f t="shared" ca="1" si="51"/>
        <v/>
      </c>
      <c r="AC36" s="828" t="str">
        <f t="shared" ca="1" si="10"/>
        <v/>
      </c>
      <c r="AD36" s="828" t="str">
        <f t="shared" ca="1" si="11"/>
        <v/>
      </c>
      <c r="AE36" s="828" t="str">
        <f t="shared" ca="1" si="12"/>
        <v/>
      </c>
      <c r="AF36" s="828" t="str">
        <f t="shared" ca="1" si="13"/>
        <v/>
      </c>
      <c r="AG36" s="828" t="str">
        <f t="shared" ca="1" si="14"/>
        <v/>
      </c>
      <c r="AH36" s="828" t="str">
        <f t="shared" ca="1" si="15"/>
        <v/>
      </c>
      <c r="AI36" s="828" t="str">
        <f t="shared" ca="1" si="16"/>
        <v/>
      </c>
      <c r="AJ36" s="828" t="str">
        <f t="shared" ca="1" si="17"/>
        <v/>
      </c>
      <c r="AK36" s="828" t="str">
        <f t="shared" ca="1" si="18"/>
        <v/>
      </c>
      <c r="AL36" s="828" t="str">
        <f t="shared" ca="1" si="19"/>
        <v/>
      </c>
      <c r="AM36" s="828" t="str">
        <f t="shared" ca="1" si="20"/>
        <v/>
      </c>
      <c r="AN36" s="828" t="str">
        <f t="shared" ca="1" si="21"/>
        <v/>
      </c>
      <c r="AO36" s="828" t="str">
        <f t="shared" ca="1" si="22"/>
        <v/>
      </c>
      <c r="AP36" s="828" t="str">
        <f t="shared" ca="1" si="23"/>
        <v/>
      </c>
      <c r="AQ36" s="828" t="str">
        <f t="shared" ca="1" si="24"/>
        <v/>
      </c>
      <c r="AR36" s="828" t="str">
        <f t="shared" ca="1" si="25"/>
        <v/>
      </c>
      <c r="AS36" s="828" t="str">
        <f t="shared" ca="1" si="26"/>
        <v/>
      </c>
      <c r="AT36" s="828" t="str">
        <f t="shared" ca="1" si="27"/>
        <v/>
      </c>
      <c r="AU36" s="828" t="str">
        <f t="shared" ca="1" si="28"/>
        <v/>
      </c>
      <c r="AV36" s="828" t="str">
        <f t="shared" ca="1" si="29"/>
        <v/>
      </c>
      <c r="AW36" s="828" t="str">
        <f t="shared" ca="1" si="30"/>
        <v/>
      </c>
      <c r="AX36" s="828" t="str">
        <f t="shared" ca="1" si="31"/>
        <v/>
      </c>
      <c r="AY36" s="828" t="str">
        <f t="shared" ca="1" si="32"/>
        <v/>
      </c>
      <c r="AZ36" s="828" t="str">
        <f t="shared" ca="1" si="33"/>
        <v/>
      </c>
      <c r="BA36" s="828" t="str">
        <f t="shared" ca="1" si="34"/>
        <v/>
      </c>
      <c r="BB36" s="828" t="str">
        <f t="shared" ca="1" si="35"/>
        <v/>
      </c>
      <c r="BC36" s="828" t="str">
        <f t="shared" ca="1" si="36"/>
        <v/>
      </c>
      <c r="BD36" s="828" t="str">
        <f t="shared" ca="1" si="37"/>
        <v/>
      </c>
      <c r="BE36" s="828" t="str">
        <f t="shared" ca="1" si="38"/>
        <v/>
      </c>
      <c r="BF36" s="828" t="str">
        <f t="shared" ca="1" si="39"/>
        <v/>
      </c>
      <c r="BG36" s="828" t="str">
        <f t="shared" ca="1" si="40"/>
        <v/>
      </c>
      <c r="BH36" s="828" t="str">
        <f t="shared" ca="1" si="41"/>
        <v/>
      </c>
      <c r="BI36" s="828" t="str">
        <f t="shared" ca="1" si="42"/>
        <v/>
      </c>
      <c r="BJ36" s="828" t="str">
        <f t="shared" ca="1" si="43"/>
        <v/>
      </c>
      <c r="BK36" s="828" t="str">
        <f t="shared" ca="1" si="44"/>
        <v/>
      </c>
      <c r="BL36" s="828" t="str">
        <f t="shared" ca="1" si="45"/>
        <v/>
      </c>
      <c r="BM36" s="828" t="str">
        <f t="shared" ca="1" si="46"/>
        <v/>
      </c>
      <c r="BN36" s="828" t="str">
        <f t="shared" ca="1" si="47"/>
        <v/>
      </c>
      <c r="BO36" s="828" t="str">
        <f t="shared" ca="1" si="48"/>
        <v/>
      </c>
    </row>
    <row r="37" spans="1:67" ht="20.100000000000001" customHeight="1">
      <c r="A37" s="823">
        <v>36</v>
      </c>
      <c r="B37" s="1870"/>
      <c r="C37" s="1872"/>
      <c r="D37" s="824" t="s">
        <v>4248</v>
      </c>
      <c r="E37" s="831" t="str">
        <f ca="1">OFFSET(A1_その他欄集計,2,7)</f>
        <v/>
      </c>
      <c r="F37" s="825"/>
      <c r="G37" s="826" t="str">
        <f ca="1">OFFSET(A1_その他欄集計,3,7)</f>
        <v/>
      </c>
      <c r="H37" s="827">
        <f t="shared" ca="1" si="0"/>
        <v>0</v>
      </c>
      <c r="I37" s="827">
        <f t="shared" ca="1" si="1"/>
        <v>0</v>
      </c>
      <c r="J37" s="827">
        <f t="shared" ca="1" si="2"/>
        <v>0</v>
      </c>
      <c r="K37" s="827">
        <f t="shared" ca="1" si="3"/>
        <v>0</v>
      </c>
      <c r="L37" s="828">
        <f t="shared" ca="1" si="49"/>
        <v>0</v>
      </c>
      <c r="M37" s="828">
        <f t="shared" ca="1" si="49"/>
        <v>0</v>
      </c>
      <c r="N37" s="828">
        <f t="shared" ca="1" si="49"/>
        <v>0</v>
      </c>
      <c r="O37" s="828">
        <f t="shared" ca="1" si="49"/>
        <v>0</v>
      </c>
      <c r="P37" s="828">
        <f ca="1">SUM(SUMIFS(OFFSET(貼付け_2024実績,$A37,9,1,199),OFFSET(貼付け_2024実績,4,9,1,199),{"横浜*","川崎*"}))</f>
        <v>0</v>
      </c>
      <c r="Q37" s="828">
        <f ca="1">SUM(SUMIFS(OFFSET(貼付け_2025実績,$A37,9,1,199),OFFSET(貼付け_2025実績,4,9,1,199),{"横浜*","川崎*"}))</f>
        <v>0</v>
      </c>
      <c r="R37" s="828">
        <f ca="1">SUM(SUMIFS(OFFSET(貼付け_2026実績,$A37,9,1,199),OFFSET(貼付け_2026実績,4,9,1,199),{"横浜*","川崎*"}))</f>
        <v>0</v>
      </c>
      <c r="S37" s="828">
        <f ca="1">SUM(SUMIFS(OFFSET(貼付け_2027実績,$A37,9,1,199),OFFSET(貼付け_2027実績,4,9,1,199),{"横浜*","川崎*"}))</f>
        <v>0</v>
      </c>
      <c r="T37" s="828">
        <f t="shared" ca="1" si="50"/>
        <v>0</v>
      </c>
      <c r="U37" s="828">
        <f t="shared" ca="1" si="50"/>
        <v>0</v>
      </c>
      <c r="V37" s="828">
        <f t="shared" ca="1" si="50"/>
        <v>0</v>
      </c>
      <c r="W37" s="828">
        <f t="shared" ca="1" si="50"/>
        <v>0</v>
      </c>
      <c r="X37" s="828">
        <f t="shared" ca="1" si="6"/>
        <v>0</v>
      </c>
      <c r="Y37" s="828">
        <f t="shared" ca="1" si="7"/>
        <v>0</v>
      </c>
      <c r="Z37" s="828">
        <f t="shared" ca="1" si="8"/>
        <v>0</v>
      </c>
      <c r="AA37" s="828">
        <f t="shared" ca="1" si="9"/>
        <v>0</v>
      </c>
      <c r="AB37" s="828" t="str">
        <f t="shared" ca="1" si="51"/>
        <v/>
      </c>
      <c r="AC37" s="828" t="str">
        <f t="shared" ca="1" si="10"/>
        <v/>
      </c>
      <c r="AD37" s="828" t="str">
        <f t="shared" ca="1" si="11"/>
        <v/>
      </c>
      <c r="AE37" s="828" t="str">
        <f t="shared" ca="1" si="12"/>
        <v/>
      </c>
      <c r="AF37" s="828" t="str">
        <f t="shared" ca="1" si="13"/>
        <v/>
      </c>
      <c r="AG37" s="828" t="str">
        <f t="shared" ca="1" si="14"/>
        <v/>
      </c>
      <c r="AH37" s="828" t="str">
        <f t="shared" ca="1" si="15"/>
        <v/>
      </c>
      <c r="AI37" s="828" t="str">
        <f t="shared" ca="1" si="16"/>
        <v/>
      </c>
      <c r="AJ37" s="828" t="str">
        <f t="shared" ca="1" si="17"/>
        <v/>
      </c>
      <c r="AK37" s="828" t="str">
        <f t="shared" ca="1" si="18"/>
        <v/>
      </c>
      <c r="AL37" s="828" t="str">
        <f t="shared" ca="1" si="19"/>
        <v/>
      </c>
      <c r="AM37" s="828" t="str">
        <f t="shared" ca="1" si="20"/>
        <v/>
      </c>
      <c r="AN37" s="828" t="str">
        <f t="shared" ca="1" si="21"/>
        <v/>
      </c>
      <c r="AO37" s="828" t="str">
        <f t="shared" ca="1" si="22"/>
        <v/>
      </c>
      <c r="AP37" s="828" t="str">
        <f t="shared" ca="1" si="23"/>
        <v/>
      </c>
      <c r="AQ37" s="828" t="str">
        <f t="shared" ca="1" si="24"/>
        <v/>
      </c>
      <c r="AR37" s="828" t="str">
        <f t="shared" ca="1" si="25"/>
        <v/>
      </c>
      <c r="AS37" s="828" t="str">
        <f t="shared" ca="1" si="26"/>
        <v/>
      </c>
      <c r="AT37" s="828" t="str">
        <f t="shared" ca="1" si="27"/>
        <v/>
      </c>
      <c r="AU37" s="828" t="str">
        <f t="shared" ca="1" si="28"/>
        <v/>
      </c>
      <c r="AV37" s="828" t="str">
        <f t="shared" ca="1" si="29"/>
        <v/>
      </c>
      <c r="AW37" s="828" t="str">
        <f t="shared" ca="1" si="30"/>
        <v/>
      </c>
      <c r="AX37" s="828" t="str">
        <f t="shared" ca="1" si="31"/>
        <v/>
      </c>
      <c r="AY37" s="828" t="str">
        <f t="shared" ca="1" si="32"/>
        <v/>
      </c>
      <c r="AZ37" s="828" t="str">
        <f t="shared" ca="1" si="33"/>
        <v/>
      </c>
      <c r="BA37" s="828" t="str">
        <f t="shared" ca="1" si="34"/>
        <v/>
      </c>
      <c r="BB37" s="828" t="str">
        <f t="shared" ca="1" si="35"/>
        <v/>
      </c>
      <c r="BC37" s="828" t="str">
        <f t="shared" ca="1" si="36"/>
        <v/>
      </c>
      <c r="BD37" s="828" t="str">
        <f t="shared" ca="1" si="37"/>
        <v/>
      </c>
      <c r="BE37" s="828" t="str">
        <f t="shared" ca="1" si="38"/>
        <v/>
      </c>
      <c r="BF37" s="828" t="str">
        <f t="shared" ca="1" si="39"/>
        <v/>
      </c>
      <c r="BG37" s="828" t="str">
        <f t="shared" ca="1" si="40"/>
        <v/>
      </c>
      <c r="BH37" s="828" t="str">
        <f t="shared" ca="1" si="41"/>
        <v/>
      </c>
      <c r="BI37" s="828" t="str">
        <f t="shared" ca="1" si="42"/>
        <v/>
      </c>
      <c r="BJ37" s="828" t="str">
        <f t="shared" ca="1" si="43"/>
        <v/>
      </c>
      <c r="BK37" s="828" t="str">
        <f t="shared" ca="1" si="44"/>
        <v/>
      </c>
      <c r="BL37" s="828" t="str">
        <f t="shared" ca="1" si="45"/>
        <v/>
      </c>
      <c r="BM37" s="828" t="str">
        <f t="shared" ca="1" si="46"/>
        <v/>
      </c>
      <c r="BN37" s="828" t="str">
        <f t="shared" ca="1" si="47"/>
        <v/>
      </c>
      <c r="BO37" s="828" t="str">
        <f t="shared" ca="1" si="48"/>
        <v/>
      </c>
    </row>
    <row r="38" spans="1:67" ht="20.100000000000001" customHeight="1">
      <c r="A38" s="823">
        <v>37</v>
      </c>
      <c r="B38" s="1870"/>
      <c r="C38" s="1872" t="s">
        <v>4406</v>
      </c>
      <c r="D38" s="832" t="s">
        <v>4407</v>
      </c>
      <c r="E38" s="824"/>
      <c r="F38" s="825"/>
      <c r="G38" s="826" t="s">
        <v>3777</v>
      </c>
      <c r="H38" s="827">
        <f t="shared" ca="1" si="0"/>
        <v>13.6</v>
      </c>
      <c r="I38" s="827">
        <f t="shared" ca="1" si="1"/>
        <v>13.6</v>
      </c>
      <c r="J38" s="827">
        <f t="shared" ca="1" si="2"/>
        <v>13.6</v>
      </c>
      <c r="K38" s="827">
        <f t="shared" ca="1" si="3"/>
        <v>13.6</v>
      </c>
      <c r="L38" s="828">
        <f t="shared" ca="1" si="49"/>
        <v>0</v>
      </c>
      <c r="M38" s="828">
        <f t="shared" ca="1" si="49"/>
        <v>0</v>
      </c>
      <c r="N38" s="828">
        <f t="shared" ca="1" si="49"/>
        <v>0</v>
      </c>
      <c r="O38" s="828">
        <f t="shared" ca="1" si="49"/>
        <v>0</v>
      </c>
      <c r="P38" s="828">
        <f ca="1">SUM(SUMIFS(OFFSET(貼付け_2024実績,$A38,9,1,199),OFFSET(貼付け_2024実績,4,9,1,199),{"横浜*","川崎*"}))</f>
        <v>0</v>
      </c>
      <c r="Q38" s="828">
        <f ca="1">SUM(SUMIFS(OFFSET(貼付け_2025実績,$A38,9,1,199),OFFSET(貼付け_2025実績,4,9,1,199),{"横浜*","川崎*"}))</f>
        <v>0</v>
      </c>
      <c r="R38" s="828">
        <f ca="1">SUM(SUMIFS(OFFSET(貼付け_2026実績,$A38,9,1,199),OFFSET(貼付け_2026実績,4,9,1,199),{"横浜*","川崎*"}))</f>
        <v>0</v>
      </c>
      <c r="S38" s="828">
        <f ca="1">SUM(SUMIFS(OFFSET(貼付け_2027実績,$A38,9,1,199),OFFSET(貼付け_2027実績,4,9,1,199),{"横浜*","川崎*"}))</f>
        <v>0</v>
      </c>
      <c r="T38" s="828">
        <f t="shared" ca="1" si="50"/>
        <v>0</v>
      </c>
      <c r="U38" s="828">
        <f t="shared" ca="1" si="50"/>
        <v>0</v>
      </c>
      <c r="V38" s="828">
        <f t="shared" ca="1" si="50"/>
        <v>0</v>
      </c>
      <c r="W38" s="828">
        <f t="shared" ca="1" si="50"/>
        <v>0</v>
      </c>
      <c r="X38" s="828">
        <f t="shared" ca="1" si="6"/>
        <v>0</v>
      </c>
      <c r="Y38" s="828">
        <f t="shared" ca="1" si="7"/>
        <v>0</v>
      </c>
      <c r="Z38" s="828">
        <f t="shared" ca="1" si="8"/>
        <v>0</v>
      </c>
      <c r="AA38" s="828">
        <f t="shared" ca="1" si="9"/>
        <v>0</v>
      </c>
      <c r="AB38" s="828" t="str">
        <f t="shared" ca="1" si="51"/>
        <v/>
      </c>
      <c r="AC38" s="828" t="str">
        <f t="shared" ca="1" si="10"/>
        <v/>
      </c>
      <c r="AD38" s="828" t="str">
        <f t="shared" ca="1" si="11"/>
        <v/>
      </c>
      <c r="AE38" s="828" t="str">
        <f t="shared" ca="1" si="12"/>
        <v/>
      </c>
      <c r="AF38" s="828" t="str">
        <f t="shared" ca="1" si="13"/>
        <v/>
      </c>
      <c r="AG38" s="828" t="str">
        <f t="shared" ca="1" si="14"/>
        <v/>
      </c>
      <c r="AH38" s="828" t="str">
        <f t="shared" ca="1" si="15"/>
        <v/>
      </c>
      <c r="AI38" s="828" t="str">
        <f t="shared" ca="1" si="16"/>
        <v/>
      </c>
      <c r="AJ38" s="828" t="str">
        <f t="shared" ca="1" si="17"/>
        <v/>
      </c>
      <c r="AK38" s="828" t="str">
        <f t="shared" ca="1" si="18"/>
        <v/>
      </c>
      <c r="AL38" s="828" t="str">
        <f t="shared" ca="1" si="19"/>
        <v/>
      </c>
      <c r="AM38" s="828" t="str">
        <f t="shared" ca="1" si="20"/>
        <v/>
      </c>
      <c r="AN38" s="828" t="str">
        <f t="shared" ca="1" si="21"/>
        <v/>
      </c>
      <c r="AO38" s="828" t="str">
        <f t="shared" ca="1" si="22"/>
        <v/>
      </c>
      <c r="AP38" s="828" t="str">
        <f t="shared" ca="1" si="23"/>
        <v/>
      </c>
      <c r="AQ38" s="828" t="str">
        <f t="shared" ca="1" si="24"/>
        <v/>
      </c>
      <c r="AR38" s="828" t="str">
        <f t="shared" ca="1" si="25"/>
        <v/>
      </c>
      <c r="AS38" s="828" t="str">
        <f t="shared" ca="1" si="26"/>
        <v/>
      </c>
      <c r="AT38" s="828" t="str">
        <f t="shared" ca="1" si="27"/>
        <v/>
      </c>
      <c r="AU38" s="828" t="str">
        <f t="shared" ca="1" si="28"/>
        <v/>
      </c>
      <c r="AV38" s="828" t="str">
        <f t="shared" ca="1" si="29"/>
        <v/>
      </c>
      <c r="AW38" s="828" t="str">
        <f t="shared" ca="1" si="30"/>
        <v/>
      </c>
      <c r="AX38" s="828" t="str">
        <f t="shared" ca="1" si="31"/>
        <v/>
      </c>
      <c r="AY38" s="828" t="str">
        <f t="shared" ca="1" si="32"/>
        <v/>
      </c>
      <c r="AZ38" s="828" t="str">
        <f t="shared" ca="1" si="33"/>
        <v/>
      </c>
      <c r="BA38" s="828" t="str">
        <f t="shared" ca="1" si="34"/>
        <v/>
      </c>
      <c r="BB38" s="828" t="str">
        <f t="shared" ca="1" si="35"/>
        <v/>
      </c>
      <c r="BC38" s="828" t="str">
        <f t="shared" ca="1" si="36"/>
        <v/>
      </c>
      <c r="BD38" s="828" t="str">
        <f t="shared" ca="1" si="37"/>
        <v/>
      </c>
      <c r="BE38" s="828" t="str">
        <f t="shared" ca="1" si="38"/>
        <v/>
      </c>
      <c r="BF38" s="828" t="str">
        <f t="shared" ca="1" si="39"/>
        <v/>
      </c>
      <c r="BG38" s="828" t="str">
        <f t="shared" ca="1" si="40"/>
        <v/>
      </c>
      <c r="BH38" s="828" t="str">
        <f t="shared" ca="1" si="41"/>
        <v/>
      </c>
      <c r="BI38" s="828" t="str">
        <f t="shared" ca="1" si="42"/>
        <v/>
      </c>
      <c r="BJ38" s="828" t="str">
        <f t="shared" ca="1" si="43"/>
        <v/>
      </c>
      <c r="BK38" s="828" t="str">
        <f t="shared" ca="1" si="44"/>
        <v/>
      </c>
      <c r="BL38" s="828" t="str">
        <f t="shared" ca="1" si="45"/>
        <v/>
      </c>
      <c r="BM38" s="828" t="str">
        <f t="shared" ca="1" si="46"/>
        <v/>
      </c>
      <c r="BN38" s="828" t="str">
        <f t="shared" ca="1" si="47"/>
        <v/>
      </c>
      <c r="BO38" s="828" t="str">
        <f t="shared" ca="1" si="48"/>
        <v/>
      </c>
    </row>
    <row r="39" spans="1:67" ht="20.100000000000001" customHeight="1">
      <c r="A39" s="823">
        <v>38</v>
      </c>
      <c r="B39" s="1870"/>
      <c r="C39" s="1872"/>
      <c r="D39" s="832" t="s">
        <v>4408</v>
      </c>
      <c r="E39" s="824"/>
      <c r="F39" s="825"/>
      <c r="G39" s="826" t="s">
        <v>3777</v>
      </c>
      <c r="H39" s="827">
        <f t="shared" ca="1" si="0"/>
        <v>13.2</v>
      </c>
      <c r="I39" s="827">
        <f t="shared" ca="1" si="1"/>
        <v>13.2</v>
      </c>
      <c r="J39" s="827">
        <f t="shared" ca="1" si="2"/>
        <v>13.2</v>
      </c>
      <c r="K39" s="827">
        <f t="shared" ca="1" si="3"/>
        <v>13.2</v>
      </c>
      <c r="L39" s="828">
        <f t="shared" ca="1" si="49"/>
        <v>0</v>
      </c>
      <c r="M39" s="828">
        <f t="shared" ca="1" si="49"/>
        <v>0</v>
      </c>
      <c r="N39" s="828">
        <f t="shared" ca="1" si="49"/>
        <v>0</v>
      </c>
      <c r="O39" s="828">
        <f t="shared" ca="1" si="49"/>
        <v>0</v>
      </c>
      <c r="P39" s="828">
        <f ca="1">SUM(SUMIFS(OFFSET(貼付け_2024実績,$A39,9,1,199),OFFSET(貼付け_2024実績,4,9,1,199),{"横浜*","川崎*"}))</f>
        <v>0</v>
      </c>
      <c r="Q39" s="828">
        <f ca="1">SUM(SUMIFS(OFFSET(貼付け_2025実績,$A39,9,1,199),OFFSET(貼付け_2025実績,4,9,1,199),{"横浜*","川崎*"}))</f>
        <v>0</v>
      </c>
      <c r="R39" s="828">
        <f ca="1">SUM(SUMIFS(OFFSET(貼付け_2026実績,$A39,9,1,199),OFFSET(貼付け_2026実績,4,9,1,199),{"横浜*","川崎*"}))</f>
        <v>0</v>
      </c>
      <c r="S39" s="828">
        <f ca="1">SUM(SUMIFS(OFFSET(貼付け_2027実績,$A39,9,1,199),OFFSET(貼付け_2027実績,4,9,1,199),{"横浜*","川崎*"}))</f>
        <v>0</v>
      </c>
      <c r="T39" s="828">
        <f t="shared" ca="1" si="50"/>
        <v>0</v>
      </c>
      <c r="U39" s="828">
        <f t="shared" ca="1" si="50"/>
        <v>0</v>
      </c>
      <c r="V39" s="828">
        <f t="shared" ca="1" si="50"/>
        <v>0</v>
      </c>
      <c r="W39" s="828">
        <f t="shared" ca="1" si="50"/>
        <v>0</v>
      </c>
      <c r="X39" s="828">
        <f t="shared" ca="1" si="6"/>
        <v>0</v>
      </c>
      <c r="Y39" s="828">
        <f t="shared" ca="1" si="7"/>
        <v>0</v>
      </c>
      <c r="Z39" s="828">
        <f t="shared" ca="1" si="8"/>
        <v>0</v>
      </c>
      <c r="AA39" s="828">
        <f t="shared" ca="1" si="9"/>
        <v>0</v>
      </c>
      <c r="AB39" s="828" t="str">
        <f t="shared" ca="1" si="51"/>
        <v/>
      </c>
      <c r="AC39" s="828" t="str">
        <f t="shared" ca="1" si="10"/>
        <v/>
      </c>
      <c r="AD39" s="828" t="str">
        <f t="shared" ca="1" si="11"/>
        <v/>
      </c>
      <c r="AE39" s="828" t="str">
        <f t="shared" ca="1" si="12"/>
        <v/>
      </c>
      <c r="AF39" s="828" t="str">
        <f t="shared" ca="1" si="13"/>
        <v/>
      </c>
      <c r="AG39" s="828" t="str">
        <f t="shared" ca="1" si="14"/>
        <v/>
      </c>
      <c r="AH39" s="828" t="str">
        <f t="shared" ca="1" si="15"/>
        <v/>
      </c>
      <c r="AI39" s="828" t="str">
        <f t="shared" ca="1" si="16"/>
        <v/>
      </c>
      <c r="AJ39" s="828" t="str">
        <f t="shared" ca="1" si="17"/>
        <v/>
      </c>
      <c r="AK39" s="828" t="str">
        <f t="shared" ca="1" si="18"/>
        <v/>
      </c>
      <c r="AL39" s="828" t="str">
        <f t="shared" ca="1" si="19"/>
        <v/>
      </c>
      <c r="AM39" s="828" t="str">
        <f t="shared" ca="1" si="20"/>
        <v/>
      </c>
      <c r="AN39" s="828" t="str">
        <f t="shared" ca="1" si="21"/>
        <v/>
      </c>
      <c r="AO39" s="828" t="str">
        <f t="shared" ca="1" si="22"/>
        <v/>
      </c>
      <c r="AP39" s="828" t="str">
        <f t="shared" ca="1" si="23"/>
        <v/>
      </c>
      <c r="AQ39" s="828" t="str">
        <f t="shared" ca="1" si="24"/>
        <v/>
      </c>
      <c r="AR39" s="828" t="str">
        <f t="shared" ca="1" si="25"/>
        <v/>
      </c>
      <c r="AS39" s="828" t="str">
        <f t="shared" ca="1" si="26"/>
        <v/>
      </c>
      <c r="AT39" s="828" t="str">
        <f t="shared" ca="1" si="27"/>
        <v/>
      </c>
      <c r="AU39" s="828" t="str">
        <f t="shared" ca="1" si="28"/>
        <v/>
      </c>
      <c r="AV39" s="828" t="str">
        <f t="shared" ca="1" si="29"/>
        <v/>
      </c>
      <c r="AW39" s="828" t="str">
        <f t="shared" ca="1" si="30"/>
        <v/>
      </c>
      <c r="AX39" s="828" t="str">
        <f t="shared" ca="1" si="31"/>
        <v/>
      </c>
      <c r="AY39" s="828" t="str">
        <f t="shared" ca="1" si="32"/>
        <v/>
      </c>
      <c r="AZ39" s="828" t="str">
        <f t="shared" ca="1" si="33"/>
        <v/>
      </c>
      <c r="BA39" s="828" t="str">
        <f t="shared" ca="1" si="34"/>
        <v/>
      </c>
      <c r="BB39" s="828" t="str">
        <f t="shared" ca="1" si="35"/>
        <v/>
      </c>
      <c r="BC39" s="828" t="str">
        <f t="shared" ca="1" si="36"/>
        <v/>
      </c>
      <c r="BD39" s="828" t="str">
        <f t="shared" ca="1" si="37"/>
        <v/>
      </c>
      <c r="BE39" s="828" t="str">
        <f t="shared" ca="1" si="38"/>
        <v/>
      </c>
      <c r="BF39" s="828" t="str">
        <f t="shared" ca="1" si="39"/>
        <v/>
      </c>
      <c r="BG39" s="828" t="str">
        <f t="shared" ca="1" si="40"/>
        <v/>
      </c>
      <c r="BH39" s="828" t="str">
        <f t="shared" ca="1" si="41"/>
        <v/>
      </c>
      <c r="BI39" s="828" t="str">
        <f t="shared" ca="1" si="42"/>
        <v/>
      </c>
      <c r="BJ39" s="828" t="str">
        <f t="shared" ca="1" si="43"/>
        <v/>
      </c>
      <c r="BK39" s="828" t="str">
        <f t="shared" ca="1" si="44"/>
        <v/>
      </c>
      <c r="BL39" s="828" t="str">
        <f t="shared" ca="1" si="45"/>
        <v/>
      </c>
      <c r="BM39" s="828" t="str">
        <f t="shared" ca="1" si="46"/>
        <v/>
      </c>
      <c r="BN39" s="828" t="str">
        <f t="shared" ca="1" si="47"/>
        <v/>
      </c>
      <c r="BO39" s="828" t="str">
        <f t="shared" ca="1" si="48"/>
        <v/>
      </c>
    </row>
    <row r="40" spans="1:67" ht="20.100000000000001" customHeight="1">
      <c r="A40" s="823">
        <v>39</v>
      </c>
      <c r="B40" s="1870"/>
      <c r="C40" s="1872"/>
      <c r="D40" s="832" t="s">
        <v>4409</v>
      </c>
      <c r="E40" s="818"/>
      <c r="F40" s="825"/>
      <c r="G40" s="826" t="s">
        <v>3777</v>
      </c>
      <c r="H40" s="827">
        <f t="shared" ca="1" si="0"/>
        <v>17.100000000000001</v>
      </c>
      <c r="I40" s="827">
        <f t="shared" ca="1" si="1"/>
        <v>17.100000000000001</v>
      </c>
      <c r="J40" s="827">
        <f t="shared" ca="1" si="2"/>
        <v>17.100000000000001</v>
      </c>
      <c r="K40" s="827">
        <f t="shared" ca="1" si="3"/>
        <v>17.100000000000001</v>
      </c>
      <c r="L40" s="828">
        <f t="shared" ca="1" si="49"/>
        <v>0</v>
      </c>
      <c r="M40" s="828">
        <f t="shared" ca="1" si="49"/>
        <v>0</v>
      </c>
      <c r="N40" s="828">
        <f t="shared" ca="1" si="49"/>
        <v>0</v>
      </c>
      <c r="O40" s="828">
        <f t="shared" ca="1" si="49"/>
        <v>0</v>
      </c>
      <c r="P40" s="828">
        <f ca="1">SUM(SUMIFS(OFFSET(貼付け_2024実績,$A40,9,1,199),OFFSET(貼付け_2024実績,4,9,1,199),{"横浜*","川崎*"}))</f>
        <v>0</v>
      </c>
      <c r="Q40" s="828">
        <f ca="1">SUM(SUMIFS(OFFSET(貼付け_2025実績,$A40,9,1,199),OFFSET(貼付け_2025実績,4,9,1,199),{"横浜*","川崎*"}))</f>
        <v>0</v>
      </c>
      <c r="R40" s="828">
        <f ca="1">SUM(SUMIFS(OFFSET(貼付け_2026実績,$A40,9,1,199),OFFSET(貼付け_2026実績,4,9,1,199),{"横浜*","川崎*"}))</f>
        <v>0</v>
      </c>
      <c r="S40" s="828">
        <f ca="1">SUM(SUMIFS(OFFSET(貼付け_2027実績,$A40,9,1,199),OFFSET(貼付け_2027実績,4,9,1,199),{"横浜*","川崎*"}))</f>
        <v>0</v>
      </c>
      <c r="T40" s="828">
        <f t="shared" ca="1" si="50"/>
        <v>0</v>
      </c>
      <c r="U40" s="828">
        <f t="shared" ca="1" si="50"/>
        <v>0</v>
      </c>
      <c r="V40" s="828">
        <f t="shared" ca="1" si="50"/>
        <v>0</v>
      </c>
      <c r="W40" s="828">
        <f t="shared" ca="1" si="50"/>
        <v>0</v>
      </c>
      <c r="X40" s="828">
        <f t="shared" ca="1" si="6"/>
        <v>0</v>
      </c>
      <c r="Y40" s="828">
        <f t="shared" ca="1" si="7"/>
        <v>0</v>
      </c>
      <c r="Z40" s="828">
        <f t="shared" ca="1" si="8"/>
        <v>0</v>
      </c>
      <c r="AA40" s="828">
        <f t="shared" ca="1" si="9"/>
        <v>0</v>
      </c>
      <c r="AB40" s="828" t="str">
        <f t="shared" ca="1" si="51"/>
        <v/>
      </c>
      <c r="AC40" s="828" t="str">
        <f t="shared" ca="1" si="10"/>
        <v/>
      </c>
      <c r="AD40" s="828" t="str">
        <f t="shared" ca="1" si="11"/>
        <v/>
      </c>
      <c r="AE40" s="828" t="str">
        <f t="shared" ca="1" si="12"/>
        <v/>
      </c>
      <c r="AF40" s="828" t="str">
        <f t="shared" ca="1" si="13"/>
        <v/>
      </c>
      <c r="AG40" s="828" t="str">
        <f t="shared" ca="1" si="14"/>
        <v/>
      </c>
      <c r="AH40" s="828" t="str">
        <f t="shared" ca="1" si="15"/>
        <v/>
      </c>
      <c r="AI40" s="828" t="str">
        <f t="shared" ca="1" si="16"/>
        <v/>
      </c>
      <c r="AJ40" s="828" t="str">
        <f t="shared" ca="1" si="17"/>
        <v/>
      </c>
      <c r="AK40" s="828" t="str">
        <f t="shared" ca="1" si="18"/>
        <v/>
      </c>
      <c r="AL40" s="828" t="str">
        <f t="shared" ca="1" si="19"/>
        <v/>
      </c>
      <c r="AM40" s="828" t="str">
        <f t="shared" ca="1" si="20"/>
        <v/>
      </c>
      <c r="AN40" s="828" t="str">
        <f t="shared" ca="1" si="21"/>
        <v/>
      </c>
      <c r="AO40" s="828" t="str">
        <f t="shared" ca="1" si="22"/>
        <v/>
      </c>
      <c r="AP40" s="828" t="str">
        <f t="shared" ca="1" si="23"/>
        <v/>
      </c>
      <c r="AQ40" s="828" t="str">
        <f t="shared" ca="1" si="24"/>
        <v/>
      </c>
      <c r="AR40" s="828" t="str">
        <f t="shared" ca="1" si="25"/>
        <v/>
      </c>
      <c r="AS40" s="828" t="str">
        <f t="shared" ca="1" si="26"/>
        <v/>
      </c>
      <c r="AT40" s="828" t="str">
        <f t="shared" ca="1" si="27"/>
        <v/>
      </c>
      <c r="AU40" s="828" t="str">
        <f t="shared" ca="1" si="28"/>
        <v/>
      </c>
      <c r="AV40" s="828" t="str">
        <f t="shared" ca="1" si="29"/>
        <v/>
      </c>
      <c r="AW40" s="828" t="str">
        <f t="shared" ca="1" si="30"/>
        <v/>
      </c>
      <c r="AX40" s="828" t="str">
        <f t="shared" ca="1" si="31"/>
        <v/>
      </c>
      <c r="AY40" s="828" t="str">
        <f t="shared" ca="1" si="32"/>
        <v/>
      </c>
      <c r="AZ40" s="828" t="str">
        <f t="shared" ca="1" si="33"/>
        <v/>
      </c>
      <c r="BA40" s="828" t="str">
        <f t="shared" ca="1" si="34"/>
        <v/>
      </c>
      <c r="BB40" s="828" t="str">
        <f t="shared" ca="1" si="35"/>
        <v/>
      </c>
      <c r="BC40" s="828" t="str">
        <f t="shared" ca="1" si="36"/>
        <v/>
      </c>
      <c r="BD40" s="828" t="str">
        <f t="shared" ca="1" si="37"/>
        <v/>
      </c>
      <c r="BE40" s="828" t="str">
        <f t="shared" ca="1" si="38"/>
        <v/>
      </c>
      <c r="BF40" s="828" t="str">
        <f t="shared" ca="1" si="39"/>
        <v/>
      </c>
      <c r="BG40" s="828" t="str">
        <f t="shared" ca="1" si="40"/>
        <v/>
      </c>
      <c r="BH40" s="828" t="str">
        <f t="shared" ca="1" si="41"/>
        <v/>
      </c>
      <c r="BI40" s="828" t="str">
        <f t="shared" ca="1" si="42"/>
        <v/>
      </c>
      <c r="BJ40" s="828" t="str">
        <f t="shared" ca="1" si="43"/>
        <v/>
      </c>
      <c r="BK40" s="828" t="str">
        <f t="shared" ca="1" si="44"/>
        <v/>
      </c>
      <c r="BL40" s="828" t="str">
        <f t="shared" ca="1" si="45"/>
        <v/>
      </c>
      <c r="BM40" s="828" t="str">
        <f t="shared" ca="1" si="46"/>
        <v/>
      </c>
      <c r="BN40" s="828" t="str">
        <f t="shared" ca="1" si="47"/>
        <v/>
      </c>
      <c r="BO40" s="828" t="str">
        <f t="shared" ca="1" si="48"/>
        <v/>
      </c>
    </row>
    <row r="41" spans="1:67" ht="20.100000000000001" customHeight="1">
      <c r="A41" s="823">
        <v>40</v>
      </c>
      <c r="B41" s="1870"/>
      <c r="C41" s="1872"/>
      <c r="D41" s="824" t="s">
        <v>4179</v>
      </c>
      <c r="E41" s="824"/>
      <c r="F41" s="825"/>
      <c r="G41" s="826" t="s">
        <v>4144</v>
      </c>
      <c r="H41" s="827">
        <f t="shared" ref="H41:H74" ca="1" si="52">IFERROR(OFFSET(貼付け_2024実績,$A41,5),"")</f>
        <v>23.4</v>
      </c>
      <c r="I41" s="827">
        <f t="shared" ref="I41:I74" ca="1" si="53">IFERROR(OFFSET(貼付け_2025実績,$A41,5),"")</f>
        <v>23.4</v>
      </c>
      <c r="J41" s="827">
        <f t="shared" ref="J41:J74" ca="1" si="54">IFERROR(OFFSET(貼付け_2026実績,$A41,5),"")</f>
        <v>23.4</v>
      </c>
      <c r="K41" s="827">
        <f t="shared" ref="K41:K74" ca="1" si="55">IFERROR(OFFSET(貼付け_2027実績,$A41,5),"")</f>
        <v>23.4</v>
      </c>
      <c r="L41" s="828">
        <f t="shared" ca="1" si="49"/>
        <v>0</v>
      </c>
      <c r="M41" s="828">
        <f t="shared" ca="1" si="49"/>
        <v>0</v>
      </c>
      <c r="N41" s="828">
        <f t="shared" ca="1" si="49"/>
        <v>0</v>
      </c>
      <c r="O41" s="828">
        <f t="shared" ca="1" si="49"/>
        <v>0</v>
      </c>
      <c r="P41" s="828">
        <f ca="1">SUM(SUMIFS(OFFSET(貼付け_2024実績,$A41,9,1,199),OFFSET(貼付け_2024実績,4,9,1,199),{"横浜*","川崎*"}))</f>
        <v>0</v>
      </c>
      <c r="Q41" s="828">
        <f ca="1">SUM(SUMIFS(OFFSET(貼付け_2025実績,$A41,9,1,199),OFFSET(貼付け_2025実績,4,9,1,199),{"横浜*","川崎*"}))</f>
        <v>0</v>
      </c>
      <c r="R41" s="828">
        <f ca="1">SUM(SUMIFS(OFFSET(貼付け_2026実績,$A41,9,1,199),OFFSET(貼付け_2026実績,4,9,1,199),{"横浜*","川崎*"}))</f>
        <v>0</v>
      </c>
      <c r="S41" s="828">
        <f ca="1">SUM(SUMIFS(OFFSET(貼付け_2027実績,$A41,9,1,199),OFFSET(貼付け_2027実績,4,9,1,199),{"横浜*","川崎*"}))</f>
        <v>0</v>
      </c>
      <c r="T41" s="828">
        <f t="shared" ca="1" si="50"/>
        <v>0</v>
      </c>
      <c r="U41" s="828">
        <f t="shared" ca="1" si="50"/>
        <v>0</v>
      </c>
      <c r="V41" s="828">
        <f t="shared" ca="1" si="50"/>
        <v>0</v>
      </c>
      <c r="W41" s="828">
        <f t="shared" ca="1" si="50"/>
        <v>0</v>
      </c>
      <c r="X41" s="828">
        <f t="shared" ref="X41:X72" ca="1" si="56">SUMIFS(OFFSET(貼付け_2024実績,$A41,9,1,199),OFFSET(貼付け_2024実績,4,9,1,199),"県域*")</f>
        <v>0</v>
      </c>
      <c r="Y41" s="828">
        <f t="shared" ref="Y41:Y72" ca="1" si="57">SUMIFS(OFFSET(貼付け_2025実績,$A41,9,1,199),OFFSET(貼付け_2025実績,4,9,1,199),"県域*")</f>
        <v>0</v>
      </c>
      <c r="Z41" s="828">
        <f t="shared" ref="Z41:Z72" ca="1" si="58">SUMIFS(OFFSET(貼付け_2026実績,$A41,9,1,199),OFFSET(貼付け_2026実績,4,9,1,199),"県域*")</f>
        <v>0</v>
      </c>
      <c r="AA41" s="828">
        <f t="shared" ref="AA41:AA72" ca="1" si="59">SUMIFS(OFFSET(貼付け_2027実績,$A41,9,1,199),OFFSET(貼付け_2027実績,4,9,1,199),"県域*")</f>
        <v>0</v>
      </c>
      <c r="AB41" s="828" t="str">
        <f t="shared" ref="AB41:AB74" ca="1" si="60">IFERROR(OFFSET(貼付け_2024実績,$A41,AB$1),"")</f>
        <v/>
      </c>
      <c r="AC41" s="828" t="str">
        <f t="shared" ref="AC41:AC74" ca="1" si="61">IFERROR(OFFSET(貼付け_2025実績,$A41,AC$1),"")</f>
        <v/>
      </c>
      <c r="AD41" s="828" t="str">
        <f t="shared" ref="AD41:AD74" ca="1" si="62">IFERROR(OFFSET(貼付け_2026実績,$A41,AD$1),"")</f>
        <v/>
      </c>
      <c r="AE41" s="828" t="str">
        <f t="shared" ref="AE41:AE74" ca="1" si="63">IFERROR(OFFSET(貼付け_2027実績,$A41,AE$1),"")</f>
        <v/>
      </c>
      <c r="AF41" s="828" t="str">
        <f t="shared" ref="AF41:AF74" ca="1" si="64">IFERROR(OFFSET(貼付け_2024実績,$A41,AF$1),"")</f>
        <v/>
      </c>
      <c r="AG41" s="828" t="str">
        <f t="shared" ref="AG41:AG74" ca="1" si="65">IFERROR(OFFSET(貼付け_2025実績,$A41,AG$1),"")</f>
        <v/>
      </c>
      <c r="AH41" s="828" t="str">
        <f t="shared" ref="AH41:AH74" ca="1" si="66">IFERROR(OFFSET(貼付け_2026実績,$A41,AH$1),"")</f>
        <v/>
      </c>
      <c r="AI41" s="828" t="str">
        <f t="shared" ref="AI41:AI74" ca="1" si="67">IFERROR(OFFSET(貼付け_2027実績,$A41,AI$1),"")</f>
        <v/>
      </c>
      <c r="AJ41" s="828" t="str">
        <f t="shared" ref="AJ41:AJ74" ca="1" si="68">IFERROR(OFFSET(貼付け_2024実績,$A41,AJ$1),"")</f>
        <v/>
      </c>
      <c r="AK41" s="828" t="str">
        <f t="shared" ref="AK41:AK74" ca="1" si="69">IFERROR(OFFSET(貼付け_2025実績,$A41,AK$1),"")</f>
        <v/>
      </c>
      <c r="AL41" s="828" t="str">
        <f t="shared" ref="AL41:AL74" ca="1" si="70">IFERROR(OFFSET(貼付け_2026実績,$A41,AL$1),"")</f>
        <v/>
      </c>
      <c r="AM41" s="828" t="str">
        <f t="shared" ref="AM41:AM74" ca="1" si="71">IFERROR(OFFSET(貼付け_2027実績,$A41,AM$1),"")</f>
        <v/>
      </c>
      <c r="AN41" s="828" t="str">
        <f t="shared" ref="AN41:AN74" ca="1" si="72">IFERROR(OFFSET(貼付け_2024実績,$A41,AN$1),"")</f>
        <v/>
      </c>
      <c r="AO41" s="828" t="str">
        <f t="shared" ref="AO41:AO74" ca="1" si="73">IFERROR(OFFSET(貼付け_2025実績,$A41,AO$1),"")</f>
        <v/>
      </c>
      <c r="AP41" s="828" t="str">
        <f t="shared" ref="AP41:AP74" ca="1" si="74">IFERROR(OFFSET(貼付け_2026実績,$A41,AP$1),"")</f>
        <v/>
      </c>
      <c r="AQ41" s="828" t="str">
        <f t="shared" ref="AQ41:AQ74" ca="1" si="75">IFERROR(OFFSET(貼付け_2027実績,$A41,AQ$1),"")</f>
        <v/>
      </c>
      <c r="AR41" s="828" t="str">
        <f t="shared" ref="AR41:AR74" ca="1" si="76">IFERROR(OFFSET(貼付け_2024実績,$A41,AR$1),"")</f>
        <v/>
      </c>
      <c r="AS41" s="828" t="str">
        <f t="shared" ref="AS41:AS74" ca="1" si="77">IFERROR(OFFSET(貼付け_2025実績,$A41,AS$1),"")</f>
        <v/>
      </c>
      <c r="AT41" s="828" t="str">
        <f t="shared" ref="AT41:AT74" ca="1" si="78">IFERROR(OFFSET(貼付け_2026実績,$A41,AT$1),"")</f>
        <v/>
      </c>
      <c r="AU41" s="828" t="str">
        <f t="shared" ref="AU41:AU74" ca="1" si="79">IFERROR(OFFSET(貼付け_2027実績,$A41,AU$1),"")</f>
        <v/>
      </c>
      <c r="AV41" s="828" t="str">
        <f t="shared" ref="AV41:AV74" ca="1" si="80">IFERROR(OFFSET(貼付け_2024実績,$A41,AV$1),"")</f>
        <v/>
      </c>
      <c r="AW41" s="828" t="str">
        <f t="shared" ref="AW41:AW74" ca="1" si="81">IFERROR(OFFSET(貼付け_2025実績,$A41,AW$1),"")</f>
        <v/>
      </c>
      <c r="AX41" s="828" t="str">
        <f t="shared" ref="AX41:AX74" ca="1" si="82">IFERROR(OFFSET(貼付け_2026実績,$A41,AX$1),"")</f>
        <v/>
      </c>
      <c r="AY41" s="828" t="str">
        <f t="shared" ref="AY41:AY74" ca="1" si="83">IFERROR(OFFSET(貼付け_2027実績,$A41,AY$1),"")</f>
        <v/>
      </c>
      <c r="AZ41" s="828" t="str">
        <f t="shared" ref="AZ41:AZ74" ca="1" si="84">IFERROR(OFFSET(貼付け_2024実績,$A41,AZ$1),"")</f>
        <v/>
      </c>
      <c r="BA41" s="828" t="str">
        <f t="shared" ref="BA41:BA74" ca="1" si="85">IFERROR(OFFSET(貼付け_2025実績,$A41,BA$1),"")</f>
        <v/>
      </c>
      <c r="BB41" s="828" t="str">
        <f t="shared" ref="BB41:BB74" ca="1" si="86">IFERROR(OFFSET(貼付け_2026実績,$A41,BB$1),"")</f>
        <v/>
      </c>
      <c r="BC41" s="828" t="str">
        <f t="shared" ref="BC41:BC74" ca="1" si="87">IFERROR(OFFSET(貼付け_2027実績,$A41,BC$1),"")</f>
        <v/>
      </c>
      <c r="BD41" s="828" t="str">
        <f t="shared" ref="BD41:BD74" ca="1" si="88">IFERROR(OFFSET(貼付け_2024実績,$A41,BD$1),"")</f>
        <v/>
      </c>
      <c r="BE41" s="828" t="str">
        <f t="shared" ref="BE41:BE74" ca="1" si="89">IFERROR(OFFSET(貼付け_2025実績,$A41,BE$1),"")</f>
        <v/>
      </c>
      <c r="BF41" s="828" t="str">
        <f t="shared" ref="BF41:BF74" ca="1" si="90">IFERROR(OFFSET(貼付け_2026実績,$A41,BF$1),"")</f>
        <v/>
      </c>
      <c r="BG41" s="828" t="str">
        <f t="shared" ref="BG41:BG74" ca="1" si="91">IFERROR(OFFSET(貼付け_2027実績,$A41,BG$1),"")</f>
        <v/>
      </c>
      <c r="BH41" s="828" t="str">
        <f t="shared" ref="BH41:BH74" ca="1" si="92">IFERROR(OFFSET(貼付け_2024実績,$A41,BH$1),"")</f>
        <v/>
      </c>
      <c r="BI41" s="828" t="str">
        <f t="shared" ref="BI41:BI74" ca="1" si="93">IFERROR(OFFSET(貼付け_2025実績,$A41,BI$1),"")</f>
        <v/>
      </c>
      <c r="BJ41" s="828" t="str">
        <f t="shared" ref="BJ41:BJ74" ca="1" si="94">IFERROR(OFFSET(貼付け_2026実績,$A41,BJ$1),"")</f>
        <v/>
      </c>
      <c r="BK41" s="828" t="str">
        <f t="shared" ref="BK41:BK74" ca="1" si="95">IFERROR(OFFSET(貼付け_2027実績,$A41,BK$1),"")</f>
        <v/>
      </c>
      <c r="BL41" s="828" t="str">
        <f t="shared" ref="BL41:BL74" ca="1" si="96">IFERROR(OFFSET(貼付け_2024実績,$A41,BL$1),"")</f>
        <v/>
      </c>
      <c r="BM41" s="828" t="str">
        <f t="shared" ref="BM41:BM74" ca="1" si="97">IFERROR(OFFSET(貼付け_2025実績,$A41,BM$1),"")</f>
        <v/>
      </c>
      <c r="BN41" s="828" t="str">
        <f t="shared" ref="BN41:BN74" ca="1" si="98">IFERROR(OFFSET(貼付け_2026実績,$A41,BN$1),"")</f>
        <v/>
      </c>
      <c r="BO41" s="828" t="str">
        <f t="shared" ref="BO41:BO74" ca="1" si="99">IFERROR(OFFSET(貼付け_2027実績,$A41,BO$1),"")</f>
        <v/>
      </c>
    </row>
    <row r="42" spans="1:67" ht="20.100000000000001" customHeight="1">
      <c r="A42" s="823">
        <v>41</v>
      </c>
      <c r="B42" s="1870"/>
      <c r="C42" s="1872"/>
      <c r="D42" s="824" t="s">
        <v>4180</v>
      </c>
      <c r="E42" s="824"/>
      <c r="F42" s="825"/>
      <c r="G42" s="826" t="s">
        <v>4144</v>
      </c>
      <c r="H42" s="827">
        <f t="shared" ca="1" si="52"/>
        <v>35.6</v>
      </c>
      <c r="I42" s="827">
        <f t="shared" ca="1" si="53"/>
        <v>35.6</v>
      </c>
      <c r="J42" s="827">
        <f t="shared" ca="1" si="54"/>
        <v>35.6</v>
      </c>
      <c r="K42" s="827">
        <f t="shared" ca="1" si="55"/>
        <v>35.6</v>
      </c>
      <c r="L42" s="828">
        <f t="shared" ca="1" si="49"/>
        <v>0</v>
      </c>
      <c r="M42" s="828">
        <f t="shared" ca="1" si="49"/>
        <v>0</v>
      </c>
      <c r="N42" s="828">
        <f t="shared" ca="1" si="49"/>
        <v>0</v>
      </c>
      <c r="O42" s="828">
        <f t="shared" ca="1" si="49"/>
        <v>0</v>
      </c>
      <c r="P42" s="828">
        <f ca="1">SUM(SUMIFS(OFFSET(貼付け_2024実績,$A42,9,1,199),OFFSET(貼付け_2024実績,4,9,1,199),{"横浜*","川崎*"}))</f>
        <v>0</v>
      </c>
      <c r="Q42" s="828">
        <f ca="1">SUM(SUMIFS(OFFSET(貼付け_2025実績,$A42,9,1,199),OFFSET(貼付け_2025実績,4,9,1,199),{"横浜*","川崎*"}))</f>
        <v>0</v>
      </c>
      <c r="R42" s="828">
        <f ca="1">SUM(SUMIFS(OFFSET(貼付け_2026実績,$A42,9,1,199),OFFSET(貼付け_2026実績,4,9,1,199),{"横浜*","川崎*"}))</f>
        <v>0</v>
      </c>
      <c r="S42" s="828">
        <f ca="1">SUM(SUMIFS(OFFSET(貼付け_2027実績,$A42,9,1,199),OFFSET(貼付け_2027実績,4,9,1,199),{"横浜*","川崎*"}))</f>
        <v>0</v>
      </c>
      <c r="T42" s="828">
        <f t="shared" ca="1" si="50"/>
        <v>0</v>
      </c>
      <c r="U42" s="828">
        <f t="shared" ca="1" si="50"/>
        <v>0</v>
      </c>
      <c r="V42" s="828">
        <f t="shared" ca="1" si="50"/>
        <v>0</v>
      </c>
      <c r="W42" s="828">
        <f t="shared" ca="1" si="50"/>
        <v>0</v>
      </c>
      <c r="X42" s="828">
        <f t="shared" ca="1" si="56"/>
        <v>0</v>
      </c>
      <c r="Y42" s="828">
        <f t="shared" ca="1" si="57"/>
        <v>0</v>
      </c>
      <c r="Z42" s="828">
        <f t="shared" ca="1" si="58"/>
        <v>0</v>
      </c>
      <c r="AA42" s="828">
        <f t="shared" ca="1" si="59"/>
        <v>0</v>
      </c>
      <c r="AB42" s="828" t="str">
        <f t="shared" ca="1" si="60"/>
        <v/>
      </c>
      <c r="AC42" s="828" t="str">
        <f t="shared" ca="1" si="61"/>
        <v/>
      </c>
      <c r="AD42" s="828" t="str">
        <f t="shared" ca="1" si="62"/>
        <v/>
      </c>
      <c r="AE42" s="828" t="str">
        <f t="shared" ca="1" si="63"/>
        <v/>
      </c>
      <c r="AF42" s="828" t="str">
        <f t="shared" ca="1" si="64"/>
        <v/>
      </c>
      <c r="AG42" s="828" t="str">
        <f t="shared" ca="1" si="65"/>
        <v/>
      </c>
      <c r="AH42" s="828" t="str">
        <f t="shared" ca="1" si="66"/>
        <v/>
      </c>
      <c r="AI42" s="828" t="str">
        <f t="shared" ca="1" si="67"/>
        <v/>
      </c>
      <c r="AJ42" s="828" t="str">
        <f t="shared" ca="1" si="68"/>
        <v/>
      </c>
      <c r="AK42" s="828" t="str">
        <f t="shared" ca="1" si="69"/>
        <v/>
      </c>
      <c r="AL42" s="828" t="str">
        <f t="shared" ca="1" si="70"/>
        <v/>
      </c>
      <c r="AM42" s="828" t="str">
        <f t="shared" ca="1" si="71"/>
        <v/>
      </c>
      <c r="AN42" s="828" t="str">
        <f t="shared" ca="1" si="72"/>
        <v/>
      </c>
      <c r="AO42" s="828" t="str">
        <f t="shared" ca="1" si="73"/>
        <v/>
      </c>
      <c r="AP42" s="828" t="str">
        <f t="shared" ca="1" si="74"/>
        <v/>
      </c>
      <c r="AQ42" s="828" t="str">
        <f t="shared" ca="1" si="75"/>
        <v/>
      </c>
      <c r="AR42" s="828" t="str">
        <f t="shared" ca="1" si="76"/>
        <v/>
      </c>
      <c r="AS42" s="828" t="str">
        <f t="shared" ca="1" si="77"/>
        <v/>
      </c>
      <c r="AT42" s="828" t="str">
        <f t="shared" ca="1" si="78"/>
        <v/>
      </c>
      <c r="AU42" s="828" t="str">
        <f t="shared" ca="1" si="79"/>
        <v/>
      </c>
      <c r="AV42" s="828" t="str">
        <f t="shared" ca="1" si="80"/>
        <v/>
      </c>
      <c r="AW42" s="828" t="str">
        <f t="shared" ca="1" si="81"/>
        <v/>
      </c>
      <c r="AX42" s="828" t="str">
        <f t="shared" ca="1" si="82"/>
        <v/>
      </c>
      <c r="AY42" s="828" t="str">
        <f t="shared" ca="1" si="83"/>
        <v/>
      </c>
      <c r="AZ42" s="828" t="str">
        <f t="shared" ca="1" si="84"/>
        <v/>
      </c>
      <c r="BA42" s="828" t="str">
        <f t="shared" ca="1" si="85"/>
        <v/>
      </c>
      <c r="BB42" s="828" t="str">
        <f t="shared" ca="1" si="86"/>
        <v/>
      </c>
      <c r="BC42" s="828" t="str">
        <f t="shared" ca="1" si="87"/>
        <v/>
      </c>
      <c r="BD42" s="828" t="str">
        <f t="shared" ca="1" si="88"/>
        <v/>
      </c>
      <c r="BE42" s="828" t="str">
        <f t="shared" ca="1" si="89"/>
        <v/>
      </c>
      <c r="BF42" s="828" t="str">
        <f t="shared" ca="1" si="90"/>
        <v/>
      </c>
      <c r="BG42" s="828" t="str">
        <f t="shared" ca="1" si="91"/>
        <v/>
      </c>
      <c r="BH42" s="828" t="str">
        <f t="shared" ca="1" si="92"/>
        <v/>
      </c>
      <c r="BI42" s="828" t="str">
        <f t="shared" ca="1" si="93"/>
        <v/>
      </c>
      <c r="BJ42" s="828" t="str">
        <f t="shared" ca="1" si="94"/>
        <v/>
      </c>
      <c r="BK42" s="828" t="str">
        <f t="shared" ca="1" si="95"/>
        <v/>
      </c>
      <c r="BL42" s="828" t="str">
        <f t="shared" ca="1" si="96"/>
        <v/>
      </c>
      <c r="BM42" s="828" t="str">
        <f t="shared" ca="1" si="97"/>
        <v/>
      </c>
      <c r="BN42" s="828" t="str">
        <f t="shared" ca="1" si="98"/>
        <v/>
      </c>
      <c r="BO42" s="828" t="str">
        <f t="shared" ca="1" si="99"/>
        <v/>
      </c>
    </row>
    <row r="43" spans="1:67" ht="20.100000000000001" customHeight="1">
      <c r="A43" s="823">
        <v>42</v>
      </c>
      <c r="B43" s="1870"/>
      <c r="C43" s="1872"/>
      <c r="D43" s="824" t="s">
        <v>4181</v>
      </c>
      <c r="E43" s="824"/>
      <c r="F43" s="825"/>
      <c r="G43" s="826" t="s">
        <v>4158</v>
      </c>
      <c r="H43" s="827">
        <f t="shared" ca="1" si="52"/>
        <v>21.2</v>
      </c>
      <c r="I43" s="827">
        <f t="shared" ca="1" si="53"/>
        <v>21.2</v>
      </c>
      <c r="J43" s="827">
        <f t="shared" ca="1" si="54"/>
        <v>21.2</v>
      </c>
      <c r="K43" s="827">
        <f t="shared" ca="1" si="55"/>
        <v>21.2</v>
      </c>
      <c r="L43" s="828">
        <f t="shared" ca="1" si="49"/>
        <v>0</v>
      </c>
      <c r="M43" s="828">
        <f t="shared" ca="1" si="49"/>
        <v>0</v>
      </c>
      <c r="N43" s="828">
        <f t="shared" ca="1" si="49"/>
        <v>0</v>
      </c>
      <c r="O43" s="828">
        <f t="shared" ca="1" si="49"/>
        <v>0</v>
      </c>
      <c r="P43" s="828">
        <f ca="1">SUM(SUMIFS(OFFSET(貼付け_2024実績,$A43,9,1,199),OFFSET(貼付け_2024実績,4,9,1,199),{"横浜*","川崎*"}))</f>
        <v>0</v>
      </c>
      <c r="Q43" s="828">
        <f ca="1">SUM(SUMIFS(OFFSET(貼付け_2025実績,$A43,9,1,199),OFFSET(貼付け_2025実績,4,9,1,199),{"横浜*","川崎*"}))</f>
        <v>0</v>
      </c>
      <c r="R43" s="828">
        <f ca="1">SUM(SUMIFS(OFFSET(貼付け_2026実績,$A43,9,1,199),OFFSET(貼付け_2026実績,4,9,1,199),{"横浜*","川崎*"}))</f>
        <v>0</v>
      </c>
      <c r="S43" s="828">
        <f ca="1">SUM(SUMIFS(OFFSET(貼付け_2027実績,$A43,9,1,199),OFFSET(貼付け_2027実績,4,9,1,199),{"横浜*","川崎*"}))</f>
        <v>0</v>
      </c>
      <c r="T43" s="828">
        <f t="shared" ca="1" si="50"/>
        <v>0</v>
      </c>
      <c r="U43" s="828">
        <f t="shared" ca="1" si="50"/>
        <v>0</v>
      </c>
      <c r="V43" s="828">
        <f t="shared" ca="1" si="50"/>
        <v>0</v>
      </c>
      <c r="W43" s="828">
        <f t="shared" ca="1" si="50"/>
        <v>0</v>
      </c>
      <c r="X43" s="828">
        <f t="shared" ca="1" si="56"/>
        <v>0</v>
      </c>
      <c r="Y43" s="828">
        <f t="shared" ca="1" si="57"/>
        <v>0</v>
      </c>
      <c r="Z43" s="828">
        <f t="shared" ca="1" si="58"/>
        <v>0</v>
      </c>
      <c r="AA43" s="828">
        <f t="shared" ca="1" si="59"/>
        <v>0</v>
      </c>
      <c r="AB43" s="828" t="str">
        <f t="shared" ca="1" si="60"/>
        <v/>
      </c>
      <c r="AC43" s="828" t="str">
        <f t="shared" ca="1" si="61"/>
        <v/>
      </c>
      <c r="AD43" s="828" t="str">
        <f t="shared" ca="1" si="62"/>
        <v/>
      </c>
      <c r="AE43" s="828" t="str">
        <f t="shared" ca="1" si="63"/>
        <v/>
      </c>
      <c r="AF43" s="828" t="str">
        <f t="shared" ca="1" si="64"/>
        <v/>
      </c>
      <c r="AG43" s="828" t="str">
        <f t="shared" ca="1" si="65"/>
        <v/>
      </c>
      <c r="AH43" s="828" t="str">
        <f t="shared" ca="1" si="66"/>
        <v/>
      </c>
      <c r="AI43" s="828" t="str">
        <f t="shared" ca="1" si="67"/>
        <v/>
      </c>
      <c r="AJ43" s="828" t="str">
        <f t="shared" ca="1" si="68"/>
        <v/>
      </c>
      <c r="AK43" s="828" t="str">
        <f t="shared" ca="1" si="69"/>
        <v/>
      </c>
      <c r="AL43" s="828" t="str">
        <f t="shared" ca="1" si="70"/>
        <v/>
      </c>
      <c r="AM43" s="828" t="str">
        <f t="shared" ca="1" si="71"/>
        <v/>
      </c>
      <c r="AN43" s="828" t="str">
        <f t="shared" ca="1" si="72"/>
        <v/>
      </c>
      <c r="AO43" s="828" t="str">
        <f t="shared" ca="1" si="73"/>
        <v/>
      </c>
      <c r="AP43" s="828" t="str">
        <f t="shared" ca="1" si="74"/>
        <v/>
      </c>
      <c r="AQ43" s="828" t="str">
        <f t="shared" ca="1" si="75"/>
        <v/>
      </c>
      <c r="AR43" s="828" t="str">
        <f t="shared" ca="1" si="76"/>
        <v/>
      </c>
      <c r="AS43" s="828" t="str">
        <f t="shared" ca="1" si="77"/>
        <v/>
      </c>
      <c r="AT43" s="828" t="str">
        <f t="shared" ca="1" si="78"/>
        <v/>
      </c>
      <c r="AU43" s="828" t="str">
        <f t="shared" ca="1" si="79"/>
        <v/>
      </c>
      <c r="AV43" s="828" t="str">
        <f t="shared" ca="1" si="80"/>
        <v/>
      </c>
      <c r="AW43" s="828" t="str">
        <f t="shared" ca="1" si="81"/>
        <v/>
      </c>
      <c r="AX43" s="828" t="str">
        <f t="shared" ca="1" si="82"/>
        <v/>
      </c>
      <c r="AY43" s="828" t="str">
        <f t="shared" ca="1" si="83"/>
        <v/>
      </c>
      <c r="AZ43" s="828" t="str">
        <f t="shared" ca="1" si="84"/>
        <v/>
      </c>
      <c r="BA43" s="828" t="str">
        <f t="shared" ca="1" si="85"/>
        <v/>
      </c>
      <c r="BB43" s="828" t="str">
        <f t="shared" ca="1" si="86"/>
        <v/>
      </c>
      <c r="BC43" s="828" t="str">
        <f t="shared" ca="1" si="87"/>
        <v/>
      </c>
      <c r="BD43" s="828" t="str">
        <f t="shared" ca="1" si="88"/>
        <v/>
      </c>
      <c r="BE43" s="828" t="str">
        <f t="shared" ca="1" si="89"/>
        <v/>
      </c>
      <c r="BF43" s="828" t="str">
        <f t="shared" ca="1" si="90"/>
        <v/>
      </c>
      <c r="BG43" s="828" t="str">
        <f t="shared" ca="1" si="91"/>
        <v/>
      </c>
      <c r="BH43" s="828" t="str">
        <f t="shared" ca="1" si="92"/>
        <v/>
      </c>
      <c r="BI43" s="828" t="str">
        <f t="shared" ca="1" si="93"/>
        <v/>
      </c>
      <c r="BJ43" s="828" t="str">
        <f t="shared" ca="1" si="94"/>
        <v/>
      </c>
      <c r="BK43" s="828" t="str">
        <f t="shared" ca="1" si="95"/>
        <v/>
      </c>
      <c r="BL43" s="828" t="str">
        <f t="shared" ca="1" si="96"/>
        <v/>
      </c>
      <c r="BM43" s="828" t="str">
        <f t="shared" ca="1" si="97"/>
        <v/>
      </c>
      <c r="BN43" s="828" t="str">
        <f t="shared" ca="1" si="98"/>
        <v/>
      </c>
      <c r="BO43" s="828" t="str">
        <f t="shared" ca="1" si="99"/>
        <v/>
      </c>
    </row>
    <row r="44" spans="1:67" ht="20.100000000000001" customHeight="1">
      <c r="A44" s="823">
        <v>43</v>
      </c>
      <c r="B44" s="1870"/>
      <c r="C44" s="1872"/>
      <c r="D44" s="824" t="s">
        <v>4410</v>
      </c>
      <c r="E44" s="831" t="str">
        <f ca="1">OFFSET(A1_その他欄集計,4,7)</f>
        <v/>
      </c>
      <c r="F44" s="833"/>
      <c r="G44" s="826" t="s">
        <v>3777</v>
      </c>
      <c r="H44" s="827">
        <f t="shared" ca="1" si="52"/>
        <v>13.2</v>
      </c>
      <c r="I44" s="827">
        <f t="shared" ca="1" si="53"/>
        <v>13.2</v>
      </c>
      <c r="J44" s="827">
        <f t="shared" ca="1" si="54"/>
        <v>13.2</v>
      </c>
      <c r="K44" s="827">
        <f t="shared" ca="1" si="55"/>
        <v>13.2</v>
      </c>
      <c r="L44" s="828">
        <f t="shared" ca="1" si="49"/>
        <v>0</v>
      </c>
      <c r="M44" s="828">
        <f t="shared" ca="1" si="49"/>
        <v>0</v>
      </c>
      <c r="N44" s="828">
        <f t="shared" ca="1" si="49"/>
        <v>0</v>
      </c>
      <c r="O44" s="828">
        <f t="shared" ca="1" si="49"/>
        <v>0</v>
      </c>
      <c r="P44" s="828">
        <f ca="1">SUM(SUMIFS(OFFSET(貼付け_2024実績,$A44,9,1,199),OFFSET(貼付け_2024実績,4,9,1,199),{"横浜*","川崎*"}))</f>
        <v>0</v>
      </c>
      <c r="Q44" s="828">
        <f ca="1">SUM(SUMIFS(OFFSET(貼付け_2025実績,$A44,9,1,199),OFFSET(貼付け_2025実績,4,9,1,199),{"横浜*","川崎*"}))</f>
        <v>0</v>
      </c>
      <c r="R44" s="828">
        <f ca="1">SUM(SUMIFS(OFFSET(貼付け_2026実績,$A44,9,1,199),OFFSET(貼付け_2026実績,4,9,1,199),{"横浜*","川崎*"}))</f>
        <v>0</v>
      </c>
      <c r="S44" s="828">
        <f ca="1">SUM(SUMIFS(OFFSET(貼付け_2027実績,$A44,9,1,199),OFFSET(貼付け_2027実績,4,9,1,199),{"横浜*","川崎*"}))</f>
        <v>0</v>
      </c>
      <c r="T44" s="828">
        <f t="shared" ca="1" si="50"/>
        <v>0</v>
      </c>
      <c r="U44" s="828">
        <f t="shared" ca="1" si="50"/>
        <v>0</v>
      </c>
      <c r="V44" s="828">
        <f t="shared" ca="1" si="50"/>
        <v>0</v>
      </c>
      <c r="W44" s="828">
        <f t="shared" ca="1" si="50"/>
        <v>0</v>
      </c>
      <c r="X44" s="828">
        <f t="shared" ca="1" si="56"/>
        <v>0</v>
      </c>
      <c r="Y44" s="828">
        <f t="shared" ca="1" si="57"/>
        <v>0</v>
      </c>
      <c r="Z44" s="828">
        <f t="shared" ca="1" si="58"/>
        <v>0</v>
      </c>
      <c r="AA44" s="828">
        <f t="shared" ca="1" si="59"/>
        <v>0</v>
      </c>
      <c r="AB44" s="828" t="str">
        <f t="shared" ca="1" si="60"/>
        <v/>
      </c>
      <c r="AC44" s="828" t="str">
        <f t="shared" ca="1" si="61"/>
        <v/>
      </c>
      <c r="AD44" s="828" t="str">
        <f t="shared" ca="1" si="62"/>
        <v/>
      </c>
      <c r="AE44" s="828" t="str">
        <f t="shared" ca="1" si="63"/>
        <v/>
      </c>
      <c r="AF44" s="828" t="str">
        <f t="shared" ca="1" si="64"/>
        <v/>
      </c>
      <c r="AG44" s="828" t="str">
        <f t="shared" ca="1" si="65"/>
        <v/>
      </c>
      <c r="AH44" s="828" t="str">
        <f t="shared" ca="1" si="66"/>
        <v/>
      </c>
      <c r="AI44" s="828" t="str">
        <f t="shared" ca="1" si="67"/>
        <v/>
      </c>
      <c r="AJ44" s="828" t="str">
        <f t="shared" ca="1" si="68"/>
        <v/>
      </c>
      <c r="AK44" s="828" t="str">
        <f t="shared" ca="1" si="69"/>
        <v/>
      </c>
      <c r="AL44" s="828" t="str">
        <f t="shared" ca="1" si="70"/>
        <v/>
      </c>
      <c r="AM44" s="828" t="str">
        <f t="shared" ca="1" si="71"/>
        <v/>
      </c>
      <c r="AN44" s="828" t="str">
        <f t="shared" ca="1" si="72"/>
        <v/>
      </c>
      <c r="AO44" s="828" t="str">
        <f t="shared" ca="1" si="73"/>
        <v/>
      </c>
      <c r="AP44" s="828" t="str">
        <f t="shared" ca="1" si="74"/>
        <v/>
      </c>
      <c r="AQ44" s="828" t="str">
        <f t="shared" ca="1" si="75"/>
        <v/>
      </c>
      <c r="AR44" s="828" t="str">
        <f t="shared" ca="1" si="76"/>
        <v/>
      </c>
      <c r="AS44" s="828" t="str">
        <f t="shared" ca="1" si="77"/>
        <v/>
      </c>
      <c r="AT44" s="828" t="str">
        <f t="shared" ca="1" si="78"/>
        <v/>
      </c>
      <c r="AU44" s="828" t="str">
        <f t="shared" ca="1" si="79"/>
        <v/>
      </c>
      <c r="AV44" s="828" t="str">
        <f t="shared" ca="1" si="80"/>
        <v/>
      </c>
      <c r="AW44" s="828" t="str">
        <f t="shared" ca="1" si="81"/>
        <v/>
      </c>
      <c r="AX44" s="828" t="str">
        <f t="shared" ca="1" si="82"/>
        <v/>
      </c>
      <c r="AY44" s="828" t="str">
        <f t="shared" ca="1" si="83"/>
        <v/>
      </c>
      <c r="AZ44" s="828" t="str">
        <f t="shared" ca="1" si="84"/>
        <v/>
      </c>
      <c r="BA44" s="828" t="str">
        <f t="shared" ca="1" si="85"/>
        <v/>
      </c>
      <c r="BB44" s="828" t="str">
        <f t="shared" ca="1" si="86"/>
        <v/>
      </c>
      <c r="BC44" s="828" t="str">
        <f t="shared" ca="1" si="87"/>
        <v/>
      </c>
      <c r="BD44" s="828" t="str">
        <f t="shared" ca="1" si="88"/>
        <v/>
      </c>
      <c r="BE44" s="828" t="str">
        <f t="shared" ca="1" si="89"/>
        <v/>
      </c>
      <c r="BF44" s="828" t="str">
        <f t="shared" ca="1" si="90"/>
        <v/>
      </c>
      <c r="BG44" s="828" t="str">
        <f t="shared" ca="1" si="91"/>
        <v/>
      </c>
      <c r="BH44" s="828" t="str">
        <f t="shared" ca="1" si="92"/>
        <v/>
      </c>
      <c r="BI44" s="828" t="str">
        <f t="shared" ca="1" si="93"/>
        <v/>
      </c>
      <c r="BJ44" s="828" t="str">
        <f t="shared" ca="1" si="94"/>
        <v/>
      </c>
      <c r="BK44" s="828" t="str">
        <f t="shared" ca="1" si="95"/>
        <v/>
      </c>
      <c r="BL44" s="828" t="str">
        <f t="shared" ca="1" si="96"/>
        <v/>
      </c>
      <c r="BM44" s="828" t="str">
        <f t="shared" ca="1" si="97"/>
        <v/>
      </c>
      <c r="BN44" s="828" t="str">
        <f t="shared" ca="1" si="98"/>
        <v/>
      </c>
      <c r="BO44" s="828" t="str">
        <f t="shared" ca="1" si="99"/>
        <v/>
      </c>
    </row>
    <row r="45" spans="1:67" ht="20.100000000000001" customHeight="1">
      <c r="A45" s="823">
        <v>44</v>
      </c>
      <c r="B45" s="1870"/>
      <c r="C45" s="1872"/>
      <c r="D45" s="832" t="s">
        <v>4183</v>
      </c>
      <c r="E45" s="824"/>
      <c r="F45" s="825"/>
      <c r="G45" s="826" t="s">
        <v>3777</v>
      </c>
      <c r="H45" s="827">
        <f t="shared" ca="1" si="52"/>
        <v>18</v>
      </c>
      <c r="I45" s="827">
        <f t="shared" ca="1" si="53"/>
        <v>18</v>
      </c>
      <c r="J45" s="827">
        <f t="shared" ca="1" si="54"/>
        <v>18</v>
      </c>
      <c r="K45" s="827">
        <f t="shared" ca="1" si="55"/>
        <v>18</v>
      </c>
      <c r="L45" s="828">
        <f t="shared" ca="1" si="49"/>
        <v>0</v>
      </c>
      <c r="M45" s="828">
        <f t="shared" ca="1" si="49"/>
        <v>0</v>
      </c>
      <c r="N45" s="828">
        <f t="shared" ca="1" si="49"/>
        <v>0</v>
      </c>
      <c r="O45" s="828">
        <f t="shared" ca="1" si="49"/>
        <v>0</v>
      </c>
      <c r="P45" s="828">
        <f ca="1">SUM(SUMIFS(OFFSET(貼付け_2024実績,$A45,9,1,199),OFFSET(貼付け_2024実績,4,9,1,199),{"横浜*","川崎*"}))</f>
        <v>0</v>
      </c>
      <c r="Q45" s="828">
        <f ca="1">SUM(SUMIFS(OFFSET(貼付け_2025実績,$A45,9,1,199),OFFSET(貼付け_2025実績,4,9,1,199),{"横浜*","川崎*"}))</f>
        <v>0</v>
      </c>
      <c r="R45" s="828">
        <f ca="1">SUM(SUMIFS(OFFSET(貼付け_2026実績,$A45,9,1,199),OFFSET(貼付け_2026実績,4,9,1,199),{"横浜*","川崎*"}))</f>
        <v>0</v>
      </c>
      <c r="S45" s="828">
        <f ca="1">SUM(SUMIFS(OFFSET(貼付け_2027実績,$A45,9,1,199),OFFSET(貼付け_2027実績,4,9,1,199),{"横浜*","川崎*"}))</f>
        <v>0</v>
      </c>
      <c r="T45" s="828">
        <f t="shared" ca="1" si="50"/>
        <v>0</v>
      </c>
      <c r="U45" s="828">
        <f t="shared" ca="1" si="50"/>
        <v>0</v>
      </c>
      <c r="V45" s="828">
        <f t="shared" ca="1" si="50"/>
        <v>0</v>
      </c>
      <c r="W45" s="828">
        <f t="shared" ca="1" si="50"/>
        <v>0</v>
      </c>
      <c r="X45" s="828">
        <f t="shared" ca="1" si="56"/>
        <v>0</v>
      </c>
      <c r="Y45" s="828">
        <f t="shared" ca="1" si="57"/>
        <v>0</v>
      </c>
      <c r="Z45" s="828">
        <f t="shared" ca="1" si="58"/>
        <v>0</v>
      </c>
      <c r="AA45" s="828">
        <f t="shared" ca="1" si="59"/>
        <v>0</v>
      </c>
      <c r="AB45" s="828" t="str">
        <f t="shared" ca="1" si="60"/>
        <v/>
      </c>
      <c r="AC45" s="828" t="str">
        <f t="shared" ca="1" si="61"/>
        <v/>
      </c>
      <c r="AD45" s="828" t="str">
        <f t="shared" ca="1" si="62"/>
        <v/>
      </c>
      <c r="AE45" s="828" t="str">
        <f t="shared" ca="1" si="63"/>
        <v/>
      </c>
      <c r="AF45" s="828" t="str">
        <f t="shared" ca="1" si="64"/>
        <v/>
      </c>
      <c r="AG45" s="828" t="str">
        <f t="shared" ca="1" si="65"/>
        <v/>
      </c>
      <c r="AH45" s="828" t="str">
        <f t="shared" ca="1" si="66"/>
        <v/>
      </c>
      <c r="AI45" s="828" t="str">
        <f t="shared" ca="1" si="67"/>
        <v/>
      </c>
      <c r="AJ45" s="828" t="str">
        <f t="shared" ca="1" si="68"/>
        <v/>
      </c>
      <c r="AK45" s="828" t="str">
        <f t="shared" ca="1" si="69"/>
        <v/>
      </c>
      <c r="AL45" s="828" t="str">
        <f t="shared" ca="1" si="70"/>
        <v/>
      </c>
      <c r="AM45" s="828" t="str">
        <f t="shared" ca="1" si="71"/>
        <v/>
      </c>
      <c r="AN45" s="828" t="str">
        <f t="shared" ca="1" si="72"/>
        <v/>
      </c>
      <c r="AO45" s="828" t="str">
        <f t="shared" ca="1" si="73"/>
        <v/>
      </c>
      <c r="AP45" s="828" t="str">
        <f t="shared" ca="1" si="74"/>
        <v/>
      </c>
      <c r="AQ45" s="828" t="str">
        <f t="shared" ca="1" si="75"/>
        <v/>
      </c>
      <c r="AR45" s="828" t="str">
        <f t="shared" ca="1" si="76"/>
        <v/>
      </c>
      <c r="AS45" s="828" t="str">
        <f t="shared" ca="1" si="77"/>
        <v/>
      </c>
      <c r="AT45" s="828" t="str">
        <f t="shared" ca="1" si="78"/>
        <v/>
      </c>
      <c r="AU45" s="828" t="str">
        <f t="shared" ca="1" si="79"/>
        <v/>
      </c>
      <c r="AV45" s="828" t="str">
        <f t="shared" ca="1" si="80"/>
        <v/>
      </c>
      <c r="AW45" s="828" t="str">
        <f t="shared" ca="1" si="81"/>
        <v/>
      </c>
      <c r="AX45" s="828" t="str">
        <f t="shared" ca="1" si="82"/>
        <v/>
      </c>
      <c r="AY45" s="828" t="str">
        <f t="shared" ca="1" si="83"/>
        <v/>
      </c>
      <c r="AZ45" s="828" t="str">
        <f t="shared" ca="1" si="84"/>
        <v/>
      </c>
      <c r="BA45" s="828" t="str">
        <f t="shared" ca="1" si="85"/>
        <v/>
      </c>
      <c r="BB45" s="828" t="str">
        <f t="shared" ca="1" si="86"/>
        <v/>
      </c>
      <c r="BC45" s="828" t="str">
        <f t="shared" ca="1" si="87"/>
        <v/>
      </c>
      <c r="BD45" s="828" t="str">
        <f t="shared" ca="1" si="88"/>
        <v/>
      </c>
      <c r="BE45" s="828" t="str">
        <f t="shared" ca="1" si="89"/>
        <v/>
      </c>
      <c r="BF45" s="828" t="str">
        <f t="shared" ca="1" si="90"/>
        <v/>
      </c>
      <c r="BG45" s="828" t="str">
        <f t="shared" ca="1" si="91"/>
        <v/>
      </c>
      <c r="BH45" s="828" t="str">
        <f t="shared" ca="1" si="92"/>
        <v/>
      </c>
      <c r="BI45" s="828" t="str">
        <f t="shared" ca="1" si="93"/>
        <v/>
      </c>
      <c r="BJ45" s="828" t="str">
        <f t="shared" ca="1" si="94"/>
        <v/>
      </c>
      <c r="BK45" s="828" t="str">
        <f t="shared" ca="1" si="95"/>
        <v/>
      </c>
      <c r="BL45" s="828" t="str">
        <f t="shared" ca="1" si="96"/>
        <v/>
      </c>
      <c r="BM45" s="828" t="str">
        <f t="shared" ca="1" si="97"/>
        <v/>
      </c>
      <c r="BN45" s="828" t="str">
        <f t="shared" ca="1" si="98"/>
        <v/>
      </c>
      <c r="BO45" s="828" t="str">
        <f t="shared" ca="1" si="99"/>
        <v/>
      </c>
    </row>
    <row r="46" spans="1:67" ht="20.100000000000001" customHeight="1">
      <c r="A46" s="823">
        <v>45</v>
      </c>
      <c r="B46" s="1870"/>
      <c r="C46" s="1872"/>
      <c r="D46" s="832" t="s">
        <v>4184</v>
      </c>
      <c r="E46" s="834"/>
      <c r="F46" s="825"/>
      <c r="G46" s="826" t="s">
        <v>3777</v>
      </c>
      <c r="H46" s="827">
        <f t="shared" ca="1" si="52"/>
        <v>26.9</v>
      </c>
      <c r="I46" s="827">
        <f t="shared" ca="1" si="53"/>
        <v>26.9</v>
      </c>
      <c r="J46" s="827">
        <f t="shared" ca="1" si="54"/>
        <v>26.9</v>
      </c>
      <c r="K46" s="827">
        <f t="shared" ca="1" si="55"/>
        <v>26.9</v>
      </c>
      <c r="L46" s="828">
        <f t="shared" ca="1" si="49"/>
        <v>0</v>
      </c>
      <c r="M46" s="828">
        <f t="shared" ca="1" si="49"/>
        <v>0</v>
      </c>
      <c r="N46" s="828">
        <f t="shared" ca="1" si="49"/>
        <v>0</v>
      </c>
      <c r="O46" s="828">
        <f t="shared" ca="1" si="49"/>
        <v>0</v>
      </c>
      <c r="P46" s="828">
        <f ca="1">SUM(SUMIFS(OFFSET(貼付け_2024実績,$A46,9,1,199),OFFSET(貼付け_2024実績,4,9,1,199),{"横浜*","川崎*"}))</f>
        <v>0</v>
      </c>
      <c r="Q46" s="828">
        <f ca="1">SUM(SUMIFS(OFFSET(貼付け_2025実績,$A46,9,1,199),OFFSET(貼付け_2025実績,4,9,1,199),{"横浜*","川崎*"}))</f>
        <v>0</v>
      </c>
      <c r="R46" s="828">
        <f ca="1">SUM(SUMIFS(OFFSET(貼付け_2026実績,$A46,9,1,199),OFFSET(貼付け_2026実績,4,9,1,199),{"横浜*","川崎*"}))</f>
        <v>0</v>
      </c>
      <c r="S46" s="828">
        <f ca="1">SUM(SUMIFS(OFFSET(貼付け_2027実績,$A46,9,1,199),OFFSET(貼付け_2027実績,4,9,1,199),{"横浜*","川崎*"}))</f>
        <v>0</v>
      </c>
      <c r="T46" s="828">
        <f t="shared" ca="1" si="50"/>
        <v>0</v>
      </c>
      <c r="U46" s="828">
        <f t="shared" ca="1" si="50"/>
        <v>0</v>
      </c>
      <c r="V46" s="828">
        <f t="shared" ca="1" si="50"/>
        <v>0</v>
      </c>
      <c r="W46" s="828">
        <f t="shared" ca="1" si="50"/>
        <v>0</v>
      </c>
      <c r="X46" s="828">
        <f t="shared" ca="1" si="56"/>
        <v>0</v>
      </c>
      <c r="Y46" s="828">
        <f t="shared" ca="1" si="57"/>
        <v>0</v>
      </c>
      <c r="Z46" s="828">
        <f t="shared" ca="1" si="58"/>
        <v>0</v>
      </c>
      <c r="AA46" s="828">
        <f t="shared" ca="1" si="59"/>
        <v>0</v>
      </c>
      <c r="AB46" s="828" t="str">
        <f t="shared" ca="1" si="60"/>
        <v/>
      </c>
      <c r="AC46" s="828" t="str">
        <f t="shared" ca="1" si="61"/>
        <v/>
      </c>
      <c r="AD46" s="828" t="str">
        <f t="shared" ca="1" si="62"/>
        <v/>
      </c>
      <c r="AE46" s="828" t="str">
        <f t="shared" ca="1" si="63"/>
        <v/>
      </c>
      <c r="AF46" s="828" t="str">
        <f t="shared" ca="1" si="64"/>
        <v/>
      </c>
      <c r="AG46" s="828" t="str">
        <f t="shared" ca="1" si="65"/>
        <v/>
      </c>
      <c r="AH46" s="828" t="str">
        <f t="shared" ca="1" si="66"/>
        <v/>
      </c>
      <c r="AI46" s="828" t="str">
        <f t="shared" ca="1" si="67"/>
        <v/>
      </c>
      <c r="AJ46" s="828" t="str">
        <f t="shared" ca="1" si="68"/>
        <v/>
      </c>
      <c r="AK46" s="828" t="str">
        <f t="shared" ca="1" si="69"/>
        <v/>
      </c>
      <c r="AL46" s="828" t="str">
        <f t="shared" ca="1" si="70"/>
        <v/>
      </c>
      <c r="AM46" s="828" t="str">
        <f t="shared" ca="1" si="71"/>
        <v/>
      </c>
      <c r="AN46" s="828" t="str">
        <f t="shared" ca="1" si="72"/>
        <v/>
      </c>
      <c r="AO46" s="828" t="str">
        <f t="shared" ca="1" si="73"/>
        <v/>
      </c>
      <c r="AP46" s="828" t="str">
        <f t="shared" ca="1" si="74"/>
        <v/>
      </c>
      <c r="AQ46" s="828" t="str">
        <f t="shared" ca="1" si="75"/>
        <v/>
      </c>
      <c r="AR46" s="828" t="str">
        <f t="shared" ca="1" si="76"/>
        <v/>
      </c>
      <c r="AS46" s="828" t="str">
        <f t="shared" ca="1" si="77"/>
        <v/>
      </c>
      <c r="AT46" s="828" t="str">
        <f t="shared" ca="1" si="78"/>
        <v/>
      </c>
      <c r="AU46" s="828" t="str">
        <f t="shared" ca="1" si="79"/>
        <v/>
      </c>
      <c r="AV46" s="828" t="str">
        <f t="shared" ca="1" si="80"/>
        <v/>
      </c>
      <c r="AW46" s="828" t="str">
        <f t="shared" ca="1" si="81"/>
        <v/>
      </c>
      <c r="AX46" s="828" t="str">
        <f t="shared" ca="1" si="82"/>
        <v/>
      </c>
      <c r="AY46" s="828" t="str">
        <f t="shared" ca="1" si="83"/>
        <v/>
      </c>
      <c r="AZ46" s="828" t="str">
        <f t="shared" ca="1" si="84"/>
        <v/>
      </c>
      <c r="BA46" s="828" t="str">
        <f t="shared" ca="1" si="85"/>
        <v/>
      </c>
      <c r="BB46" s="828" t="str">
        <f t="shared" ca="1" si="86"/>
        <v/>
      </c>
      <c r="BC46" s="828" t="str">
        <f t="shared" ca="1" si="87"/>
        <v/>
      </c>
      <c r="BD46" s="828" t="str">
        <f t="shared" ca="1" si="88"/>
        <v/>
      </c>
      <c r="BE46" s="828" t="str">
        <f t="shared" ca="1" si="89"/>
        <v/>
      </c>
      <c r="BF46" s="828" t="str">
        <f t="shared" ca="1" si="90"/>
        <v/>
      </c>
      <c r="BG46" s="828" t="str">
        <f t="shared" ca="1" si="91"/>
        <v/>
      </c>
      <c r="BH46" s="828" t="str">
        <f t="shared" ca="1" si="92"/>
        <v/>
      </c>
      <c r="BI46" s="828" t="str">
        <f t="shared" ca="1" si="93"/>
        <v/>
      </c>
      <c r="BJ46" s="828" t="str">
        <f t="shared" ca="1" si="94"/>
        <v/>
      </c>
      <c r="BK46" s="828" t="str">
        <f t="shared" ca="1" si="95"/>
        <v/>
      </c>
      <c r="BL46" s="828" t="str">
        <f t="shared" ca="1" si="96"/>
        <v/>
      </c>
      <c r="BM46" s="828" t="str">
        <f t="shared" ca="1" si="97"/>
        <v/>
      </c>
      <c r="BN46" s="828" t="str">
        <f t="shared" ca="1" si="98"/>
        <v/>
      </c>
      <c r="BO46" s="828" t="str">
        <f t="shared" ca="1" si="99"/>
        <v/>
      </c>
    </row>
    <row r="47" spans="1:67" ht="20.100000000000001" customHeight="1">
      <c r="A47" s="823">
        <v>46</v>
      </c>
      <c r="B47" s="1870"/>
      <c r="C47" s="1872"/>
      <c r="D47" s="832" t="s">
        <v>4411</v>
      </c>
      <c r="E47" s="818"/>
      <c r="F47" s="825"/>
      <c r="G47" s="826" t="s">
        <v>3777</v>
      </c>
      <c r="H47" s="827">
        <f t="shared" ca="1" si="52"/>
        <v>33.200000000000003</v>
      </c>
      <c r="I47" s="827">
        <f t="shared" ca="1" si="53"/>
        <v>33.200000000000003</v>
      </c>
      <c r="J47" s="827">
        <f t="shared" ca="1" si="54"/>
        <v>33.200000000000003</v>
      </c>
      <c r="K47" s="827">
        <f t="shared" ca="1" si="55"/>
        <v>33.200000000000003</v>
      </c>
      <c r="L47" s="828">
        <f t="shared" ca="1" si="49"/>
        <v>0</v>
      </c>
      <c r="M47" s="828">
        <f t="shared" ca="1" si="49"/>
        <v>0</v>
      </c>
      <c r="N47" s="828">
        <f t="shared" ca="1" si="49"/>
        <v>0</v>
      </c>
      <c r="O47" s="828">
        <f t="shared" ca="1" si="49"/>
        <v>0</v>
      </c>
      <c r="P47" s="828">
        <f ca="1">SUM(SUMIFS(OFFSET(貼付け_2024実績,$A47,9,1,199),OFFSET(貼付け_2024実績,4,9,1,199),{"横浜*","川崎*"}))</f>
        <v>0</v>
      </c>
      <c r="Q47" s="828">
        <f ca="1">SUM(SUMIFS(OFFSET(貼付け_2025実績,$A47,9,1,199),OFFSET(貼付け_2025実績,4,9,1,199),{"横浜*","川崎*"}))</f>
        <v>0</v>
      </c>
      <c r="R47" s="828">
        <f ca="1">SUM(SUMIFS(OFFSET(貼付け_2026実績,$A47,9,1,199),OFFSET(貼付け_2026実績,4,9,1,199),{"横浜*","川崎*"}))</f>
        <v>0</v>
      </c>
      <c r="S47" s="828">
        <f ca="1">SUM(SUMIFS(OFFSET(貼付け_2027実績,$A47,9,1,199),OFFSET(貼付け_2027実績,4,9,1,199),{"横浜*","川崎*"}))</f>
        <v>0</v>
      </c>
      <c r="T47" s="828">
        <f t="shared" ca="1" si="50"/>
        <v>0</v>
      </c>
      <c r="U47" s="828">
        <f t="shared" ca="1" si="50"/>
        <v>0</v>
      </c>
      <c r="V47" s="828">
        <f t="shared" ca="1" si="50"/>
        <v>0</v>
      </c>
      <c r="W47" s="828">
        <f t="shared" ca="1" si="50"/>
        <v>0</v>
      </c>
      <c r="X47" s="828">
        <f t="shared" ca="1" si="56"/>
        <v>0</v>
      </c>
      <c r="Y47" s="828">
        <f t="shared" ca="1" si="57"/>
        <v>0</v>
      </c>
      <c r="Z47" s="828">
        <f t="shared" ca="1" si="58"/>
        <v>0</v>
      </c>
      <c r="AA47" s="828">
        <f t="shared" ca="1" si="59"/>
        <v>0</v>
      </c>
      <c r="AB47" s="828" t="str">
        <f t="shared" ca="1" si="60"/>
        <v/>
      </c>
      <c r="AC47" s="828" t="str">
        <f t="shared" ca="1" si="61"/>
        <v/>
      </c>
      <c r="AD47" s="828" t="str">
        <f t="shared" ca="1" si="62"/>
        <v/>
      </c>
      <c r="AE47" s="828" t="str">
        <f t="shared" ca="1" si="63"/>
        <v/>
      </c>
      <c r="AF47" s="828" t="str">
        <f t="shared" ca="1" si="64"/>
        <v/>
      </c>
      <c r="AG47" s="828" t="str">
        <f t="shared" ca="1" si="65"/>
        <v/>
      </c>
      <c r="AH47" s="828" t="str">
        <f t="shared" ca="1" si="66"/>
        <v/>
      </c>
      <c r="AI47" s="828" t="str">
        <f t="shared" ca="1" si="67"/>
        <v/>
      </c>
      <c r="AJ47" s="828" t="str">
        <f t="shared" ca="1" si="68"/>
        <v/>
      </c>
      <c r="AK47" s="828" t="str">
        <f t="shared" ca="1" si="69"/>
        <v/>
      </c>
      <c r="AL47" s="828" t="str">
        <f t="shared" ca="1" si="70"/>
        <v/>
      </c>
      <c r="AM47" s="828" t="str">
        <f t="shared" ca="1" si="71"/>
        <v/>
      </c>
      <c r="AN47" s="828" t="str">
        <f t="shared" ca="1" si="72"/>
        <v/>
      </c>
      <c r="AO47" s="828" t="str">
        <f t="shared" ca="1" si="73"/>
        <v/>
      </c>
      <c r="AP47" s="828" t="str">
        <f t="shared" ca="1" si="74"/>
        <v/>
      </c>
      <c r="AQ47" s="828" t="str">
        <f t="shared" ca="1" si="75"/>
        <v/>
      </c>
      <c r="AR47" s="828" t="str">
        <f t="shared" ca="1" si="76"/>
        <v/>
      </c>
      <c r="AS47" s="828" t="str">
        <f t="shared" ca="1" si="77"/>
        <v/>
      </c>
      <c r="AT47" s="828" t="str">
        <f t="shared" ca="1" si="78"/>
        <v/>
      </c>
      <c r="AU47" s="828" t="str">
        <f t="shared" ca="1" si="79"/>
        <v/>
      </c>
      <c r="AV47" s="828" t="str">
        <f t="shared" ca="1" si="80"/>
        <v/>
      </c>
      <c r="AW47" s="828" t="str">
        <f t="shared" ca="1" si="81"/>
        <v/>
      </c>
      <c r="AX47" s="828" t="str">
        <f t="shared" ca="1" si="82"/>
        <v/>
      </c>
      <c r="AY47" s="828" t="str">
        <f t="shared" ca="1" si="83"/>
        <v/>
      </c>
      <c r="AZ47" s="828" t="str">
        <f t="shared" ca="1" si="84"/>
        <v/>
      </c>
      <c r="BA47" s="828" t="str">
        <f t="shared" ca="1" si="85"/>
        <v/>
      </c>
      <c r="BB47" s="828" t="str">
        <f t="shared" ca="1" si="86"/>
        <v/>
      </c>
      <c r="BC47" s="828" t="str">
        <f t="shared" ca="1" si="87"/>
        <v/>
      </c>
      <c r="BD47" s="828" t="str">
        <f t="shared" ca="1" si="88"/>
        <v/>
      </c>
      <c r="BE47" s="828" t="str">
        <f t="shared" ca="1" si="89"/>
        <v/>
      </c>
      <c r="BF47" s="828" t="str">
        <f t="shared" ca="1" si="90"/>
        <v/>
      </c>
      <c r="BG47" s="828" t="str">
        <f t="shared" ca="1" si="91"/>
        <v/>
      </c>
      <c r="BH47" s="828" t="str">
        <f t="shared" ca="1" si="92"/>
        <v/>
      </c>
      <c r="BI47" s="828" t="str">
        <f t="shared" ca="1" si="93"/>
        <v/>
      </c>
      <c r="BJ47" s="828" t="str">
        <f t="shared" ca="1" si="94"/>
        <v/>
      </c>
      <c r="BK47" s="828" t="str">
        <f t="shared" ca="1" si="95"/>
        <v/>
      </c>
      <c r="BL47" s="828" t="str">
        <f t="shared" ca="1" si="96"/>
        <v/>
      </c>
      <c r="BM47" s="828" t="str">
        <f t="shared" ca="1" si="97"/>
        <v/>
      </c>
      <c r="BN47" s="828" t="str">
        <f t="shared" ca="1" si="98"/>
        <v/>
      </c>
      <c r="BO47" s="828" t="str">
        <f t="shared" ca="1" si="99"/>
        <v/>
      </c>
    </row>
    <row r="48" spans="1:67" ht="20.100000000000001" customHeight="1">
      <c r="A48" s="823">
        <v>47</v>
      </c>
      <c r="B48" s="1871"/>
      <c r="C48" s="1872"/>
      <c r="D48" s="832" t="s">
        <v>4412</v>
      </c>
      <c r="E48" s="824"/>
      <c r="F48" s="825"/>
      <c r="G48" s="826" t="s">
        <v>3777</v>
      </c>
      <c r="H48" s="827">
        <f t="shared" ca="1" si="52"/>
        <v>29.3</v>
      </c>
      <c r="I48" s="827">
        <f t="shared" ca="1" si="53"/>
        <v>29.3</v>
      </c>
      <c r="J48" s="827">
        <f t="shared" ca="1" si="54"/>
        <v>29.3</v>
      </c>
      <c r="K48" s="827">
        <f t="shared" ca="1" si="55"/>
        <v>29.3</v>
      </c>
      <c r="L48" s="828">
        <f t="shared" ca="1" si="49"/>
        <v>0</v>
      </c>
      <c r="M48" s="828">
        <f t="shared" ca="1" si="49"/>
        <v>0</v>
      </c>
      <c r="N48" s="828">
        <f t="shared" ca="1" si="49"/>
        <v>0</v>
      </c>
      <c r="O48" s="828">
        <f t="shared" ca="1" si="49"/>
        <v>0</v>
      </c>
      <c r="P48" s="828">
        <f ca="1">SUM(SUMIFS(OFFSET(貼付け_2024実績,$A48,9,1,199),OFFSET(貼付け_2024実績,4,9,1,199),{"横浜*","川崎*"}))</f>
        <v>0</v>
      </c>
      <c r="Q48" s="828">
        <f ca="1">SUM(SUMIFS(OFFSET(貼付け_2025実績,$A48,9,1,199),OFFSET(貼付け_2025実績,4,9,1,199),{"横浜*","川崎*"}))</f>
        <v>0</v>
      </c>
      <c r="R48" s="828">
        <f ca="1">SUM(SUMIFS(OFFSET(貼付け_2026実績,$A48,9,1,199),OFFSET(貼付け_2026実績,4,9,1,199),{"横浜*","川崎*"}))</f>
        <v>0</v>
      </c>
      <c r="S48" s="828">
        <f ca="1">SUM(SUMIFS(OFFSET(貼付け_2027実績,$A48,9,1,199),OFFSET(貼付け_2027実績,4,9,1,199),{"横浜*","川崎*"}))</f>
        <v>0</v>
      </c>
      <c r="T48" s="828">
        <f t="shared" ca="1" si="50"/>
        <v>0</v>
      </c>
      <c r="U48" s="828">
        <f t="shared" ca="1" si="50"/>
        <v>0</v>
      </c>
      <c r="V48" s="828">
        <f t="shared" ca="1" si="50"/>
        <v>0</v>
      </c>
      <c r="W48" s="828">
        <f t="shared" ca="1" si="50"/>
        <v>0</v>
      </c>
      <c r="X48" s="828">
        <f t="shared" ca="1" si="56"/>
        <v>0</v>
      </c>
      <c r="Y48" s="828">
        <f t="shared" ca="1" si="57"/>
        <v>0</v>
      </c>
      <c r="Z48" s="828">
        <f t="shared" ca="1" si="58"/>
        <v>0</v>
      </c>
      <c r="AA48" s="828">
        <f t="shared" ca="1" si="59"/>
        <v>0</v>
      </c>
      <c r="AB48" s="828" t="str">
        <f t="shared" ca="1" si="60"/>
        <v/>
      </c>
      <c r="AC48" s="828" t="str">
        <f t="shared" ca="1" si="61"/>
        <v/>
      </c>
      <c r="AD48" s="828" t="str">
        <f t="shared" ca="1" si="62"/>
        <v/>
      </c>
      <c r="AE48" s="828" t="str">
        <f t="shared" ca="1" si="63"/>
        <v/>
      </c>
      <c r="AF48" s="828" t="str">
        <f t="shared" ca="1" si="64"/>
        <v/>
      </c>
      <c r="AG48" s="828" t="str">
        <f t="shared" ca="1" si="65"/>
        <v/>
      </c>
      <c r="AH48" s="828" t="str">
        <f t="shared" ca="1" si="66"/>
        <v/>
      </c>
      <c r="AI48" s="828" t="str">
        <f t="shared" ca="1" si="67"/>
        <v/>
      </c>
      <c r="AJ48" s="828" t="str">
        <f t="shared" ca="1" si="68"/>
        <v/>
      </c>
      <c r="AK48" s="828" t="str">
        <f t="shared" ca="1" si="69"/>
        <v/>
      </c>
      <c r="AL48" s="828" t="str">
        <f t="shared" ca="1" si="70"/>
        <v/>
      </c>
      <c r="AM48" s="828" t="str">
        <f t="shared" ca="1" si="71"/>
        <v/>
      </c>
      <c r="AN48" s="828" t="str">
        <f t="shared" ca="1" si="72"/>
        <v/>
      </c>
      <c r="AO48" s="828" t="str">
        <f t="shared" ca="1" si="73"/>
        <v/>
      </c>
      <c r="AP48" s="828" t="str">
        <f t="shared" ca="1" si="74"/>
        <v/>
      </c>
      <c r="AQ48" s="828" t="str">
        <f t="shared" ca="1" si="75"/>
        <v/>
      </c>
      <c r="AR48" s="828" t="str">
        <f t="shared" ca="1" si="76"/>
        <v/>
      </c>
      <c r="AS48" s="828" t="str">
        <f t="shared" ca="1" si="77"/>
        <v/>
      </c>
      <c r="AT48" s="828" t="str">
        <f t="shared" ca="1" si="78"/>
        <v/>
      </c>
      <c r="AU48" s="828" t="str">
        <f t="shared" ca="1" si="79"/>
        <v/>
      </c>
      <c r="AV48" s="828" t="str">
        <f t="shared" ca="1" si="80"/>
        <v/>
      </c>
      <c r="AW48" s="828" t="str">
        <f t="shared" ca="1" si="81"/>
        <v/>
      </c>
      <c r="AX48" s="828" t="str">
        <f t="shared" ca="1" si="82"/>
        <v/>
      </c>
      <c r="AY48" s="828" t="str">
        <f t="shared" ca="1" si="83"/>
        <v/>
      </c>
      <c r="AZ48" s="828" t="str">
        <f t="shared" ca="1" si="84"/>
        <v/>
      </c>
      <c r="BA48" s="828" t="str">
        <f t="shared" ca="1" si="85"/>
        <v/>
      </c>
      <c r="BB48" s="828" t="str">
        <f t="shared" ca="1" si="86"/>
        <v/>
      </c>
      <c r="BC48" s="828" t="str">
        <f t="shared" ca="1" si="87"/>
        <v/>
      </c>
      <c r="BD48" s="828" t="str">
        <f t="shared" ca="1" si="88"/>
        <v/>
      </c>
      <c r="BE48" s="828" t="str">
        <f t="shared" ca="1" si="89"/>
        <v/>
      </c>
      <c r="BF48" s="828" t="str">
        <f t="shared" ca="1" si="90"/>
        <v/>
      </c>
      <c r="BG48" s="828" t="str">
        <f t="shared" ca="1" si="91"/>
        <v/>
      </c>
      <c r="BH48" s="828" t="str">
        <f t="shared" ca="1" si="92"/>
        <v/>
      </c>
      <c r="BI48" s="828" t="str">
        <f t="shared" ca="1" si="93"/>
        <v/>
      </c>
      <c r="BJ48" s="828" t="str">
        <f t="shared" ca="1" si="94"/>
        <v/>
      </c>
      <c r="BK48" s="828" t="str">
        <f t="shared" ca="1" si="95"/>
        <v/>
      </c>
      <c r="BL48" s="828" t="str">
        <f t="shared" ca="1" si="96"/>
        <v/>
      </c>
      <c r="BM48" s="828" t="str">
        <f t="shared" ca="1" si="97"/>
        <v/>
      </c>
      <c r="BN48" s="828" t="str">
        <f t="shared" ca="1" si="98"/>
        <v/>
      </c>
      <c r="BO48" s="828" t="str">
        <f t="shared" ca="1" si="99"/>
        <v/>
      </c>
    </row>
    <row r="49" spans="1:68" ht="20.100000000000001" customHeight="1">
      <c r="A49" s="823">
        <v>48</v>
      </c>
      <c r="B49" s="1871"/>
      <c r="C49" s="1872"/>
      <c r="D49" s="832" t="s">
        <v>4413</v>
      </c>
      <c r="E49" s="824"/>
      <c r="F49" s="825"/>
      <c r="G49" s="826" t="s">
        <v>3777</v>
      </c>
      <c r="H49" s="827">
        <f t="shared" ca="1" si="52"/>
        <v>29.3</v>
      </c>
      <c r="I49" s="827">
        <f t="shared" ca="1" si="53"/>
        <v>29.3</v>
      </c>
      <c r="J49" s="827">
        <f t="shared" ca="1" si="54"/>
        <v>29.3</v>
      </c>
      <c r="K49" s="827">
        <f t="shared" ca="1" si="55"/>
        <v>29.3</v>
      </c>
      <c r="L49" s="828">
        <f t="shared" ca="1" si="49"/>
        <v>0</v>
      </c>
      <c r="M49" s="828">
        <f t="shared" ca="1" si="49"/>
        <v>0</v>
      </c>
      <c r="N49" s="828">
        <f t="shared" ca="1" si="49"/>
        <v>0</v>
      </c>
      <c r="O49" s="828">
        <f t="shared" ca="1" si="49"/>
        <v>0</v>
      </c>
      <c r="P49" s="828">
        <f ca="1">SUM(SUMIFS(OFFSET(貼付け_2024実績,$A49,9,1,199),OFFSET(貼付け_2024実績,4,9,1,199),{"横浜*","川崎*"}))</f>
        <v>0</v>
      </c>
      <c r="Q49" s="828">
        <f ca="1">SUM(SUMIFS(OFFSET(貼付け_2025実績,$A49,9,1,199),OFFSET(貼付け_2025実績,4,9,1,199),{"横浜*","川崎*"}))</f>
        <v>0</v>
      </c>
      <c r="R49" s="828">
        <f ca="1">SUM(SUMIFS(OFFSET(貼付け_2026実績,$A49,9,1,199),OFFSET(貼付け_2026実績,4,9,1,199),{"横浜*","川崎*"}))</f>
        <v>0</v>
      </c>
      <c r="S49" s="828">
        <f ca="1">SUM(SUMIFS(OFFSET(貼付け_2027実績,$A49,9,1,199),OFFSET(貼付け_2027実績,4,9,1,199),{"横浜*","川崎*"}))</f>
        <v>0</v>
      </c>
      <c r="T49" s="828">
        <f t="shared" ca="1" si="50"/>
        <v>0</v>
      </c>
      <c r="U49" s="828">
        <f t="shared" ca="1" si="50"/>
        <v>0</v>
      </c>
      <c r="V49" s="828">
        <f t="shared" ca="1" si="50"/>
        <v>0</v>
      </c>
      <c r="W49" s="828">
        <f t="shared" ca="1" si="50"/>
        <v>0</v>
      </c>
      <c r="X49" s="828">
        <f t="shared" ca="1" si="56"/>
        <v>0</v>
      </c>
      <c r="Y49" s="828">
        <f t="shared" ca="1" si="57"/>
        <v>0</v>
      </c>
      <c r="Z49" s="828">
        <f t="shared" ca="1" si="58"/>
        <v>0</v>
      </c>
      <c r="AA49" s="828">
        <f t="shared" ca="1" si="59"/>
        <v>0</v>
      </c>
      <c r="AB49" s="828" t="str">
        <f t="shared" ca="1" si="60"/>
        <v/>
      </c>
      <c r="AC49" s="828" t="str">
        <f t="shared" ca="1" si="61"/>
        <v/>
      </c>
      <c r="AD49" s="828" t="str">
        <f t="shared" ca="1" si="62"/>
        <v/>
      </c>
      <c r="AE49" s="828" t="str">
        <f t="shared" ca="1" si="63"/>
        <v/>
      </c>
      <c r="AF49" s="828" t="str">
        <f t="shared" ca="1" si="64"/>
        <v/>
      </c>
      <c r="AG49" s="828" t="str">
        <f t="shared" ca="1" si="65"/>
        <v/>
      </c>
      <c r="AH49" s="828" t="str">
        <f t="shared" ca="1" si="66"/>
        <v/>
      </c>
      <c r="AI49" s="828" t="str">
        <f t="shared" ca="1" si="67"/>
        <v/>
      </c>
      <c r="AJ49" s="828" t="str">
        <f t="shared" ca="1" si="68"/>
        <v/>
      </c>
      <c r="AK49" s="828" t="str">
        <f t="shared" ca="1" si="69"/>
        <v/>
      </c>
      <c r="AL49" s="828" t="str">
        <f t="shared" ca="1" si="70"/>
        <v/>
      </c>
      <c r="AM49" s="828" t="str">
        <f t="shared" ca="1" si="71"/>
        <v/>
      </c>
      <c r="AN49" s="828" t="str">
        <f t="shared" ca="1" si="72"/>
        <v/>
      </c>
      <c r="AO49" s="828" t="str">
        <f t="shared" ca="1" si="73"/>
        <v/>
      </c>
      <c r="AP49" s="828" t="str">
        <f t="shared" ca="1" si="74"/>
        <v/>
      </c>
      <c r="AQ49" s="828" t="str">
        <f t="shared" ca="1" si="75"/>
        <v/>
      </c>
      <c r="AR49" s="828" t="str">
        <f t="shared" ca="1" si="76"/>
        <v/>
      </c>
      <c r="AS49" s="828" t="str">
        <f t="shared" ca="1" si="77"/>
        <v/>
      </c>
      <c r="AT49" s="828" t="str">
        <f t="shared" ca="1" si="78"/>
        <v/>
      </c>
      <c r="AU49" s="828" t="str">
        <f t="shared" ca="1" si="79"/>
        <v/>
      </c>
      <c r="AV49" s="828" t="str">
        <f t="shared" ca="1" si="80"/>
        <v/>
      </c>
      <c r="AW49" s="828" t="str">
        <f t="shared" ca="1" si="81"/>
        <v/>
      </c>
      <c r="AX49" s="828" t="str">
        <f t="shared" ca="1" si="82"/>
        <v/>
      </c>
      <c r="AY49" s="828" t="str">
        <f t="shared" ca="1" si="83"/>
        <v/>
      </c>
      <c r="AZ49" s="828" t="str">
        <f t="shared" ca="1" si="84"/>
        <v/>
      </c>
      <c r="BA49" s="828" t="str">
        <f t="shared" ca="1" si="85"/>
        <v/>
      </c>
      <c r="BB49" s="828" t="str">
        <f t="shared" ca="1" si="86"/>
        <v/>
      </c>
      <c r="BC49" s="828" t="str">
        <f t="shared" ca="1" si="87"/>
        <v/>
      </c>
      <c r="BD49" s="828" t="str">
        <f t="shared" ca="1" si="88"/>
        <v/>
      </c>
      <c r="BE49" s="828" t="str">
        <f t="shared" ca="1" si="89"/>
        <v/>
      </c>
      <c r="BF49" s="828" t="str">
        <f t="shared" ca="1" si="90"/>
        <v/>
      </c>
      <c r="BG49" s="828" t="str">
        <f t="shared" ca="1" si="91"/>
        <v/>
      </c>
      <c r="BH49" s="828" t="str">
        <f t="shared" ca="1" si="92"/>
        <v/>
      </c>
      <c r="BI49" s="828" t="str">
        <f t="shared" ca="1" si="93"/>
        <v/>
      </c>
      <c r="BJ49" s="828" t="str">
        <f t="shared" ca="1" si="94"/>
        <v/>
      </c>
      <c r="BK49" s="828" t="str">
        <f t="shared" ca="1" si="95"/>
        <v/>
      </c>
      <c r="BL49" s="828" t="str">
        <f t="shared" ca="1" si="96"/>
        <v/>
      </c>
      <c r="BM49" s="828" t="str">
        <f t="shared" ca="1" si="97"/>
        <v/>
      </c>
      <c r="BN49" s="828" t="str">
        <f t="shared" ca="1" si="98"/>
        <v/>
      </c>
      <c r="BO49" s="828" t="str">
        <f t="shared" ca="1" si="99"/>
        <v/>
      </c>
    </row>
    <row r="50" spans="1:68" ht="20.100000000000001" customHeight="1">
      <c r="A50" s="823">
        <v>49</v>
      </c>
      <c r="B50" s="1871"/>
      <c r="C50" s="1872"/>
      <c r="D50" s="832" t="s">
        <v>4414</v>
      </c>
      <c r="E50" s="824"/>
      <c r="F50" s="825"/>
      <c r="G50" s="826" t="s">
        <v>4144</v>
      </c>
      <c r="H50" s="827">
        <f t="shared" ca="1" si="52"/>
        <v>40.200000000000003</v>
      </c>
      <c r="I50" s="827">
        <f t="shared" ca="1" si="53"/>
        <v>40.200000000000003</v>
      </c>
      <c r="J50" s="827">
        <f t="shared" ca="1" si="54"/>
        <v>40.200000000000003</v>
      </c>
      <c r="K50" s="827">
        <f t="shared" ca="1" si="55"/>
        <v>40.200000000000003</v>
      </c>
      <c r="L50" s="828">
        <f t="shared" ca="1" si="49"/>
        <v>0</v>
      </c>
      <c r="M50" s="828">
        <f t="shared" ca="1" si="49"/>
        <v>0</v>
      </c>
      <c r="N50" s="828">
        <f t="shared" ca="1" si="49"/>
        <v>0</v>
      </c>
      <c r="O50" s="828">
        <f t="shared" ca="1" si="49"/>
        <v>0</v>
      </c>
      <c r="P50" s="828">
        <f ca="1">SUM(SUMIFS(OFFSET(貼付け_2024実績,$A50,9,1,199),OFFSET(貼付け_2024実績,4,9,1,199),{"横浜*","川崎*"}))</f>
        <v>0</v>
      </c>
      <c r="Q50" s="828">
        <f ca="1">SUM(SUMIFS(OFFSET(貼付け_2025実績,$A50,9,1,199),OFFSET(貼付け_2025実績,4,9,1,199),{"横浜*","川崎*"}))</f>
        <v>0</v>
      </c>
      <c r="R50" s="828">
        <f ca="1">SUM(SUMIFS(OFFSET(貼付け_2026実績,$A50,9,1,199),OFFSET(貼付け_2026実績,4,9,1,199),{"横浜*","川崎*"}))</f>
        <v>0</v>
      </c>
      <c r="S50" s="828">
        <f ca="1">SUM(SUMIFS(OFFSET(貼付け_2027実績,$A50,9,1,199),OFFSET(貼付け_2027実績,4,9,1,199),{"横浜*","川崎*"}))</f>
        <v>0</v>
      </c>
      <c r="T50" s="828">
        <f t="shared" ca="1" si="50"/>
        <v>0</v>
      </c>
      <c r="U50" s="828">
        <f t="shared" ca="1" si="50"/>
        <v>0</v>
      </c>
      <c r="V50" s="828">
        <f t="shared" ca="1" si="50"/>
        <v>0</v>
      </c>
      <c r="W50" s="828">
        <f t="shared" ca="1" si="50"/>
        <v>0</v>
      </c>
      <c r="X50" s="828">
        <f t="shared" ca="1" si="56"/>
        <v>0</v>
      </c>
      <c r="Y50" s="828">
        <f t="shared" ca="1" si="57"/>
        <v>0</v>
      </c>
      <c r="Z50" s="828">
        <f t="shared" ca="1" si="58"/>
        <v>0</v>
      </c>
      <c r="AA50" s="828">
        <f t="shared" ca="1" si="59"/>
        <v>0</v>
      </c>
      <c r="AB50" s="828" t="str">
        <f t="shared" ca="1" si="60"/>
        <v/>
      </c>
      <c r="AC50" s="828" t="str">
        <f t="shared" ca="1" si="61"/>
        <v/>
      </c>
      <c r="AD50" s="828" t="str">
        <f t="shared" ca="1" si="62"/>
        <v/>
      </c>
      <c r="AE50" s="828" t="str">
        <f t="shared" ca="1" si="63"/>
        <v/>
      </c>
      <c r="AF50" s="828" t="str">
        <f t="shared" ca="1" si="64"/>
        <v/>
      </c>
      <c r="AG50" s="828" t="str">
        <f t="shared" ca="1" si="65"/>
        <v/>
      </c>
      <c r="AH50" s="828" t="str">
        <f t="shared" ca="1" si="66"/>
        <v/>
      </c>
      <c r="AI50" s="828" t="str">
        <f t="shared" ca="1" si="67"/>
        <v/>
      </c>
      <c r="AJ50" s="828" t="str">
        <f t="shared" ca="1" si="68"/>
        <v/>
      </c>
      <c r="AK50" s="828" t="str">
        <f t="shared" ca="1" si="69"/>
        <v/>
      </c>
      <c r="AL50" s="828" t="str">
        <f t="shared" ca="1" si="70"/>
        <v/>
      </c>
      <c r="AM50" s="828" t="str">
        <f t="shared" ca="1" si="71"/>
        <v/>
      </c>
      <c r="AN50" s="828" t="str">
        <f t="shared" ca="1" si="72"/>
        <v/>
      </c>
      <c r="AO50" s="828" t="str">
        <f t="shared" ca="1" si="73"/>
        <v/>
      </c>
      <c r="AP50" s="828" t="str">
        <f t="shared" ca="1" si="74"/>
        <v/>
      </c>
      <c r="AQ50" s="828" t="str">
        <f t="shared" ca="1" si="75"/>
        <v/>
      </c>
      <c r="AR50" s="828" t="str">
        <f t="shared" ca="1" si="76"/>
        <v/>
      </c>
      <c r="AS50" s="828" t="str">
        <f t="shared" ca="1" si="77"/>
        <v/>
      </c>
      <c r="AT50" s="828" t="str">
        <f t="shared" ca="1" si="78"/>
        <v/>
      </c>
      <c r="AU50" s="828" t="str">
        <f t="shared" ca="1" si="79"/>
        <v/>
      </c>
      <c r="AV50" s="828" t="str">
        <f t="shared" ca="1" si="80"/>
        <v/>
      </c>
      <c r="AW50" s="828" t="str">
        <f t="shared" ca="1" si="81"/>
        <v/>
      </c>
      <c r="AX50" s="828" t="str">
        <f t="shared" ca="1" si="82"/>
        <v/>
      </c>
      <c r="AY50" s="828" t="str">
        <f t="shared" ca="1" si="83"/>
        <v/>
      </c>
      <c r="AZ50" s="828" t="str">
        <f t="shared" ca="1" si="84"/>
        <v/>
      </c>
      <c r="BA50" s="828" t="str">
        <f t="shared" ca="1" si="85"/>
        <v/>
      </c>
      <c r="BB50" s="828" t="str">
        <f t="shared" ca="1" si="86"/>
        <v/>
      </c>
      <c r="BC50" s="828" t="str">
        <f t="shared" ca="1" si="87"/>
        <v/>
      </c>
      <c r="BD50" s="828" t="str">
        <f t="shared" ca="1" si="88"/>
        <v/>
      </c>
      <c r="BE50" s="828" t="str">
        <f t="shared" ca="1" si="89"/>
        <v/>
      </c>
      <c r="BF50" s="828" t="str">
        <f t="shared" ca="1" si="90"/>
        <v/>
      </c>
      <c r="BG50" s="828" t="str">
        <f t="shared" ca="1" si="91"/>
        <v/>
      </c>
      <c r="BH50" s="828" t="str">
        <f t="shared" ca="1" si="92"/>
        <v/>
      </c>
      <c r="BI50" s="828" t="str">
        <f t="shared" ca="1" si="93"/>
        <v/>
      </c>
      <c r="BJ50" s="828" t="str">
        <f t="shared" ca="1" si="94"/>
        <v/>
      </c>
      <c r="BK50" s="828" t="str">
        <f t="shared" ca="1" si="95"/>
        <v/>
      </c>
      <c r="BL50" s="828" t="str">
        <f t="shared" ca="1" si="96"/>
        <v/>
      </c>
      <c r="BM50" s="828" t="str">
        <f t="shared" ca="1" si="97"/>
        <v/>
      </c>
      <c r="BN50" s="828" t="str">
        <f t="shared" ca="1" si="98"/>
        <v/>
      </c>
      <c r="BO50" s="828" t="str">
        <f t="shared" ca="1" si="99"/>
        <v/>
      </c>
    </row>
    <row r="51" spans="1:68" ht="20.100000000000001" customHeight="1">
      <c r="A51" s="823">
        <v>50</v>
      </c>
      <c r="B51" s="1870"/>
      <c r="C51" s="1872"/>
      <c r="D51" s="824" t="s">
        <v>4415</v>
      </c>
      <c r="E51" s="824"/>
      <c r="F51" s="825"/>
      <c r="G51" s="826" t="s">
        <v>4158</v>
      </c>
      <c r="H51" s="827">
        <f t="shared" ca="1" si="52"/>
        <v>21.2</v>
      </c>
      <c r="I51" s="827">
        <f t="shared" ca="1" si="53"/>
        <v>21.2</v>
      </c>
      <c r="J51" s="827">
        <f t="shared" ca="1" si="54"/>
        <v>21.2</v>
      </c>
      <c r="K51" s="827">
        <f t="shared" ca="1" si="55"/>
        <v>21.2</v>
      </c>
      <c r="L51" s="828">
        <f t="shared" ca="1" si="49"/>
        <v>0</v>
      </c>
      <c r="M51" s="828">
        <f t="shared" ca="1" si="49"/>
        <v>0</v>
      </c>
      <c r="N51" s="828">
        <f t="shared" ca="1" si="49"/>
        <v>0</v>
      </c>
      <c r="O51" s="828">
        <f t="shared" ca="1" si="49"/>
        <v>0</v>
      </c>
      <c r="P51" s="828">
        <f ca="1">SUM(SUMIFS(OFFSET(貼付け_2024実績,$A51,9,1,199),OFFSET(貼付け_2024実績,4,9,1,199),{"横浜*","川崎*"}))</f>
        <v>0</v>
      </c>
      <c r="Q51" s="828">
        <f ca="1">SUM(SUMIFS(OFFSET(貼付け_2025実績,$A51,9,1,199),OFFSET(貼付け_2025実績,4,9,1,199),{"横浜*","川崎*"}))</f>
        <v>0</v>
      </c>
      <c r="R51" s="828">
        <f ca="1">SUM(SUMIFS(OFFSET(貼付け_2026実績,$A51,9,1,199),OFFSET(貼付け_2026実績,4,9,1,199),{"横浜*","川崎*"}))</f>
        <v>0</v>
      </c>
      <c r="S51" s="828">
        <f ca="1">SUM(SUMIFS(OFFSET(貼付け_2027実績,$A51,9,1,199),OFFSET(貼付け_2027実績,4,9,1,199),{"横浜*","川崎*"}))</f>
        <v>0</v>
      </c>
      <c r="T51" s="828">
        <f t="shared" ca="1" si="50"/>
        <v>0</v>
      </c>
      <c r="U51" s="828">
        <f t="shared" ca="1" si="50"/>
        <v>0</v>
      </c>
      <c r="V51" s="828">
        <f t="shared" ca="1" si="50"/>
        <v>0</v>
      </c>
      <c r="W51" s="828">
        <f t="shared" ca="1" si="50"/>
        <v>0</v>
      </c>
      <c r="X51" s="828">
        <f t="shared" ca="1" si="56"/>
        <v>0</v>
      </c>
      <c r="Y51" s="828">
        <f t="shared" ca="1" si="57"/>
        <v>0</v>
      </c>
      <c r="Z51" s="828">
        <f t="shared" ca="1" si="58"/>
        <v>0</v>
      </c>
      <c r="AA51" s="828">
        <f t="shared" ca="1" si="59"/>
        <v>0</v>
      </c>
      <c r="AB51" s="828" t="str">
        <f t="shared" ca="1" si="60"/>
        <v/>
      </c>
      <c r="AC51" s="828" t="str">
        <f t="shared" ca="1" si="61"/>
        <v/>
      </c>
      <c r="AD51" s="828" t="str">
        <f t="shared" ca="1" si="62"/>
        <v/>
      </c>
      <c r="AE51" s="828" t="str">
        <f t="shared" ca="1" si="63"/>
        <v/>
      </c>
      <c r="AF51" s="828" t="str">
        <f t="shared" ca="1" si="64"/>
        <v/>
      </c>
      <c r="AG51" s="828" t="str">
        <f t="shared" ca="1" si="65"/>
        <v/>
      </c>
      <c r="AH51" s="828" t="str">
        <f t="shared" ca="1" si="66"/>
        <v/>
      </c>
      <c r="AI51" s="828" t="str">
        <f t="shared" ca="1" si="67"/>
        <v/>
      </c>
      <c r="AJ51" s="828" t="str">
        <f t="shared" ca="1" si="68"/>
        <v/>
      </c>
      <c r="AK51" s="828" t="str">
        <f t="shared" ca="1" si="69"/>
        <v/>
      </c>
      <c r="AL51" s="828" t="str">
        <f t="shared" ca="1" si="70"/>
        <v/>
      </c>
      <c r="AM51" s="828" t="str">
        <f t="shared" ca="1" si="71"/>
        <v/>
      </c>
      <c r="AN51" s="828" t="str">
        <f t="shared" ca="1" si="72"/>
        <v/>
      </c>
      <c r="AO51" s="828" t="str">
        <f t="shared" ca="1" si="73"/>
        <v/>
      </c>
      <c r="AP51" s="828" t="str">
        <f t="shared" ca="1" si="74"/>
        <v/>
      </c>
      <c r="AQ51" s="828" t="str">
        <f t="shared" ca="1" si="75"/>
        <v/>
      </c>
      <c r="AR51" s="828" t="str">
        <f t="shared" ca="1" si="76"/>
        <v/>
      </c>
      <c r="AS51" s="828" t="str">
        <f t="shared" ca="1" si="77"/>
        <v/>
      </c>
      <c r="AT51" s="828" t="str">
        <f t="shared" ca="1" si="78"/>
        <v/>
      </c>
      <c r="AU51" s="828" t="str">
        <f t="shared" ca="1" si="79"/>
        <v/>
      </c>
      <c r="AV51" s="828" t="str">
        <f t="shared" ca="1" si="80"/>
        <v/>
      </c>
      <c r="AW51" s="828" t="str">
        <f t="shared" ca="1" si="81"/>
        <v/>
      </c>
      <c r="AX51" s="828" t="str">
        <f t="shared" ca="1" si="82"/>
        <v/>
      </c>
      <c r="AY51" s="828" t="str">
        <f t="shared" ca="1" si="83"/>
        <v/>
      </c>
      <c r="AZ51" s="828" t="str">
        <f t="shared" ca="1" si="84"/>
        <v/>
      </c>
      <c r="BA51" s="828" t="str">
        <f t="shared" ca="1" si="85"/>
        <v/>
      </c>
      <c r="BB51" s="828" t="str">
        <f t="shared" ca="1" si="86"/>
        <v/>
      </c>
      <c r="BC51" s="828" t="str">
        <f t="shared" ca="1" si="87"/>
        <v/>
      </c>
      <c r="BD51" s="828" t="str">
        <f t="shared" ca="1" si="88"/>
        <v/>
      </c>
      <c r="BE51" s="828" t="str">
        <f t="shared" ca="1" si="89"/>
        <v/>
      </c>
      <c r="BF51" s="828" t="str">
        <f t="shared" ca="1" si="90"/>
        <v/>
      </c>
      <c r="BG51" s="828" t="str">
        <f t="shared" ca="1" si="91"/>
        <v/>
      </c>
      <c r="BH51" s="828" t="str">
        <f t="shared" ca="1" si="92"/>
        <v/>
      </c>
      <c r="BI51" s="828" t="str">
        <f t="shared" ca="1" si="93"/>
        <v/>
      </c>
      <c r="BJ51" s="828" t="str">
        <f t="shared" ca="1" si="94"/>
        <v/>
      </c>
      <c r="BK51" s="828" t="str">
        <f t="shared" ca="1" si="95"/>
        <v/>
      </c>
      <c r="BL51" s="828" t="str">
        <f t="shared" ca="1" si="96"/>
        <v/>
      </c>
      <c r="BM51" s="828" t="str">
        <f t="shared" ca="1" si="97"/>
        <v/>
      </c>
      <c r="BN51" s="828" t="str">
        <f t="shared" ca="1" si="98"/>
        <v/>
      </c>
      <c r="BO51" s="828" t="str">
        <f t="shared" ca="1" si="99"/>
        <v/>
      </c>
    </row>
    <row r="52" spans="1:68" ht="20.100000000000001" customHeight="1">
      <c r="A52" s="823">
        <v>51</v>
      </c>
      <c r="B52" s="1870"/>
      <c r="C52" s="1872"/>
      <c r="D52" s="824" t="s">
        <v>4416</v>
      </c>
      <c r="E52" s="824"/>
      <c r="F52" s="825"/>
      <c r="G52" s="826" t="s">
        <v>3777</v>
      </c>
      <c r="H52" s="827">
        <f t="shared" ca="1" si="52"/>
        <v>17.100000000000001</v>
      </c>
      <c r="I52" s="827">
        <f t="shared" ca="1" si="53"/>
        <v>17.100000000000001</v>
      </c>
      <c r="J52" s="827">
        <f t="shared" ca="1" si="54"/>
        <v>17.100000000000001</v>
      </c>
      <c r="K52" s="827">
        <f t="shared" ca="1" si="55"/>
        <v>17.100000000000001</v>
      </c>
      <c r="L52" s="828">
        <f t="shared" ca="1" si="49"/>
        <v>0</v>
      </c>
      <c r="M52" s="828">
        <f t="shared" ca="1" si="49"/>
        <v>0</v>
      </c>
      <c r="N52" s="828">
        <f t="shared" ca="1" si="49"/>
        <v>0</v>
      </c>
      <c r="O52" s="828">
        <f t="shared" ca="1" si="49"/>
        <v>0</v>
      </c>
      <c r="P52" s="828">
        <f ca="1">SUM(SUMIFS(OFFSET(貼付け_2024実績,$A52,9,1,199),OFFSET(貼付け_2024実績,4,9,1,199),{"横浜*","川崎*"}))</f>
        <v>0</v>
      </c>
      <c r="Q52" s="828">
        <f ca="1">SUM(SUMIFS(OFFSET(貼付け_2025実績,$A52,9,1,199),OFFSET(貼付け_2025実績,4,9,1,199),{"横浜*","川崎*"}))</f>
        <v>0</v>
      </c>
      <c r="R52" s="828">
        <f ca="1">SUM(SUMIFS(OFFSET(貼付け_2026実績,$A52,9,1,199),OFFSET(貼付け_2026実績,4,9,1,199),{"横浜*","川崎*"}))</f>
        <v>0</v>
      </c>
      <c r="S52" s="828">
        <f ca="1">SUM(SUMIFS(OFFSET(貼付け_2027実績,$A52,9,1,199),OFFSET(貼付け_2027実績,4,9,1,199),{"横浜*","川崎*"}))</f>
        <v>0</v>
      </c>
      <c r="T52" s="828">
        <f t="shared" ca="1" si="50"/>
        <v>0</v>
      </c>
      <c r="U52" s="828">
        <f t="shared" ca="1" si="50"/>
        <v>0</v>
      </c>
      <c r="V52" s="828">
        <f t="shared" ca="1" si="50"/>
        <v>0</v>
      </c>
      <c r="W52" s="828">
        <f t="shared" ca="1" si="50"/>
        <v>0</v>
      </c>
      <c r="X52" s="828">
        <f t="shared" ca="1" si="56"/>
        <v>0</v>
      </c>
      <c r="Y52" s="828">
        <f t="shared" ca="1" si="57"/>
        <v>0</v>
      </c>
      <c r="Z52" s="828">
        <f t="shared" ca="1" si="58"/>
        <v>0</v>
      </c>
      <c r="AA52" s="828">
        <f t="shared" ca="1" si="59"/>
        <v>0</v>
      </c>
      <c r="AB52" s="828" t="str">
        <f t="shared" ca="1" si="60"/>
        <v/>
      </c>
      <c r="AC52" s="828" t="str">
        <f t="shared" ca="1" si="61"/>
        <v/>
      </c>
      <c r="AD52" s="828" t="str">
        <f t="shared" ca="1" si="62"/>
        <v/>
      </c>
      <c r="AE52" s="828" t="str">
        <f t="shared" ca="1" si="63"/>
        <v/>
      </c>
      <c r="AF52" s="828" t="str">
        <f t="shared" ca="1" si="64"/>
        <v/>
      </c>
      <c r="AG52" s="828" t="str">
        <f t="shared" ca="1" si="65"/>
        <v/>
      </c>
      <c r="AH52" s="828" t="str">
        <f t="shared" ca="1" si="66"/>
        <v/>
      </c>
      <c r="AI52" s="828" t="str">
        <f t="shared" ca="1" si="67"/>
        <v/>
      </c>
      <c r="AJ52" s="828" t="str">
        <f t="shared" ca="1" si="68"/>
        <v/>
      </c>
      <c r="AK52" s="828" t="str">
        <f t="shared" ca="1" si="69"/>
        <v/>
      </c>
      <c r="AL52" s="828" t="str">
        <f t="shared" ca="1" si="70"/>
        <v/>
      </c>
      <c r="AM52" s="828" t="str">
        <f t="shared" ca="1" si="71"/>
        <v/>
      </c>
      <c r="AN52" s="828" t="str">
        <f t="shared" ca="1" si="72"/>
        <v/>
      </c>
      <c r="AO52" s="828" t="str">
        <f t="shared" ca="1" si="73"/>
        <v/>
      </c>
      <c r="AP52" s="828" t="str">
        <f t="shared" ca="1" si="74"/>
        <v/>
      </c>
      <c r="AQ52" s="828" t="str">
        <f t="shared" ca="1" si="75"/>
        <v/>
      </c>
      <c r="AR52" s="828" t="str">
        <f t="shared" ca="1" si="76"/>
        <v/>
      </c>
      <c r="AS52" s="828" t="str">
        <f t="shared" ca="1" si="77"/>
        <v/>
      </c>
      <c r="AT52" s="828" t="str">
        <f t="shared" ca="1" si="78"/>
        <v/>
      </c>
      <c r="AU52" s="828" t="str">
        <f t="shared" ca="1" si="79"/>
        <v/>
      </c>
      <c r="AV52" s="828" t="str">
        <f t="shared" ca="1" si="80"/>
        <v/>
      </c>
      <c r="AW52" s="828" t="str">
        <f t="shared" ca="1" si="81"/>
        <v/>
      </c>
      <c r="AX52" s="828" t="str">
        <f t="shared" ca="1" si="82"/>
        <v/>
      </c>
      <c r="AY52" s="828" t="str">
        <f t="shared" ca="1" si="83"/>
        <v/>
      </c>
      <c r="AZ52" s="828" t="str">
        <f t="shared" ca="1" si="84"/>
        <v/>
      </c>
      <c r="BA52" s="828" t="str">
        <f t="shared" ca="1" si="85"/>
        <v/>
      </c>
      <c r="BB52" s="828" t="str">
        <f t="shared" ca="1" si="86"/>
        <v/>
      </c>
      <c r="BC52" s="828" t="str">
        <f t="shared" ca="1" si="87"/>
        <v/>
      </c>
      <c r="BD52" s="828" t="str">
        <f t="shared" ca="1" si="88"/>
        <v/>
      </c>
      <c r="BE52" s="828" t="str">
        <f t="shared" ca="1" si="89"/>
        <v/>
      </c>
      <c r="BF52" s="828" t="str">
        <f t="shared" ca="1" si="90"/>
        <v/>
      </c>
      <c r="BG52" s="828" t="str">
        <f t="shared" ca="1" si="91"/>
        <v/>
      </c>
      <c r="BH52" s="828" t="str">
        <f t="shared" ca="1" si="92"/>
        <v/>
      </c>
      <c r="BI52" s="828" t="str">
        <f t="shared" ca="1" si="93"/>
        <v/>
      </c>
      <c r="BJ52" s="828" t="str">
        <f t="shared" ca="1" si="94"/>
        <v/>
      </c>
      <c r="BK52" s="828" t="str">
        <f t="shared" ca="1" si="95"/>
        <v/>
      </c>
      <c r="BL52" s="828" t="str">
        <f t="shared" ca="1" si="96"/>
        <v/>
      </c>
      <c r="BM52" s="828" t="str">
        <f t="shared" ca="1" si="97"/>
        <v/>
      </c>
      <c r="BN52" s="828" t="str">
        <f t="shared" ca="1" si="98"/>
        <v/>
      </c>
      <c r="BO52" s="828" t="str">
        <f t="shared" ca="1" si="99"/>
        <v/>
      </c>
    </row>
    <row r="53" spans="1:68" ht="20.100000000000001" customHeight="1">
      <c r="A53" s="823">
        <v>52</v>
      </c>
      <c r="B53" s="1870"/>
      <c r="C53" s="1872"/>
      <c r="D53" s="824" t="s">
        <v>4417</v>
      </c>
      <c r="E53" s="824"/>
      <c r="F53" s="825"/>
      <c r="G53" s="826" t="s">
        <v>3777</v>
      </c>
      <c r="H53" s="827">
        <f t="shared" ca="1" si="52"/>
        <v>142</v>
      </c>
      <c r="I53" s="827">
        <f t="shared" ca="1" si="53"/>
        <v>142</v>
      </c>
      <c r="J53" s="827">
        <f t="shared" ca="1" si="54"/>
        <v>142</v>
      </c>
      <c r="K53" s="827">
        <f t="shared" ca="1" si="55"/>
        <v>142</v>
      </c>
      <c r="L53" s="828">
        <f t="shared" ca="1" si="49"/>
        <v>0</v>
      </c>
      <c r="M53" s="828">
        <f t="shared" ca="1" si="49"/>
        <v>0</v>
      </c>
      <c r="N53" s="828">
        <f t="shared" ca="1" si="49"/>
        <v>0</v>
      </c>
      <c r="O53" s="828">
        <f t="shared" ca="1" si="49"/>
        <v>0</v>
      </c>
      <c r="P53" s="828">
        <f ca="1">SUM(SUMIFS(OFFSET(貼付け_2024実績,$A53,9,1,199),OFFSET(貼付け_2024実績,4,9,1,199),{"横浜*","川崎*"}))</f>
        <v>0</v>
      </c>
      <c r="Q53" s="828">
        <f ca="1">SUM(SUMIFS(OFFSET(貼付け_2025実績,$A53,9,1,199),OFFSET(貼付け_2025実績,4,9,1,199),{"横浜*","川崎*"}))</f>
        <v>0</v>
      </c>
      <c r="R53" s="828">
        <f ca="1">SUM(SUMIFS(OFFSET(貼付け_2026実績,$A53,9,1,199),OFFSET(貼付け_2026実績,4,9,1,199),{"横浜*","川崎*"}))</f>
        <v>0</v>
      </c>
      <c r="S53" s="828">
        <f ca="1">SUM(SUMIFS(OFFSET(貼付け_2027実績,$A53,9,1,199),OFFSET(貼付け_2027実績,4,9,1,199),{"横浜*","川崎*"}))</f>
        <v>0</v>
      </c>
      <c r="T53" s="828">
        <f t="shared" ca="1" si="50"/>
        <v>0</v>
      </c>
      <c r="U53" s="828">
        <f t="shared" ca="1" si="50"/>
        <v>0</v>
      </c>
      <c r="V53" s="828">
        <f t="shared" ca="1" si="50"/>
        <v>0</v>
      </c>
      <c r="W53" s="828">
        <f t="shared" ca="1" si="50"/>
        <v>0</v>
      </c>
      <c r="X53" s="828">
        <f t="shared" ca="1" si="56"/>
        <v>0</v>
      </c>
      <c r="Y53" s="828">
        <f t="shared" ca="1" si="57"/>
        <v>0</v>
      </c>
      <c r="Z53" s="828">
        <f t="shared" ca="1" si="58"/>
        <v>0</v>
      </c>
      <c r="AA53" s="828">
        <f t="shared" ca="1" si="59"/>
        <v>0</v>
      </c>
      <c r="AB53" s="828" t="str">
        <f t="shared" ca="1" si="60"/>
        <v/>
      </c>
      <c r="AC53" s="828" t="str">
        <f t="shared" ca="1" si="61"/>
        <v/>
      </c>
      <c r="AD53" s="828" t="str">
        <f t="shared" ca="1" si="62"/>
        <v/>
      </c>
      <c r="AE53" s="828" t="str">
        <f t="shared" ca="1" si="63"/>
        <v/>
      </c>
      <c r="AF53" s="828" t="str">
        <f t="shared" ca="1" si="64"/>
        <v/>
      </c>
      <c r="AG53" s="828" t="str">
        <f t="shared" ca="1" si="65"/>
        <v/>
      </c>
      <c r="AH53" s="828" t="str">
        <f t="shared" ca="1" si="66"/>
        <v/>
      </c>
      <c r="AI53" s="828" t="str">
        <f t="shared" ca="1" si="67"/>
        <v/>
      </c>
      <c r="AJ53" s="828" t="str">
        <f t="shared" ca="1" si="68"/>
        <v/>
      </c>
      <c r="AK53" s="828" t="str">
        <f t="shared" ca="1" si="69"/>
        <v/>
      </c>
      <c r="AL53" s="828" t="str">
        <f t="shared" ca="1" si="70"/>
        <v/>
      </c>
      <c r="AM53" s="828" t="str">
        <f t="shared" ca="1" si="71"/>
        <v/>
      </c>
      <c r="AN53" s="828" t="str">
        <f t="shared" ca="1" si="72"/>
        <v/>
      </c>
      <c r="AO53" s="828" t="str">
        <f t="shared" ca="1" si="73"/>
        <v/>
      </c>
      <c r="AP53" s="828" t="str">
        <f t="shared" ca="1" si="74"/>
        <v/>
      </c>
      <c r="AQ53" s="828" t="str">
        <f t="shared" ca="1" si="75"/>
        <v/>
      </c>
      <c r="AR53" s="828" t="str">
        <f t="shared" ca="1" si="76"/>
        <v/>
      </c>
      <c r="AS53" s="828" t="str">
        <f t="shared" ca="1" si="77"/>
        <v/>
      </c>
      <c r="AT53" s="828" t="str">
        <f t="shared" ca="1" si="78"/>
        <v/>
      </c>
      <c r="AU53" s="828" t="str">
        <f t="shared" ca="1" si="79"/>
        <v/>
      </c>
      <c r="AV53" s="828" t="str">
        <f t="shared" ca="1" si="80"/>
        <v/>
      </c>
      <c r="AW53" s="828" t="str">
        <f t="shared" ca="1" si="81"/>
        <v/>
      </c>
      <c r="AX53" s="828" t="str">
        <f t="shared" ca="1" si="82"/>
        <v/>
      </c>
      <c r="AY53" s="828" t="str">
        <f t="shared" ca="1" si="83"/>
        <v/>
      </c>
      <c r="AZ53" s="828" t="str">
        <f t="shared" ca="1" si="84"/>
        <v/>
      </c>
      <c r="BA53" s="828" t="str">
        <f t="shared" ca="1" si="85"/>
        <v/>
      </c>
      <c r="BB53" s="828" t="str">
        <f t="shared" ca="1" si="86"/>
        <v/>
      </c>
      <c r="BC53" s="828" t="str">
        <f t="shared" ca="1" si="87"/>
        <v/>
      </c>
      <c r="BD53" s="828" t="str">
        <f t="shared" ca="1" si="88"/>
        <v/>
      </c>
      <c r="BE53" s="828" t="str">
        <f t="shared" ca="1" si="89"/>
        <v/>
      </c>
      <c r="BF53" s="828" t="str">
        <f t="shared" ca="1" si="90"/>
        <v/>
      </c>
      <c r="BG53" s="828" t="str">
        <f t="shared" ca="1" si="91"/>
        <v/>
      </c>
      <c r="BH53" s="828" t="str">
        <f t="shared" ca="1" si="92"/>
        <v/>
      </c>
      <c r="BI53" s="828" t="str">
        <f t="shared" ca="1" si="93"/>
        <v/>
      </c>
      <c r="BJ53" s="828" t="str">
        <f t="shared" ca="1" si="94"/>
        <v/>
      </c>
      <c r="BK53" s="828" t="str">
        <f t="shared" ca="1" si="95"/>
        <v/>
      </c>
      <c r="BL53" s="828" t="str">
        <f t="shared" ca="1" si="96"/>
        <v/>
      </c>
      <c r="BM53" s="828" t="str">
        <f t="shared" ca="1" si="97"/>
        <v/>
      </c>
      <c r="BN53" s="828" t="str">
        <f t="shared" ca="1" si="98"/>
        <v/>
      </c>
      <c r="BO53" s="828" t="str">
        <f t="shared" ca="1" si="99"/>
        <v/>
      </c>
    </row>
    <row r="54" spans="1:68" ht="20.100000000000001" customHeight="1">
      <c r="A54" s="823">
        <v>53</v>
      </c>
      <c r="B54" s="1870"/>
      <c r="C54" s="1872"/>
      <c r="D54" s="824" t="s">
        <v>4192</v>
      </c>
      <c r="E54" s="824"/>
      <c r="F54" s="825"/>
      <c r="G54" s="826" t="s">
        <v>3777</v>
      </c>
      <c r="H54" s="827">
        <f t="shared" ca="1" si="52"/>
        <v>22.5</v>
      </c>
      <c r="I54" s="827">
        <f t="shared" ca="1" si="53"/>
        <v>22.5</v>
      </c>
      <c r="J54" s="827">
        <f t="shared" ca="1" si="54"/>
        <v>22.5</v>
      </c>
      <c r="K54" s="827">
        <f t="shared" ca="1" si="55"/>
        <v>22.5</v>
      </c>
      <c r="L54" s="828">
        <f t="shared" ca="1" si="49"/>
        <v>0</v>
      </c>
      <c r="M54" s="828">
        <f t="shared" ca="1" si="49"/>
        <v>0</v>
      </c>
      <c r="N54" s="828">
        <f t="shared" ca="1" si="49"/>
        <v>0</v>
      </c>
      <c r="O54" s="828">
        <f t="shared" ca="1" si="49"/>
        <v>0</v>
      </c>
      <c r="P54" s="828">
        <f ca="1">SUM(SUMIFS(OFFSET(貼付け_2024実績,$A54,9,1,199),OFFSET(貼付け_2024実績,4,9,1,199),{"横浜*","川崎*"}))</f>
        <v>0</v>
      </c>
      <c r="Q54" s="828">
        <f ca="1">SUM(SUMIFS(OFFSET(貼付け_2025実績,$A54,9,1,199),OFFSET(貼付け_2025実績,4,9,1,199),{"横浜*","川崎*"}))</f>
        <v>0</v>
      </c>
      <c r="R54" s="828">
        <f ca="1">SUM(SUMIFS(OFFSET(貼付け_2026実績,$A54,9,1,199),OFFSET(貼付け_2026実績,4,9,1,199),{"横浜*","川崎*"}))</f>
        <v>0</v>
      </c>
      <c r="S54" s="828">
        <f ca="1">SUM(SUMIFS(OFFSET(貼付け_2027実績,$A54,9,1,199),OFFSET(貼付け_2027実績,4,9,1,199),{"横浜*","川崎*"}))</f>
        <v>0</v>
      </c>
      <c r="T54" s="828">
        <f t="shared" ca="1" si="50"/>
        <v>0</v>
      </c>
      <c r="U54" s="828">
        <f t="shared" ca="1" si="50"/>
        <v>0</v>
      </c>
      <c r="V54" s="828">
        <f t="shared" ca="1" si="50"/>
        <v>0</v>
      </c>
      <c r="W54" s="828">
        <f t="shared" ca="1" si="50"/>
        <v>0</v>
      </c>
      <c r="X54" s="828">
        <f t="shared" ca="1" si="56"/>
        <v>0</v>
      </c>
      <c r="Y54" s="828">
        <f t="shared" ca="1" si="57"/>
        <v>0</v>
      </c>
      <c r="Z54" s="828">
        <f t="shared" ca="1" si="58"/>
        <v>0</v>
      </c>
      <c r="AA54" s="828">
        <f t="shared" ca="1" si="59"/>
        <v>0</v>
      </c>
      <c r="AB54" s="828" t="str">
        <f t="shared" ca="1" si="60"/>
        <v/>
      </c>
      <c r="AC54" s="828" t="str">
        <f t="shared" ca="1" si="61"/>
        <v/>
      </c>
      <c r="AD54" s="828" t="str">
        <f t="shared" ca="1" si="62"/>
        <v/>
      </c>
      <c r="AE54" s="828" t="str">
        <f t="shared" ca="1" si="63"/>
        <v/>
      </c>
      <c r="AF54" s="828" t="str">
        <f t="shared" ca="1" si="64"/>
        <v/>
      </c>
      <c r="AG54" s="828" t="str">
        <f t="shared" ca="1" si="65"/>
        <v/>
      </c>
      <c r="AH54" s="828" t="str">
        <f t="shared" ca="1" si="66"/>
        <v/>
      </c>
      <c r="AI54" s="828" t="str">
        <f t="shared" ca="1" si="67"/>
        <v/>
      </c>
      <c r="AJ54" s="828" t="str">
        <f t="shared" ca="1" si="68"/>
        <v/>
      </c>
      <c r="AK54" s="828" t="str">
        <f t="shared" ca="1" si="69"/>
        <v/>
      </c>
      <c r="AL54" s="828" t="str">
        <f t="shared" ca="1" si="70"/>
        <v/>
      </c>
      <c r="AM54" s="828" t="str">
        <f t="shared" ca="1" si="71"/>
        <v/>
      </c>
      <c r="AN54" s="828" t="str">
        <f t="shared" ca="1" si="72"/>
        <v/>
      </c>
      <c r="AO54" s="828" t="str">
        <f t="shared" ca="1" si="73"/>
        <v/>
      </c>
      <c r="AP54" s="828" t="str">
        <f t="shared" ca="1" si="74"/>
        <v/>
      </c>
      <c r="AQ54" s="828" t="str">
        <f t="shared" ca="1" si="75"/>
        <v/>
      </c>
      <c r="AR54" s="828" t="str">
        <f t="shared" ca="1" si="76"/>
        <v/>
      </c>
      <c r="AS54" s="828" t="str">
        <f t="shared" ca="1" si="77"/>
        <v/>
      </c>
      <c r="AT54" s="828" t="str">
        <f t="shared" ca="1" si="78"/>
        <v/>
      </c>
      <c r="AU54" s="828" t="str">
        <f t="shared" ca="1" si="79"/>
        <v/>
      </c>
      <c r="AV54" s="828" t="str">
        <f t="shared" ca="1" si="80"/>
        <v/>
      </c>
      <c r="AW54" s="828" t="str">
        <f t="shared" ca="1" si="81"/>
        <v/>
      </c>
      <c r="AX54" s="828" t="str">
        <f t="shared" ca="1" si="82"/>
        <v/>
      </c>
      <c r="AY54" s="828" t="str">
        <f t="shared" ca="1" si="83"/>
        <v/>
      </c>
      <c r="AZ54" s="828" t="str">
        <f t="shared" ca="1" si="84"/>
        <v/>
      </c>
      <c r="BA54" s="828" t="str">
        <f t="shared" ca="1" si="85"/>
        <v/>
      </c>
      <c r="BB54" s="828" t="str">
        <f t="shared" ca="1" si="86"/>
        <v/>
      </c>
      <c r="BC54" s="828" t="str">
        <f t="shared" ca="1" si="87"/>
        <v/>
      </c>
      <c r="BD54" s="828" t="str">
        <f t="shared" ca="1" si="88"/>
        <v/>
      </c>
      <c r="BE54" s="828" t="str">
        <f t="shared" ca="1" si="89"/>
        <v/>
      </c>
      <c r="BF54" s="828" t="str">
        <f t="shared" ca="1" si="90"/>
        <v/>
      </c>
      <c r="BG54" s="828" t="str">
        <f t="shared" ca="1" si="91"/>
        <v/>
      </c>
      <c r="BH54" s="828" t="str">
        <f t="shared" ca="1" si="92"/>
        <v/>
      </c>
      <c r="BI54" s="828" t="str">
        <f t="shared" ca="1" si="93"/>
        <v/>
      </c>
      <c r="BJ54" s="828" t="str">
        <f t="shared" ca="1" si="94"/>
        <v/>
      </c>
      <c r="BK54" s="828" t="str">
        <f t="shared" ca="1" si="95"/>
        <v/>
      </c>
      <c r="BL54" s="828" t="str">
        <f t="shared" ca="1" si="96"/>
        <v/>
      </c>
      <c r="BM54" s="828" t="str">
        <f t="shared" ca="1" si="97"/>
        <v/>
      </c>
      <c r="BN54" s="828" t="str">
        <f t="shared" ca="1" si="98"/>
        <v/>
      </c>
      <c r="BO54" s="828" t="str">
        <f t="shared" ca="1" si="99"/>
        <v/>
      </c>
    </row>
    <row r="55" spans="1:68" ht="20.100000000000001" customHeight="1">
      <c r="A55" s="823">
        <v>54</v>
      </c>
      <c r="B55" s="1870"/>
      <c r="C55" s="1872"/>
      <c r="D55" s="824" t="s">
        <v>4418</v>
      </c>
      <c r="E55" s="831" t="str">
        <f ca="1">OFFSET(A1_その他欄集計,5,7)</f>
        <v/>
      </c>
      <c r="F55" s="833"/>
      <c r="G55" s="826" t="str">
        <f ca="1">OFFSET(A1_その他欄集計,6,7)</f>
        <v/>
      </c>
      <c r="H55" s="827">
        <f t="shared" ca="1" si="52"/>
        <v>0</v>
      </c>
      <c r="I55" s="827">
        <f t="shared" ca="1" si="53"/>
        <v>0</v>
      </c>
      <c r="J55" s="827">
        <f t="shared" ca="1" si="54"/>
        <v>0</v>
      </c>
      <c r="K55" s="827">
        <f t="shared" ca="1" si="55"/>
        <v>0</v>
      </c>
      <c r="L55" s="828">
        <f t="shared" ca="1" si="49"/>
        <v>0</v>
      </c>
      <c r="M55" s="828">
        <f t="shared" ca="1" si="49"/>
        <v>0</v>
      </c>
      <c r="N55" s="828">
        <f t="shared" ca="1" si="49"/>
        <v>0</v>
      </c>
      <c r="O55" s="828">
        <f t="shared" ca="1" si="49"/>
        <v>0</v>
      </c>
      <c r="P55" s="828">
        <f ca="1">SUM(SUMIFS(OFFSET(貼付け_2024実績,$A55,9,1,199),OFFSET(貼付け_2024実績,4,9,1,199),{"横浜*","川崎*"}))</f>
        <v>0</v>
      </c>
      <c r="Q55" s="828">
        <f ca="1">SUM(SUMIFS(OFFSET(貼付け_2025実績,$A55,9,1,199),OFFSET(貼付け_2025実績,4,9,1,199),{"横浜*","川崎*"}))</f>
        <v>0</v>
      </c>
      <c r="R55" s="828">
        <f ca="1">SUM(SUMIFS(OFFSET(貼付け_2026実績,$A55,9,1,199),OFFSET(貼付け_2026実績,4,9,1,199),{"横浜*","川崎*"}))</f>
        <v>0</v>
      </c>
      <c r="S55" s="828">
        <f ca="1">SUM(SUMIFS(OFFSET(貼付け_2027実績,$A55,9,1,199),OFFSET(貼付け_2027実績,4,9,1,199),{"横浜*","川崎*"}))</f>
        <v>0</v>
      </c>
      <c r="T55" s="828">
        <f t="shared" ca="1" si="50"/>
        <v>0</v>
      </c>
      <c r="U55" s="828">
        <f t="shared" ca="1" si="50"/>
        <v>0</v>
      </c>
      <c r="V55" s="828">
        <f t="shared" ca="1" si="50"/>
        <v>0</v>
      </c>
      <c r="W55" s="828">
        <f t="shared" ca="1" si="50"/>
        <v>0</v>
      </c>
      <c r="X55" s="828">
        <f t="shared" ca="1" si="56"/>
        <v>0</v>
      </c>
      <c r="Y55" s="828">
        <f t="shared" ca="1" si="57"/>
        <v>0</v>
      </c>
      <c r="Z55" s="828">
        <f t="shared" ca="1" si="58"/>
        <v>0</v>
      </c>
      <c r="AA55" s="828">
        <f t="shared" ca="1" si="59"/>
        <v>0</v>
      </c>
      <c r="AB55" s="828" t="str">
        <f t="shared" ca="1" si="60"/>
        <v/>
      </c>
      <c r="AC55" s="828" t="str">
        <f t="shared" ca="1" si="61"/>
        <v/>
      </c>
      <c r="AD55" s="828" t="str">
        <f t="shared" ca="1" si="62"/>
        <v/>
      </c>
      <c r="AE55" s="828" t="str">
        <f t="shared" ca="1" si="63"/>
        <v/>
      </c>
      <c r="AF55" s="828" t="str">
        <f t="shared" ca="1" si="64"/>
        <v/>
      </c>
      <c r="AG55" s="828" t="str">
        <f t="shared" ca="1" si="65"/>
        <v/>
      </c>
      <c r="AH55" s="828" t="str">
        <f t="shared" ca="1" si="66"/>
        <v/>
      </c>
      <c r="AI55" s="828" t="str">
        <f t="shared" ca="1" si="67"/>
        <v/>
      </c>
      <c r="AJ55" s="828" t="str">
        <f t="shared" ca="1" si="68"/>
        <v/>
      </c>
      <c r="AK55" s="828" t="str">
        <f t="shared" ca="1" si="69"/>
        <v/>
      </c>
      <c r="AL55" s="828" t="str">
        <f t="shared" ca="1" si="70"/>
        <v/>
      </c>
      <c r="AM55" s="828" t="str">
        <f t="shared" ca="1" si="71"/>
        <v/>
      </c>
      <c r="AN55" s="828" t="str">
        <f t="shared" ca="1" si="72"/>
        <v/>
      </c>
      <c r="AO55" s="828" t="str">
        <f t="shared" ca="1" si="73"/>
        <v/>
      </c>
      <c r="AP55" s="828" t="str">
        <f t="shared" ca="1" si="74"/>
        <v/>
      </c>
      <c r="AQ55" s="828" t="str">
        <f t="shared" ca="1" si="75"/>
        <v/>
      </c>
      <c r="AR55" s="828" t="str">
        <f t="shared" ca="1" si="76"/>
        <v/>
      </c>
      <c r="AS55" s="828" t="str">
        <f t="shared" ca="1" si="77"/>
        <v/>
      </c>
      <c r="AT55" s="828" t="str">
        <f t="shared" ca="1" si="78"/>
        <v/>
      </c>
      <c r="AU55" s="828" t="str">
        <f t="shared" ca="1" si="79"/>
        <v/>
      </c>
      <c r="AV55" s="828" t="str">
        <f t="shared" ca="1" si="80"/>
        <v/>
      </c>
      <c r="AW55" s="828" t="str">
        <f t="shared" ca="1" si="81"/>
        <v/>
      </c>
      <c r="AX55" s="828" t="str">
        <f t="shared" ca="1" si="82"/>
        <v/>
      </c>
      <c r="AY55" s="828" t="str">
        <f t="shared" ca="1" si="83"/>
        <v/>
      </c>
      <c r="AZ55" s="828" t="str">
        <f t="shared" ca="1" si="84"/>
        <v/>
      </c>
      <c r="BA55" s="828" t="str">
        <f t="shared" ca="1" si="85"/>
        <v/>
      </c>
      <c r="BB55" s="828" t="str">
        <f t="shared" ca="1" si="86"/>
        <v/>
      </c>
      <c r="BC55" s="828" t="str">
        <f t="shared" ca="1" si="87"/>
        <v/>
      </c>
      <c r="BD55" s="828" t="str">
        <f t="shared" ca="1" si="88"/>
        <v/>
      </c>
      <c r="BE55" s="828" t="str">
        <f t="shared" ca="1" si="89"/>
        <v/>
      </c>
      <c r="BF55" s="828" t="str">
        <f t="shared" ca="1" si="90"/>
        <v/>
      </c>
      <c r="BG55" s="828" t="str">
        <f t="shared" ca="1" si="91"/>
        <v/>
      </c>
      <c r="BH55" s="828" t="str">
        <f t="shared" ca="1" si="92"/>
        <v/>
      </c>
      <c r="BI55" s="828" t="str">
        <f t="shared" ca="1" si="93"/>
        <v/>
      </c>
      <c r="BJ55" s="828" t="str">
        <f t="shared" ca="1" si="94"/>
        <v/>
      </c>
      <c r="BK55" s="828" t="str">
        <f t="shared" ca="1" si="95"/>
        <v/>
      </c>
      <c r="BL55" s="828" t="str">
        <f t="shared" ca="1" si="96"/>
        <v/>
      </c>
      <c r="BM55" s="828" t="str">
        <f t="shared" ca="1" si="97"/>
        <v/>
      </c>
      <c r="BN55" s="828" t="str">
        <f t="shared" ca="1" si="98"/>
        <v/>
      </c>
      <c r="BO55" s="828" t="str">
        <f t="shared" ca="1" si="99"/>
        <v/>
      </c>
    </row>
    <row r="56" spans="1:68" ht="20.100000000000001" customHeight="1" thickBot="1">
      <c r="A56" s="823">
        <v>55</v>
      </c>
      <c r="B56" s="1870"/>
      <c r="C56" s="1873"/>
      <c r="D56" s="835" t="s">
        <v>4419</v>
      </c>
      <c r="E56" s="836" t="str">
        <f ca="1">OFFSET(A1_その他欄集計,7,7)</f>
        <v/>
      </c>
      <c r="F56" s="837"/>
      <c r="G56" s="838" t="str">
        <f ca="1">OFFSET(A1_その他欄集計,8,7)</f>
        <v/>
      </c>
      <c r="H56" s="839">
        <f t="shared" ca="1" si="52"/>
        <v>0</v>
      </c>
      <c r="I56" s="839">
        <f t="shared" ca="1" si="53"/>
        <v>0</v>
      </c>
      <c r="J56" s="839">
        <f t="shared" ca="1" si="54"/>
        <v>0</v>
      </c>
      <c r="K56" s="839">
        <f t="shared" ca="1" si="55"/>
        <v>0</v>
      </c>
      <c r="L56" s="840">
        <f t="shared" ca="1" si="49"/>
        <v>0</v>
      </c>
      <c r="M56" s="840">
        <f t="shared" ca="1" si="49"/>
        <v>0</v>
      </c>
      <c r="N56" s="840">
        <f t="shared" ca="1" si="49"/>
        <v>0</v>
      </c>
      <c r="O56" s="840">
        <f t="shared" ca="1" si="49"/>
        <v>0</v>
      </c>
      <c r="P56" s="840">
        <f ca="1">SUM(SUMIFS(OFFSET(貼付け_2024実績,$A56,9,1,199),OFFSET(貼付け_2024実績,4,9,1,199),{"横浜*","川崎*"}))</f>
        <v>0</v>
      </c>
      <c r="Q56" s="840">
        <f ca="1">SUM(SUMIFS(OFFSET(貼付け_2025実績,$A56,9,1,199),OFFSET(貼付け_2025実績,4,9,1,199),{"横浜*","川崎*"}))</f>
        <v>0</v>
      </c>
      <c r="R56" s="840">
        <f ca="1">SUM(SUMIFS(OFFSET(貼付け_2026実績,$A56,9,1,199),OFFSET(貼付け_2026実績,4,9,1,199),{"横浜*","川崎*"}))</f>
        <v>0</v>
      </c>
      <c r="S56" s="840">
        <f ca="1">SUM(SUMIFS(OFFSET(貼付け_2027実績,$A56,9,1,199),OFFSET(貼付け_2027実績,4,9,1,199),{"横浜*","川崎*"}))</f>
        <v>0</v>
      </c>
      <c r="T56" s="840">
        <f t="shared" ca="1" si="50"/>
        <v>0</v>
      </c>
      <c r="U56" s="840">
        <f t="shared" ca="1" si="50"/>
        <v>0</v>
      </c>
      <c r="V56" s="840">
        <f t="shared" ca="1" si="50"/>
        <v>0</v>
      </c>
      <c r="W56" s="840">
        <f t="shared" ca="1" si="50"/>
        <v>0</v>
      </c>
      <c r="X56" s="840">
        <f t="shared" ca="1" si="56"/>
        <v>0</v>
      </c>
      <c r="Y56" s="840">
        <f t="shared" ca="1" si="57"/>
        <v>0</v>
      </c>
      <c r="Z56" s="840">
        <f t="shared" ca="1" si="58"/>
        <v>0</v>
      </c>
      <c r="AA56" s="840">
        <f t="shared" ca="1" si="59"/>
        <v>0</v>
      </c>
      <c r="AB56" s="840" t="str">
        <f t="shared" ca="1" si="60"/>
        <v/>
      </c>
      <c r="AC56" s="840" t="str">
        <f t="shared" ca="1" si="61"/>
        <v/>
      </c>
      <c r="AD56" s="840" t="str">
        <f t="shared" ca="1" si="62"/>
        <v/>
      </c>
      <c r="AE56" s="840" t="str">
        <f t="shared" ca="1" si="63"/>
        <v/>
      </c>
      <c r="AF56" s="840" t="str">
        <f t="shared" ca="1" si="64"/>
        <v/>
      </c>
      <c r="AG56" s="840" t="str">
        <f t="shared" ca="1" si="65"/>
        <v/>
      </c>
      <c r="AH56" s="840" t="str">
        <f t="shared" ca="1" si="66"/>
        <v/>
      </c>
      <c r="AI56" s="840" t="str">
        <f t="shared" ca="1" si="67"/>
        <v/>
      </c>
      <c r="AJ56" s="840" t="str">
        <f t="shared" ca="1" si="68"/>
        <v/>
      </c>
      <c r="AK56" s="840" t="str">
        <f t="shared" ca="1" si="69"/>
        <v/>
      </c>
      <c r="AL56" s="840" t="str">
        <f t="shared" ca="1" si="70"/>
        <v/>
      </c>
      <c r="AM56" s="840" t="str">
        <f t="shared" ca="1" si="71"/>
        <v/>
      </c>
      <c r="AN56" s="840" t="str">
        <f t="shared" ca="1" si="72"/>
        <v/>
      </c>
      <c r="AO56" s="840" t="str">
        <f t="shared" ca="1" si="73"/>
        <v/>
      </c>
      <c r="AP56" s="840" t="str">
        <f t="shared" ca="1" si="74"/>
        <v/>
      </c>
      <c r="AQ56" s="840" t="str">
        <f t="shared" ca="1" si="75"/>
        <v/>
      </c>
      <c r="AR56" s="840" t="str">
        <f t="shared" ca="1" si="76"/>
        <v/>
      </c>
      <c r="AS56" s="840" t="str">
        <f t="shared" ca="1" si="77"/>
        <v/>
      </c>
      <c r="AT56" s="840" t="str">
        <f t="shared" ca="1" si="78"/>
        <v/>
      </c>
      <c r="AU56" s="840" t="str">
        <f t="shared" ca="1" si="79"/>
        <v/>
      </c>
      <c r="AV56" s="840" t="str">
        <f t="shared" ca="1" si="80"/>
        <v/>
      </c>
      <c r="AW56" s="840" t="str">
        <f t="shared" ca="1" si="81"/>
        <v/>
      </c>
      <c r="AX56" s="840" t="str">
        <f t="shared" ca="1" si="82"/>
        <v/>
      </c>
      <c r="AY56" s="840" t="str">
        <f t="shared" ca="1" si="83"/>
        <v/>
      </c>
      <c r="AZ56" s="840" t="str">
        <f t="shared" ca="1" si="84"/>
        <v/>
      </c>
      <c r="BA56" s="840" t="str">
        <f t="shared" ca="1" si="85"/>
        <v/>
      </c>
      <c r="BB56" s="840" t="str">
        <f t="shared" ca="1" si="86"/>
        <v/>
      </c>
      <c r="BC56" s="840" t="str">
        <f t="shared" ca="1" si="87"/>
        <v/>
      </c>
      <c r="BD56" s="840" t="str">
        <f t="shared" ca="1" si="88"/>
        <v/>
      </c>
      <c r="BE56" s="840" t="str">
        <f t="shared" ca="1" si="89"/>
        <v/>
      </c>
      <c r="BF56" s="840" t="str">
        <f t="shared" ca="1" si="90"/>
        <v/>
      </c>
      <c r="BG56" s="840" t="str">
        <f t="shared" ca="1" si="91"/>
        <v/>
      </c>
      <c r="BH56" s="840" t="str">
        <f t="shared" ca="1" si="92"/>
        <v/>
      </c>
      <c r="BI56" s="840" t="str">
        <f t="shared" ca="1" si="93"/>
        <v/>
      </c>
      <c r="BJ56" s="840" t="str">
        <f t="shared" ca="1" si="94"/>
        <v/>
      </c>
      <c r="BK56" s="840" t="str">
        <f t="shared" ca="1" si="95"/>
        <v/>
      </c>
      <c r="BL56" s="840" t="str">
        <f t="shared" ca="1" si="96"/>
        <v/>
      </c>
      <c r="BM56" s="840" t="str">
        <f t="shared" ca="1" si="97"/>
        <v/>
      </c>
      <c r="BN56" s="840" t="str">
        <f t="shared" ca="1" si="98"/>
        <v/>
      </c>
      <c r="BO56" s="840" t="str">
        <f t="shared" ca="1" si="99"/>
        <v/>
      </c>
      <c r="BP56" s="841"/>
    </row>
    <row r="57" spans="1:68" ht="20.100000000000001" customHeight="1">
      <c r="A57" s="823">
        <v>56</v>
      </c>
      <c r="B57" s="1888" t="s">
        <v>4420</v>
      </c>
      <c r="C57" s="1891" t="s">
        <v>4421</v>
      </c>
      <c r="D57" s="842" t="s">
        <v>4422</v>
      </c>
      <c r="E57" s="843"/>
      <c r="F57" s="844"/>
      <c r="G57" s="845" t="s">
        <v>4196</v>
      </c>
      <c r="H57" s="846">
        <f t="shared" ca="1" si="52"/>
        <v>1.17</v>
      </c>
      <c r="I57" s="846">
        <f t="shared" ca="1" si="53"/>
        <v>1.17</v>
      </c>
      <c r="J57" s="846">
        <f t="shared" ca="1" si="54"/>
        <v>1.17</v>
      </c>
      <c r="K57" s="846">
        <f t="shared" ca="1" si="55"/>
        <v>1.17</v>
      </c>
      <c r="L57" s="847">
        <f t="shared" ca="1" si="49"/>
        <v>0</v>
      </c>
      <c r="M57" s="847">
        <f t="shared" ca="1" si="49"/>
        <v>0</v>
      </c>
      <c r="N57" s="847">
        <f t="shared" ca="1" si="49"/>
        <v>0</v>
      </c>
      <c r="O57" s="847">
        <f t="shared" ca="1" si="49"/>
        <v>0</v>
      </c>
      <c r="P57" s="847">
        <f ca="1">SUM(SUMIFS(OFFSET(貼付け_2024実績,$A57,9,1,199),OFFSET(貼付け_2024実績,4,9,1,199),{"横浜*","川崎*"}))</f>
        <v>0</v>
      </c>
      <c r="Q57" s="847">
        <f ca="1">SUM(SUMIFS(OFFSET(貼付け_2025実績,$A57,9,1,199),OFFSET(貼付け_2025実績,4,9,1,199),{"横浜*","川崎*"}))</f>
        <v>0</v>
      </c>
      <c r="R57" s="847">
        <f ca="1">SUM(SUMIFS(OFFSET(貼付け_2026実績,$A57,9,1,199),OFFSET(貼付け_2026実績,4,9,1,199),{"横浜*","川崎*"}))</f>
        <v>0</v>
      </c>
      <c r="S57" s="847">
        <f ca="1">SUM(SUMIFS(OFFSET(貼付け_2027実績,$A57,9,1,199),OFFSET(貼付け_2027実績,4,9,1,199),{"横浜*","川崎*"}))</f>
        <v>0</v>
      </c>
      <c r="T57" s="847">
        <f t="shared" ca="1" si="50"/>
        <v>0</v>
      </c>
      <c r="U57" s="847">
        <f t="shared" ca="1" si="50"/>
        <v>0</v>
      </c>
      <c r="V57" s="847">
        <f t="shared" ca="1" si="50"/>
        <v>0</v>
      </c>
      <c r="W57" s="847">
        <f t="shared" ca="1" si="50"/>
        <v>0</v>
      </c>
      <c r="X57" s="847">
        <f t="shared" ca="1" si="56"/>
        <v>0</v>
      </c>
      <c r="Y57" s="847">
        <f t="shared" ca="1" si="57"/>
        <v>0</v>
      </c>
      <c r="Z57" s="847">
        <f t="shared" ca="1" si="58"/>
        <v>0</v>
      </c>
      <c r="AA57" s="847">
        <f t="shared" ca="1" si="59"/>
        <v>0</v>
      </c>
      <c r="AB57" s="847" t="str">
        <f t="shared" ca="1" si="60"/>
        <v/>
      </c>
      <c r="AC57" s="847" t="str">
        <f t="shared" ca="1" si="61"/>
        <v/>
      </c>
      <c r="AD57" s="847" t="str">
        <f t="shared" ca="1" si="62"/>
        <v/>
      </c>
      <c r="AE57" s="847" t="str">
        <f t="shared" ca="1" si="63"/>
        <v/>
      </c>
      <c r="AF57" s="847" t="str">
        <f t="shared" ca="1" si="64"/>
        <v/>
      </c>
      <c r="AG57" s="847" t="str">
        <f t="shared" ca="1" si="65"/>
        <v/>
      </c>
      <c r="AH57" s="847" t="str">
        <f t="shared" ca="1" si="66"/>
        <v/>
      </c>
      <c r="AI57" s="847" t="str">
        <f t="shared" ca="1" si="67"/>
        <v/>
      </c>
      <c r="AJ57" s="847" t="str">
        <f t="shared" ca="1" si="68"/>
        <v/>
      </c>
      <c r="AK57" s="847" t="str">
        <f t="shared" ca="1" si="69"/>
        <v/>
      </c>
      <c r="AL57" s="847" t="str">
        <f t="shared" ca="1" si="70"/>
        <v/>
      </c>
      <c r="AM57" s="847" t="str">
        <f t="shared" ca="1" si="71"/>
        <v/>
      </c>
      <c r="AN57" s="847" t="str">
        <f t="shared" ca="1" si="72"/>
        <v/>
      </c>
      <c r="AO57" s="847" t="str">
        <f t="shared" ca="1" si="73"/>
        <v/>
      </c>
      <c r="AP57" s="847" t="str">
        <f t="shared" ca="1" si="74"/>
        <v/>
      </c>
      <c r="AQ57" s="847" t="str">
        <f t="shared" ca="1" si="75"/>
        <v/>
      </c>
      <c r="AR57" s="847" t="str">
        <f t="shared" ca="1" si="76"/>
        <v/>
      </c>
      <c r="AS57" s="847" t="str">
        <f t="shared" ca="1" si="77"/>
        <v/>
      </c>
      <c r="AT57" s="847" t="str">
        <f t="shared" ca="1" si="78"/>
        <v/>
      </c>
      <c r="AU57" s="847" t="str">
        <f t="shared" ca="1" si="79"/>
        <v/>
      </c>
      <c r="AV57" s="847" t="str">
        <f t="shared" ca="1" si="80"/>
        <v/>
      </c>
      <c r="AW57" s="847" t="str">
        <f t="shared" ca="1" si="81"/>
        <v/>
      </c>
      <c r="AX57" s="847" t="str">
        <f t="shared" ca="1" si="82"/>
        <v/>
      </c>
      <c r="AY57" s="847" t="str">
        <f t="shared" ca="1" si="83"/>
        <v/>
      </c>
      <c r="AZ57" s="847" t="str">
        <f t="shared" ca="1" si="84"/>
        <v/>
      </c>
      <c r="BA57" s="847" t="str">
        <f t="shared" ca="1" si="85"/>
        <v/>
      </c>
      <c r="BB57" s="847" t="str">
        <f t="shared" ca="1" si="86"/>
        <v/>
      </c>
      <c r="BC57" s="847" t="str">
        <f t="shared" ca="1" si="87"/>
        <v/>
      </c>
      <c r="BD57" s="847" t="str">
        <f t="shared" ca="1" si="88"/>
        <v/>
      </c>
      <c r="BE57" s="847" t="str">
        <f t="shared" ca="1" si="89"/>
        <v/>
      </c>
      <c r="BF57" s="847" t="str">
        <f t="shared" ca="1" si="90"/>
        <v/>
      </c>
      <c r="BG57" s="847" t="str">
        <f t="shared" ca="1" si="91"/>
        <v/>
      </c>
      <c r="BH57" s="847" t="str">
        <f t="shared" ca="1" si="92"/>
        <v/>
      </c>
      <c r="BI57" s="847" t="str">
        <f t="shared" ca="1" si="93"/>
        <v/>
      </c>
      <c r="BJ57" s="847" t="str">
        <f t="shared" ca="1" si="94"/>
        <v/>
      </c>
      <c r="BK57" s="847" t="str">
        <f t="shared" ca="1" si="95"/>
        <v/>
      </c>
      <c r="BL57" s="847" t="str">
        <f t="shared" ca="1" si="96"/>
        <v/>
      </c>
      <c r="BM57" s="847" t="str">
        <f t="shared" ca="1" si="97"/>
        <v/>
      </c>
      <c r="BN57" s="847" t="str">
        <f t="shared" ca="1" si="98"/>
        <v/>
      </c>
      <c r="BO57" s="848" t="str">
        <f t="shared" ca="1" si="99"/>
        <v/>
      </c>
      <c r="BP57" s="841"/>
    </row>
    <row r="58" spans="1:68" ht="20.100000000000001" customHeight="1">
      <c r="A58" s="823">
        <v>58</v>
      </c>
      <c r="B58" s="1889"/>
      <c r="C58" s="1872"/>
      <c r="D58" s="824" t="s">
        <v>4423</v>
      </c>
      <c r="E58" s="829"/>
      <c r="F58" s="849"/>
      <c r="G58" s="826" t="s">
        <v>4196</v>
      </c>
      <c r="H58" s="827">
        <f t="shared" ca="1" si="52"/>
        <v>1.19</v>
      </c>
      <c r="I58" s="827">
        <f t="shared" ca="1" si="53"/>
        <v>1.19</v>
      </c>
      <c r="J58" s="827">
        <f t="shared" ca="1" si="54"/>
        <v>1.19</v>
      </c>
      <c r="K58" s="827">
        <f t="shared" ca="1" si="55"/>
        <v>1.19</v>
      </c>
      <c r="L58" s="828">
        <f t="shared" ca="1" si="49"/>
        <v>0</v>
      </c>
      <c r="M58" s="828">
        <f t="shared" ca="1" si="49"/>
        <v>0</v>
      </c>
      <c r="N58" s="828">
        <f t="shared" ca="1" si="49"/>
        <v>0</v>
      </c>
      <c r="O58" s="828">
        <f t="shared" ca="1" si="49"/>
        <v>0</v>
      </c>
      <c r="P58" s="828">
        <f ca="1">SUM(SUMIFS(OFFSET(貼付け_2024実績,$A58,9,1,199),OFFSET(貼付け_2024実績,4,9,1,199),{"横浜*","川崎*"}))</f>
        <v>0</v>
      </c>
      <c r="Q58" s="828">
        <f ca="1">SUM(SUMIFS(OFFSET(貼付け_2025実績,$A58,9,1,199),OFFSET(貼付け_2025実績,4,9,1,199),{"横浜*","川崎*"}))</f>
        <v>0</v>
      </c>
      <c r="R58" s="828">
        <f ca="1">SUM(SUMIFS(OFFSET(貼付け_2026実績,$A58,9,1,199),OFFSET(貼付け_2026実績,4,9,1,199),{"横浜*","川崎*"}))</f>
        <v>0</v>
      </c>
      <c r="S58" s="828">
        <f ca="1">SUM(SUMIFS(OFFSET(貼付け_2027実績,$A58,9,1,199),OFFSET(貼付け_2027実績,4,9,1,199),{"横浜*","川崎*"}))</f>
        <v>0</v>
      </c>
      <c r="T58" s="828">
        <f t="shared" ca="1" si="50"/>
        <v>0</v>
      </c>
      <c r="U58" s="828">
        <f t="shared" ca="1" si="50"/>
        <v>0</v>
      </c>
      <c r="V58" s="828">
        <f t="shared" ca="1" si="50"/>
        <v>0</v>
      </c>
      <c r="W58" s="828">
        <f t="shared" ca="1" si="50"/>
        <v>0</v>
      </c>
      <c r="X58" s="828">
        <f t="shared" ca="1" si="56"/>
        <v>0</v>
      </c>
      <c r="Y58" s="828">
        <f t="shared" ca="1" si="57"/>
        <v>0</v>
      </c>
      <c r="Z58" s="828">
        <f t="shared" ca="1" si="58"/>
        <v>0</v>
      </c>
      <c r="AA58" s="828">
        <f t="shared" ca="1" si="59"/>
        <v>0</v>
      </c>
      <c r="AB58" s="828" t="str">
        <f t="shared" ca="1" si="60"/>
        <v/>
      </c>
      <c r="AC58" s="828" t="str">
        <f t="shared" ca="1" si="61"/>
        <v/>
      </c>
      <c r="AD58" s="828" t="str">
        <f t="shared" ca="1" si="62"/>
        <v/>
      </c>
      <c r="AE58" s="828" t="str">
        <f t="shared" ca="1" si="63"/>
        <v/>
      </c>
      <c r="AF58" s="828" t="str">
        <f t="shared" ca="1" si="64"/>
        <v/>
      </c>
      <c r="AG58" s="828" t="str">
        <f t="shared" ca="1" si="65"/>
        <v/>
      </c>
      <c r="AH58" s="828" t="str">
        <f t="shared" ca="1" si="66"/>
        <v/>
      </c>
      <c r="AI58" s="828" t="str">
        <f t="shared" ca="1" si="67"/>
        <v/>
      </c>
      <c r="AJ58" s="828" t="str">
        <f t="shared" ca="1" si="68"/>
        <v/>
      </c>
      <c r="AK58" s="828" t="str">
        <f t="shared" ca="1" si="69"/>
        <v/>
      </c>
      <c r="AL58" s="828" t="str">
        <f t="shared" ca="1" si="70"/>
        <v/>
      </c>
      <c r="AM58" s="828" t="str">
        <f t="shared" ca="1" si="71"/>
        <v/>
      </c>
      <c r="AN58" s="828" t="str">
        <f t="shared" ca="1" si="72"/>
        <v/>
      </c>
      <c r="AO58" s="828" t="str">
        <f t="shared" ca="1" si="73"/>
        <v/>
      </c>
      <c r="AP58" s="828" t="str">
        <f t="shared" ca="1" si="74"/>
        <v/>
      </c>
      <c r="AQ58" s="828" t="str">
        <f t="shared" ca="1" si="75"/>
        <v/>
      </c>
      <c r="AR58" s="828" t="str">
        <f t="shared" ca="1" si="76"/>
        <v/>
      </c>
      <c r="AS58" s="828" t="str">
        <f t="shared" ca="1" si="77"/>
        <v/>
      </c>
      <c r="AT58" s="828" t="str">
        <f t="shared" ca="1" si="78"/>
        <v/>
      </c>
      <c r="AU58" s="828" t="str">
        <f t="shared" ca="1" si="79"/>
        <v/>
      </c>
      <c r="AV58" s="828" t="str">
        <f t="shared" ca="1" si="80"/>
        <v/>
      </c>
      <c r="AW58" s="828" t="str">
        <f t="shared" ca="1" si="81"/>
        <v/>
      </c>
      <c r="AX58" s="828" t="str">
        <f t="shared" ca="1" si="82"/>
        <v/>
      </c>
      <c r="AY58" s="828" t="str">
        <f t="shared" ca="1" si="83"/>
        <v/>
      </c>
      <c r="AZ58" s="828" t="str">
        <f t="shared" ca="1" si="84"/>
        <v/>
      </c>
      <c r="BA58" s="828" t="str">
        <f t="shared" ca="1" si="85"/>
        <v/>
      </c>
      <c r="BB58" s="828" t="str">
        <f t="shared" ca="1" si="86"/>
        <v/>
      </c>
      <c r="BC58" s="828" t="str">
        <f t="shared" ca="1" si="87"/>
        <v/>
      </c>
      <c r="BD58" s="828" t="str">
        <f t="shared" ca="1" si="88"/>
        <v/>
      </c>
      <c r="BE58" s="828" t="str">
        <f t="shared" ca="1" si="89"/>
        <v/>
      </c>
      <c r="BF58" s="828" t="str">
        <f t="shared" ca="1" si="90"/>
        <v/>
      </c>
      <c r="BG58" s="828" t="str">
        <f t="shared" ca="1" si="91"/>
        <v/>
      </c>
      <c r="BH58" s="828" t="str">
        <f t="shared" ca="1" si="92"/>
        <v/>
      </c>
      <c r="BI58" s="828" t="str">
        <f t="shared" ca="1" si="93"/>
        <v/>
      </c>
      <c r="BJ58" s="828" t="str">
        <f t="shared" ca="1" si="94"/>
        <v/>
      </c>
      <c r="BK58" s="828" t="str">
        <f t="shared" ca="1" si="95"/>
        <v/>
      </c>
      <c r="BL58" s="828" t="str">
        <f t="shared" ca="1" si="96"/>
        <v/>
      </c>
      <c r="BM58" s="828" t="str">
        <f t="shared" ca="1" si="97"/>
        <v/>
      </c>
      <c r="BN58" s="828" t="str">
        <f t="shared" ca="1" si="98"/>
        <v/>
      </c>
      <c r="BO58" s="850" t="str">
        <f t="shared" ca="1" si="99"/>
        <v/>
      </c>
      <c r="BP58" s="841"/>
    </row>
    <row r="59" spans="1:68" ht="20.100000000000001" customHeight="1">
      <c r="A59" s="823">
        <v>60</v>
      </c>
      <c r="B59" s="1889"/>
      <c r="C59" s="1872"/>
      <c r="D59" s="824" t="s">
        <v>4424</v>
      </c>
      <c r="E59" s="829"/>
      <c r="F59" s="849"/>
      <c r="G59" s="826" t="s">
        <v>4196</v>
      </c>
      <c r="H59" s="827">
        <f t="shared" ca="1" si="52"/>
        <v>1.19</v>
      </c>
      <c r="I59" s="827">
        <f t="shared" ca="1" si="53"/>
        <v>1.19</v>
      </c>
      <c r="J59" s="827">
        <f t="shared" ca="1" si="54"/>
        <v>1.19</v>
      </c>
      <c r="K59" s="827">
        <f t="shared" ca="1" si="55"/>
        <v>1.19</v>
      </c>
      <c r="L59" s="828">
        <f t="shared" ca="1" si="49"/>
        <v>0</v>
      </c>
      <c r="M59" s="828">
        <f t="shared" ca="1" si="49"/>
        <v>0</v>
      </c>
      <c r="N59" s="828">
        <f t="shared" ca="1" si="49"/>
        <v>0</v>
      </c>
      <c r="O59" s="828">
        <f t="shared" ca="1" si="49"/>
        <v>0</v>
      </c>
      <c r="P59" s="828">
        <f ca="1">SUM(SUMIFS(OFFSET(貼付け_2024実績,$A59,9,1,199),OFFSET(貼付け_2024実績,4,9,1,199),{"横浜*","川崎*"}))</f>
        <v>0</v>
      </c>
      <c r="Q59" s="828">
        <f ca="1">SUM(SUMIFS(OFFSET(貼付け_2025実績,$A59,9,1,199),OFFSET(貼付け_2025実績,4,9,1,199),{"横浜*","川崎*"}))</f>
        <v>0</v>
      </c>
      <c r="R59" s="828">
        <f ca="1">SUM(SUMIFS(OFFSET(貼付け_2026実績,$A59,9,1,199),OFFSET(貼付け_2026実績,4,9,1,199),{"横浜*","川崎*"}))</f>
        <v>0</v>
      </c>
      <c r="S59" s="828">
        <f ca="1">SUM(SUMIFS(OFFSET(貼付け_2027実績,$A59,9,1,199),OFFSET(貼付け_2027実績,4,9,1,199),{"横浜*","川崎*"}))</f>
        <v>0</v>
      </c>
      <c r="T59" s="828">
        <f t="shared" ca="1" si="50"/>
        <v>0</v>
      </c>
      <c r="U59" s="828">
        <f t="shared" ca="1" si="50"/>
        <v>0</v>
      </c>
      <c r="V59" s="828">
        <f t="shared" ca="1" si="50"/>
        <v>0</v>
      </c>
      <c r="W59" s="828">
        <f t="shared" ca="1" si="50"/>
        <v>0</v>
      </c>
      <c r="X59" s="828">
        <f t="shared" ca="1" si="56"/>
        <v>0</v>
      </c>
      <c r="Y59" s="828">
        <f t="shared" ca="1" si="57"/>
        <v>0</v>
      </c>
      <c r="Z59" s="828">
        <f t="shared" ca="1" si="58"/>
        <v>0</v>
      </c>
      <c r="AA59" s="828">
        <f t="shared" ca="1" si="59"/>
        <v>0</v>
      </c>
      <c r="AB59" s="828" t="str">
        <f t="shared" ca="1" si="60"/>
        <v/>
      </c>
      <c r="AC59" s="828" t="str">
        <f t="shared" ca="1" si="61"/>
        <v/>
      </c>
      <c r="AD59" s="828" t="str">
        <f t="shared" ca="1" si="62"/>
        <v/>
      </c>
      <c r="AE59" s="828" t="str">
        <f t="shared" ca="1" si="63"/>
        <v/>
      </c>
      <c r="AF59" s="828" t="str">
        <f t="shared" ca="1" si="64"/>
        <v/>
      </c>
      <c r="AG59" s="828" t="str">
        <f t="shared" ca="1" si="65"/>
        <v/>
      </c>
      <c r="AH59" s="828" t="str">
        <f t="shared" ca="1" si="66"/>
        <v/>
      </c>
      <c r="AI59" s="828" t="str">
        <f t="shared" ca="1" si="67"/>
        <v/>
      </c>
      <c r="AJ59" s="828" t="str">
        <f t="shared" ca="1" si="68"/>
        <v/>
      </c>
      <c r="AK59" s="828" t="str">
        <f t="shared" ca="1" si="69"/>
        <v/>
      </c>
      <c r="AL59" s="828" t="str">
        <f t="shared" ca="1" si="70"/>
        <v/>
      </c>
      <c r="AM59" s="828" t="str">
        <f t="shared" ca="1" si="71"/>
        <v/>
      </c>
      <c r="AN59" s="828" t="str">
        <f t="shared" ca="1" si="72"/>
        <v/>
      </c>
      <c r="AO59" s="828" t="str">
        <f t="shared" ca="1" si="73"/>
        <v/>
      </c>
      <c r="AP59" s="828" t="str">
        <f t="shared" ca="1" si="74"/>
        <v/>
      </c>
      <c r="AQ59" s="828" t="str">
        <f t="shared" ca="1" si="75"/>
        <v/>
      </c>
      <c r="AR59" s="828" t="str">
        <f t="shared" ca="1" si="76"/>
        <v/>
      </c>
      <c r="AS59" s="828" t="str">
        <f t="shared" ca="1" si="77"/>
        <v/>
      </c>
      <c r="AT59" s="828" t="str">
        <f t="shared" ca="1" si="78"/>
        <v/>
      </c>
      <c r="AU59" s="828" t="str">
        <f t="shared" ca="1" si="79"/>
        <v/>
      </c>
      <c r="AV59" s="828" t="str">
        <f t="shared" ca="1" si="80"/>
        <v/>
      </c>
      <c r="AW59" s="828" t="str">
        <f t="shared" ca="1" si="81"/>
        <v/>
      </c>
      <c r="AX59" s="828" t="str">
        <f t="shared" ca="1" si="82"/>
        <v/>
      </c>
      <c r="AY59" s="828" t="str">
        <f t="shared" ca="1" si="83"/>
        <v/>
      </c>
      <c r="AZ59" s="828" t="str">
        <f t="shared" ca="1" si="84"/>
        <v/>
      </c>
      <c r="BA59" s="828" t="str">
        <f t="shared" ca="1" si="85"/>
        <v/>
      </c>
      <c r="BB59" s="828" t="str">
        <f t="shared" ca="1" si="86"/>
        <v/>
      </c>
      <c r="BC59" s="828" t="str">
        <f t="shared" ca="1" si="87"/>
        <v/>
      </c>
      <c r="BD59" s="828" t="str">
        <f t="shared" ca="1" si="88"/>
        <v/>
      </c>
      <c r="BE59" s="828" t="str">
        <f t="shared" ca="1" si="89"/>
        <v/>
      </c>
      <c r="BF59" s="828" t="str">
        <f t="shared" ca="1" si="90"/>
        <v/>
      </c>
      <c r="BG59" s="828" t="str">
        <f t="shared" ca="1" si="91"/>
        <v/>
      </c>
      <c r="BH59" s="828" t="str">
        <f t="shared" ca="1" si="92"/>
        <v/>
      </c>
      <c r="BI59" s="828" t="str">
        <f t="shared" ca="1" si="93"/>
        <v/>
      </c>
      <c r="BJ59" s="828" t="str">
        <f t="shared" ca="1" si="94"/>
        <v/>
      </c>
      <c r="BK59" s="828" t="str">
        <f t="shared" ca="1" si="95"/>
        <v/>
      </c>
      <c r="BL59" s="828" t="str">
        <f t="shared" ca="1" si="96"/>
        <v/>
      </c>
      <c r="BM59" s="828" t="str">
        <f t="shared" ca="1" si="97"/>
        <v/>
      </c>
      <c r="BN59" s="828" t="str">
        <f t="shared" ca="1" si="98"/>
        <v/>
      </c>
      <c r="BO59" s="850" t="str">
        <f t="shared" ca="1" si="99"/>
        <v/>
      </c>
      <c r="BP59" s="841"/>
    </row>
    <row r="60" spans="1:68" ht="20.100000000000001" customHeight="1">
      <c r="A60" s="823">
        <v>62</v>
      </c>
      <c r="B60" s="1889"/>
      <c r="C60" s="1872"/>
      <c r="D60" s="824" t="s">
        <v>4425</v>
      </c>
      <c r="E60" s="829"/>
      <c r="F60" s="849"/>
      <c r="G60" s="826" t="s">
        <v>4196</v>
      </c>
      <c r="H60" s="827">
        <f t="shared" ca="1" si="52"/>
        <v>1.19</v>
      </c>
      <c r="I60" s="827">
        <f t="shared" ca="1" si="53"/>
        <v>1.19</v>
      </c>
      <c r="J60" s="827">
        <f t="shared" ca="1" si="54"/>
        <v>1.19</v>
      </c>
      <c r="K60" s="827">
        <f t="shared" ca="1" si="55"/>
        <v>1.19</v>
      </c>
      <c r="L60" s="828">
        <f t="shared" ca="1" si="49"/>
        <v>0</v>
      </c>
      <c r="M60" s="828">
        <f t="shared" ca="1" si="49"/>
        <v>0</v>
      </c>
      <c r="N60" s="828">
        <f t="shared" ca="1" si="49"/>
        <v>0</v>
      </c>
      <c r="O60" s="828">
        <f t="shared" ca="1" si="49"/>
        <v>0</v>
      </c>
      <c r="P60" s="828">
        <f ca="1">SUM(SUMIFS(OFFSET(貼付け_2024実績,$A60,9,1,199),OFFSET(貼付け_2024実績,4,9,1,199),{"横浜*","川崎*"}))</f>
        <v>0</v>
      </c>
      <c r="Q60" s="828">
        <f ca="1">SUM(SUMIFS(OFFSET(貼付け_2025実績,$A60,9,1,199),OFFSET(貼付け_2025実績,4,9,1,199),{"横浜*","川崎*"}))</f>
        <v>0</v>
      </c>
      <c r="R60" s="828">
        <f ca="1">SUM(SUMIFS(OFFSET(貼付け_2026実績,$A60,9,1,199),OFFSET(貼付け_2026実績,4,9,1,199),{"横浜*","川崎*"}))</f>
        <v>0</v>
      </c>
      <c r="S60" s="828">
        <f ca="1">SUM(SUMIFS(OFFSET(貼付け_2027実績,$A60,9,1,199),OFFSET(貼付け_2027実績,4,9,1,199),{"横浜*","川崎*"}))</f>
        <v>0</v>
      </c>
      <c r="T60" s="828">
        <f t="shared" ca="1" si="50"/>
        <v>0</v>
      </c>
      <c r="U60" s="828">
        <f t="shared" ca="1" si="50"/>
        <v>0</v>
      </c>
      <c r="V60" s="828">
        <f t="shared" ca="1" si="50"/>
        <v>0</v>
      </c>
      <c r="W60" s="828">
        <f t="shared" ca="1" si="50"/>
        <v>0</v>
      </c>
      <c r="X60" s="828">
        <f t="shared" ca="1" si="56"/>
        <v>0</v>
      </c>
      <c r="Y60" s="828">
        <f t="shared" ca="1" si="57"/>
        <v>0</v>
      </c>
      <c r="Z60" s="828">
        <f t="shared" ca="1" si="58"/>
        <v>0</v>
      </c>
      <c r="AA60" s="828">
        <f t="shared" ca="1" si="59"/>
        <v>0</v>
      </c>
      <c r="AB60" s="828" t="str">
        <f t="shared" ca="1" si="60"/>
        <v/>
      </c>
      <c r="AC60" s="828" t="str">
        <f t="shared" ca="1" si="61"/>
        <v/>
      </c>
      <c r="AD60" s="828" t="str">
        <f t="shared" ca="1" si="62"/>
        <v/>
      </c>
      <c r="AE60" s="828" t="str">
        <f t="shared" ca="1" si="63"/>
        <v/>
      </c>
      <c r="AF60" s="828" t="str">
        <f t="shared" ca="1" si="64"/>
        <v/>
      </c>
      <c r="AG60" s="828" t="str">
        <f t="shared" ca="1" si="65"/>
        <v/>
      </c>
      <c r="AH60" s="828" t="str">
        <f t="shared" ca="1" si="66"/>
        <v/>
      </c>
      <c r="AI60" s="828" t="str">
        <f t="shared" ca="1" si="67"/>
        <v/>
      </c>
      <c r="AJ60" s="828" t="str">
        <f t="shared" ca="1" si="68"/>
        <v/>
      </c>
      <c r="AK60" s="828" t="str">
        <f t="shared" ca="1" si="69"/>
        <v/>
      </c>
      <c r="AL60" s="828" t="str">
        <f t="shared" ca="1" si="70"/>
        <v/>
      </c>
      <c r="AM60" s="828" t="str">
        <f t="shared" ca="1" si="71"/>
        <v/>
      </c>
      <c r="AN60" s="828" t="str">
        <f t="shared" ca="1" si="72"/>
        <v/>
      </c>
      <c r="AO60" s="828" t="str">
        <f t="shared" ca="1" si="73"/>
        <v/>
      </c>
      <c r="AP60" s="828" t="str">
        <f t="shared" ca="1" si="74"/>
        <v/>
      </c>
      <c r="AQ60" s="828" t="str">
        <f t="shared" ca="1" si="75"/>
        <v/>
      </c>
      <c r="AR60" s="828" t="str">
        <f t="shared" ca="1" si="76"/>
        <v/>
      </c>
      <c r="AS60" s="828" t="str">
        <f t="shared" ca="1" si="77"/>
        <v/>
      </c>
      <c r="AT60" s="828" t="str">
        <f t="shared" ca="1" si="78"/>
        <v/>
      </c>
      <c r="AU60" s="828" t="str">
        <f t="shared" ca="1" si="79"/>
        <v/>
      </c>
      <c r="AV60" s="828" t="str">
        <f t="shared" ca="1" si="80"/>
        <v/>
      </c>
      <c r="AW60" s="828" t="str">
        <f t="shared" ca="1" si="81"/>
        <v/>
      </c>
      <c r="AX60" s="828" t="str">
        <f t="shared" ca="1" si="82"/>
        <v/>
      </c>
      <c r="AY60" s="828" t="str">
        <f t="shared" ca="1" si="83"/>
        <v/>
      </c>
      <c r="AZ60" s="828" t="str">
        <f t="shared" ca="1" si="84"/>
        <v/>
      </c>
      <c r="BA60" s="828" t="str">
        <f t="shared" ca="1" si="85"/>
        <v/>
      </c>
      <c r="BB60" s="828" t="str">
        <f t="shared" ca="1" si="86"/>
        <v/>
      </c>
      <c r="BC60" s="828" t="str">
        <f t="shared" ca="1" si="87"/>
        <v/>
      </c>
      <c r="BD60" s="828" t="str">
        <f t="shared" ca="1" si="88"/>
        <v/>
      </c>
      <c r="BE60" s="828" t="str">
        <f t="shared" ca="1" si="89"/>
        <v/>
      </c>
      <c r="BF60" s="828" t="str">
        <f t="shared" ca="1" si="90"/>
        <v/>
      </c>
      <c r="BG60" s="828" t="str">
        <f t="shared" ca="1" si="91"/>
        <v/>
      </c>
      <c r="BH60" s="828" t="str">
        <f t="shared" ca="1" si="92"/>
        <v/>
      </c>
      <c r="BI60" s="828" t="str">
        <f t="shared" ca="1" si="93"/>
        <v/>
      </c>
      <c r="BJ60" s="828" t="str">
        <f t="shared" ca="1" si="94"/>
        <v/>
      </c>
      <c r="BK60" s="828" t="str">
        <f t="shared" ca="1" si="95"/>
        <v/>
      </c>
      <c r="BL60" s="828" t="str">
        <f t="shared" ca="1" si="96"/>
        <v/>
      </c>
      <c r="BM60" s="828" t="str">
        <f t="shared" ca="1" si="97"/>
        <v/>
      </c>
      <c r="BN60" s="828" t="str">
        <f t="shared" ca="1" si="98"/>
        <v/>
      </c>
      <c r="BO60" s="850" t="str">
        <f t="shared" ca="1" si="99"/>
        <v/>
      </c>
      <c r="BP60" s="841"/>
    </row>
    <row r="61" spans="1:68" ht="20.100000000000001" customHeight="1">
      <c r="A61" s="823">
        <v>64</v>
      </c>
      <c r="B61" s="1889"/>
      <c r="C61" s="1872"/>
      <c r="D61" s="851" t="s">
        <v>4426</v>
      </c>
      <c r="E61" s="831" t="str">
        <f ca="1">OFFSET(A1_その他欄集計,9,7)</f>
        <v/>
      </c>
      <c r="F61" s="833"/>
      <c r="G61" s="826" t="s">
        <v>4196</v>
      </c>
      <c r="H61" s="827">
        <f t="shared" ca="1" si="52"/>
        <v>0</v>
      </c>
      <c r="I61" s="827">
        <f t="shared" ca="1" si="53"/>
        <v>0</v>
      </c>
      <c r="J61" s="827">
        <f t="shared" ca="1" si="54"/>
        <v>0</v>
      </c>
      <c r="K61" s="827">
        <f t="shared" ca="1" si="55"/>
        <v>0</v>
      </c>
      <c r="L61" s="828">
        <f t="shared" ca="1" si="49"/>
        <v>0</v>
      </c>
      <c r="M61" s="828">
        <f t="shared" ca="1" si="49"/>
        <v>0</v>
      </c>
      <c r="N61" s="828">
        <f t="shared" ca="1" si="49"/>
        <v>0</v>
      </c>
      <c r="O61" s="828">
        <f t="shared" ca="1" si="49"/>
        <v>0</v>
      </c>
      <c r="P61" s="828">
        <f ca="1">SUM(SUMIFS(OFFSET(貼付け_2024実績,$A61,9,1,199),OFFSET(貼付け_2024実績,4,9,1,199),{"横浜*","川崎*"}))</f>
        <v>0</v>
      </c>
      <c r="Q61" s="828">
        <f ca="1">SUM(SUMIFS(OFFSET(貼付け_2025実績,$A61,9,1,199),OFFSET(貼付け_2025実績,4,9,1,199),{"横浜*","川崎*"}))</f>
        <v>0</v>
      </c>
      <c r="R61" s="828">
        <f ca="1">SUM(SUMIFS(OFFSET(貼付け_2026実績,$A61,9,1,199),OFFSET(貼付け_2026実績,4,9,1,199),{"横浜*","川崎*"}))</f>
        <v>0</v>
      </c>
      <c r="S61" s="828">
        <f ca="1">SUM(SUMIFS(OFFSET(貼付け_2027実績,$A61,9,1,199),OFFSET(貼付け_2027実績,4,9,1,199),{"横浜*","川崎*"}))</f>
        <v>0</v>
      </c>
      <c r="T61" s="828">
        <f t="shared" ca="1" si="50"/>
        <v>0</v>
      </c>
      <c r="U61" s="828">
        <f t="shared" ca="1" si="50"/>
        <v>0</v>
      </c>
      <c r="V61" s="828">
        <f t="shared" ca="1" si="50"/>
        <v>0</v>
      </c>
      <c r="W61" s="828">
        <f t="shared" ca="1" si="50"/>
        <v>0</v>
      </c>
      <c r="X61" s="828">
        <f t="shared" ca="1" si="56"/>
        <v>0</v>
      </c>
      <c r="Y61" s="828">
        <f t="shared" ca="1" si="57"/>
        <v>0</v>
      </c>
      <c r="Z61" s="828">
        <f t="shared" ca="1" si="58"/>
        <v>0</v>
      </c>
      <c r="AA61" s="828">
        <f t="shared" ca="1" si="59"/>
        <v>0</v>
      </c>
      <c r="AB61" s="828" t="str">
        <f t="shared" ca="1" si="60"/>
        <v/>
      </c>
      <c r="AC61" s="828" t="str">
        <f t="shared" ca="1" si="61"/>
        <v/>
      </c>
      <c r="AD61" s="828" t="str">
        <f t="shared" ca="1" si="62"/>
        <v/>
      </c>
      <c r="AE61" s="828" t="str">
        <f t="shared" ca="1" si="63"/>
        <v/>
      </c>
      <c r="AF61" s="828" t="str">
        <f t="shared" ca="1" si="64"/>
        <v/>
      </c>
      <c r="AG61" s="828" t="str">
        <f t="shared" ca="1" si="65"/>
        <v/>
      </c>
      <c r="AH61" s="828" t="str">
        <f t="shared" ca="1" si="66"/>
        <v/>
      </c>
      <c r="AI61" s="828" t="str">
        <f t="shared" ca="1" si="67"/>
        <v/>
      </c>
      <c r="AJ61" s="828" t="str">
        <f t="shared" ca="1" si="68"/>
        <v/>
      </c>
      <c r="AK61" s="828" t="str">
        <f t="shared" ca="1" si="69"/>
        <v/>
      </c>
      <c r="AL61" s="828" t="str">
        <f t="shared" ca="1" si="70"/>
        <v/>
      </c>
      <c r="AM61" s="828" t="str">
        <f t="shared" ca="1" si="71"/>
        <v/>
      </c>
      <c r="AN61" s="828" t="str">
        <f t="shared" ca="1" si="72"/>
        <v/>
      </c>
      <c r="AO61" s="828" t="str">
        <f t="shared" ca="1" si="73"/>
        <v/>
      </c>
      <c r="AP61" s="828" t="str">
        <f t="shared" ca="1" si="74"/>
        <v/>
      </c>
      <c r="AQ61" s="828" t="str">
        <f t="shared" ca="1" si="75"/>
        <v/>
      </c>
      <c r="AR61" s="828" t="str">
        <f t="shared" ca="1" si="76"/>
        <v/>
      </c>
      <c r="AS61" s="828" t="str">
        <f t="shared" ca="1" si="77"/>
        <v/>
      </c>
      <c r="AT61" s="828" t="str">
        <f t="shared" ca="1" si="78"/>
        <v/>
      </c>
      <c r="AU61" s="828" t="str">
        <f t="shared" ca="1" si="79"/>
        <v/>
      </c>
      <c r="AV61" s="828" t="str">
        <f t="shared" ca="1" si="80"/>
        <v/>
      </c>
      <c r="AW61" s="828" t="str">
        <f t="shared" ca="1" si="81"/>
        <v/>
      </c>
      <c r="AX61" s="828" t="str">
        <f t="shared" ca="1" si="82"/>
        <v/>
      </c>
      <c r="AY61" s="828" t="str">
        <f t="shared" ca="1" si="83"/>
        <v/>
      </c>
      <c r="AZ61" s="828" t="str">
        <f t="shared" ca="1" si="84"/>
        <v/>
      </c>
      <c r="BA61" s="828" t="str">
        <f t="shared" ca="1" si="85"/>
        <v/>
      </c>
      <c r="BB61" s="828" t="str">
        <f t="shared" ca="1" si="86"/>
        <v/>
      </c>
      <c r="BC61" s="828" t="str">
        <f t="shared" ca="1" si="87"/>
        <v/>
      </c>
      <c r="BD61" s="828" t="str">
        <f t="shared" ca="1" si="88"/>
        <v/>
      </c>
      <c r="BE61" s="828" t="str">
        <f t="shared" ca="1" si="89"/>
        <v/>
      </c>
      <c r="BF61" s="828" t="str">
        <f t="shared" ca="1" si="90"/>
        <v/>
      </c>
      <c r="BG61" s="828" t="str">
        <f t="shared" ca="1" si="91"/>
        <v/>
      </c>
      <c r="BH61" s="828" t="str">
        <f t="shared" ca="1" si="92"/>
        <v/>
      </c>
      <c r="BI61" s="828" t="str">
        <f t="shared" ca="1" si="93"/>
        <v/>
      </c>
      <c r="BJ61" s="828" t="str">
        <f t="shared" ca="1" si="94"/>
        <v/>
      </c>
      <c r="BK61" s="828" t="str">
        <f t="shared" ca="1" si="95"/>
        <v/>
      </c>
      <c r="BL61" s="828" t="str">
        <f t="shared" ca="1" si="96"/>
        <v/>
      </c>
      <c r="BM61" s="828" t="str">
        <f t="shared" ca="1" si="97"/>
        <v/>
      </c>
      <c r="BN61" s="828" t="str">
        <f t="shared" ca="1" si="98"/>
        <v/>
      </c>
      <c r="BO61" s="850" t="str">
        <f t="shared" ca="1" si="99"/>
        <v/>
      </c>
      <c r="BP61" s="841"/>
    </row>
    <row r="62" spans="1:68" ht="20.100000000000001" customHeight="1">
      <c r="A62" s="823">
        <v>66</v>
      </c>
      <c r="B62" s="1889"/>
      <c r="C62" s="1872" t="s">
        <v>4427</v>
      </c>
      <c r="D62" s="852" t="s">
        <v>4428</v>
      </c>
      <c r="E62" s="824"/>
      <c r="F62" s="849"/>
      <c r="G62" s="826" t="s">
        <v>4196</v>
      </c>
      <c r="H62" s="827">
        <f t="shared" ca="1" si="52"/>
        <v>0</v>
      </c>
      <c r="I62" s="827">
        <f t="shared" ca="1" si="53"/>
        <v>0</v>
      </c>
      <c r="J62" s="827">
        <f t="shared" ca="1" si="54"/>
        <v>0</v>
      </c>
      <c r="K62" s="827">
        <f t="shared" ca="1" si="55"/>
        <v>0</v>
      </c>
      <c r="L62" s="828">
        <f t="shared" ca="1" si="49"/>
        <v>0</v>
      </c>
      <c r="M62" s="828">
        <f t="shared" ca="1" si="49"/>
        <v>0</v>
      </c>
      <c r="N62" s="828">
        <f t="shared" ca="1" si="49"/>
        <v>0</v>
      </c>
      <c r="O62" s="828">
        <f t="shared" ca="1" si="49"/>
        <v>0</v>
      </c>
      <c r="P62" s="828">
        <f ca="1">SUM(SUMIFS(OFFSET(貼付け_2024実績,$A62,9,1,199),OFFSET(貼付け_2024実績,4,9,1,199),{"横浜*","川崎*"}))</f>
        <v>0</v>
      </c>
      <c r="Q62" s="828">
        <f ca="1">SUM(SUMIFS(OFFSET(貼付け_2025実績,$A62,9,1,199),OFFSET(貼付け_2025実績,4,9,1,199),{"横浜*","川崎*"}))</f>
        <v>0</v>
      </c>
      <c r="R62" s="828">
        <f ca="1">SUM(SUMIFS(OFFSET(貼付け_2026実績,$A62,9,1,199),OFFSET(貼付け_2026実績,4,9,1,199),{"横浜*","川崎*"}))</f>
        <v>0</v>
      </c>
      <c r="S62" s="828">
        <f ca="1">SUM(SUMIFS(OFFSET(貼付け_2027実績,$A62,9,1,199),OFFSET(貼付け_2027実績,4,9,1,199),{"横浜*","川崎*"}))</f>
        <v>0</v>
      </c>
      <c r="T62" s="828">
        <f t="shared" ca="1" si="50"/>
        <v>0</v>
      </c>
      <c r="U62" s="828">
        <f t="shared" ca="1" si="50"/>
        <v>0</v>
      </c>
      <c r="V62" s="828">
        <f t="shared" ca="1" si="50"/>
        <v>0</v>
      </c>
      <c r="W62" s="828">
        <f t="shared" ca="1" si="50"/>
        <v>0</v>
      </c>
      <c r="X62" s="828">
        <f t="shared" ca="1" si="56"/>
        <v>0</v>
      </c>
      <c r="Y62" s="828">
        <f t="shared" ca="1" si="57"/>
        <v>0</v>
      </c>
      <c r="Z62" s="828">
        <f t="shared" ca="1" si="58"/>
        <v>0</v>
      </c>
      <c r="AA62" s="828">
        <f t="shared" ca="1" si="59"/>
        <v>0</v>
      </c>
      <c r="AB62" s="828" t="str">
        <f t="shared" ca="1" si="60"/>
        <v/>
      </c>
      <c r="AC62" s="828" t="str">
        <f t="shared" ca="1" si="61"/>
        <v/>
      </c>
      <c r="AD62" s="828" t="str">
        <f t="shared" ca="1" si="62"/>
        <v/>
      </c>
      <c r="AE62" s="828" t="str">
        <f t="shared" ca="1" si="63"/>
        <v/>
      </c>
      <c r="AF62" s="828" t="str">
        <f t="shared" ca="1" si="64"/>
        <v/>
      </c>
      <c r="AG62" s="828" t="str">
        <f t="shared" ca="1" si="65"/>
        <v/>
      </c>
      <c r="AH62" s="828" t="str">
        <f t="shared" ca="1" si="66"/>
        <v/>
      </c>
      <c r="AI62" s="828" t="str">
        <f t="shared" ca="1" si="67"/>
        <v/>
      </c>
      <c r="AJ62" s="828" t="str">
        <f t="shared" ca="1" si="68"/>
        <v/>
      </c>
      <c r="AK62" s="828" t="str">
        <f t="shared" ca="1" si="69"/>
        <v/>
      </c>
      <c r="AL62" s="828" t="str">
        <f t="shared" ca="1" si="70"/>
        <v/>
      </c>
      <c r="AM62" s="828" t="str">
        <f t="shared" ca="1" si="71"/>
        <v/>
      </c>
      <c r="AN62" s="828" t="str">
        <f t="shared" ca="1" si="72"/>
        <v/>
      </c>
      <c r="AO62" s="828" t="str">
        <f t="shared" ca="1" si="73"/>
        <v/>
      </c>
      <c r="AP62" s="828" t="str">
        <f t="shared" ca="1" si="74"/>
        <v/>
      </c>
      <c r="AQ62" s="828" t="str">
        <f t="shared" ca="1" si="75"/>
        <v/>
      </c>
      <c r="AR62" s="828" t="str">
        <f t="shared" ca="1" si="76"/>
        <v/>
      </c>
      <c r="AS62" s="828" t="str">
        <f t="shared" ca="1" si="77"/>
        <v/>
      </c>
      <c r="AT62" s="828" t="str">
        <f t="shared" ca="1" si="78"/>
        <v/>
      </c>
      <c r="AU62" s="828" t="str">
        <f t="shared" ca="1" si="79"/>
        <v/>
      </c>
      <c r="AV62" s="828" t="str">
        <f t="shared" ca="1" si="80"/>
        <v/>
      </c>
      <c r="AW62" s="828" t="str">
        <f t="shared" ca="1" si="81"/>
        <v/>
      </c>
      <c r="AX62" s="828" t="str">
        <f t="shared" ca="1" si="82"/>
        <v/>
      </c>
      <c r="AY62" s="828" t="str">
        <f t="shared" ca="1" si="83"/>
        <v/>
      </c>
      <c r="AZ62" s="828" t="str">
        <f t="shared" ca="1" si="84"/>
        <v/>
      </c>
      <c r="BA62" s="828" t="str">
        <f t="shared" ca="1" si="85"/>
        <v/>
      </c>
      <c r="BB62" s="828" t="str">
        <f t="shared" ca="1" si="86"/>
        <v/>
      </c>
      <c r="BC62" s="828" t="str">
        <f t="shared" ca="1" si="87"/>
        <v/>
      </c>
      <c r="BD62" s="828" t="str">
        <f t="shared" ca="1" si="88"/>
        <v/>
      </c>
      <c r="BE62" s="828" t="str">
        <f t="shared" ca="1" si="89"/>
        <v/>
      </c>
      <c r="BF62" s="828" t="str">
        <f t="shared" ca="1" si="90"/>
        <v/>
      </c>
      <c r="BG62" s="828" t="str">
        <f t="shared" ca="1" si="91"/>
        <v/>
      </c>
      <c r="BH62" s="828" t="str">
        <f t="shared" ca="1" si="92"/>
        <v/>
      </c>
      <c r="BI62" s="828" t="str">
        <f t="shared" ca="1" si="93"/>
        <v/>
      </c>
      <c r="BJ62" s="828" t="str">
        <f t="shared" ca="1" si="94"/>
        <v/>
      </c>
      <c r="BK62" s="828" t="str">
        <f t="shared" ca="1" si="95"/>
        <v/>
      </c>
      <c r="BL62" s="828" t="str">
        <f t="shared" ca="1" si="96"/>
        <v/>
      </c>
      <c r="BM62" s="828" t="str">
        <f t="shared" ca="1" si="97"/>
        <v/>
      </c>
      <c r="BN62" s="828" t="str">
        <f t="shared" ca="1" si="98"/>
        <v/>
      </c>
      <c r="BO62" s="850" t="str">
        <f t="shared" ca="1" si="99"/>
        <v/>
      </c>
      <c r="BP62" s="841"/>
    </row>
    <row r="63" spans="1:68" ht="20.100000000000001" customHeight="1">
      <c r="A63" s="823">
        <v>67</v>
      </c>
      <c r="B63" s="1889"/>
      <c r="C63" s="1872"/>
      <c r="D63" s="852" t="s">
        <v>4429</v>
      </c>
      <c r="E63" s="824"/>
      <c r="F63" s="849"/>
      <c r="G63" s="826" t="s">
        <v>4196</v>
      </c>
      <c r="H63" s="827">
        <f t="shared" ca="1" si="52"/>
        <v>0</v>
      </c>
      <c r="I63" s="827">
        <f t="shared" ca="1" si="53"/>
        <v>0</v>
      </c>
      <c r="J63" s="827">
        <f t="shared" ca="1" si="54"/>
        <v>0</v>
      </c>
      <c r="K63" s="827">
        <f t="shared" ca="1" si="55"/>
        <v>0</v>
      </c>
      <c r="L63" s="828">
        <f t="shared" ca="1" si="49"/>
        <v>0</v>
      </c>
      <c r="M63" s="828">
        <f t="shared" ca="1" si="49"/>
        <v>0</v>
      </c>
      <c r="N63" s="828">
        <f t="shared" ca="1" si="49"/>
        <v>0</v>
      </c>
      <c r="O63" s="828">
        <f t="shared" ca="1" si="49"/>
        <v>0</v>
      </c>
      <c r="P63" s="828">
        <f ca="1">SUM(SUMIFS(OFFSET(貼付け_2024実績,$A63,9,1,199),OFFSET(貼付け_2024実績,4,9,1,199),{"横浜*","川崎*"}))</f>
        <v>0</v>
      </c>
      <c r="Q63" s="828">
        <f ca="1">SUM(SUMIFS(OFFSET(貼付け_2025実績,$A63,9,1,199),OFFSET(貼付け_2025実績,4,9,1,199),{"横浜*","川崎*"}))</f>
        <v>0</v>
      </c>
      <c r="R63" s="828">
        <f ca="1">SUM(SUMIFS(OFFSET(貼付け_2026実績,$A63,9,1,199),OFFSET(貼付け_2026実績,4,9,1,199),{"横浜*","川崎*"}))</f>
        <v>0</v>
      </c>
      <c r="S63" s="828">
        <f ca="1">SUM(SUMIFS(OFFSET(貼付け_2027実績,$A63,9,1,199),OFFSET(貼付け_2027実績,4,9,1,199),{"横浜*","川崎*"}))</f>
        <v>0</v>
      </c>
      <c r="T63" s="828">
        <f t="shared" ca="1" si="50"/>
        <v>0</v>
      </c>
      <c r="U63" s="828">
        <f t="shared" ca="1" si="50"/>
        <v>0</v>
      </c>
      <c r="V63" s="828">
        <f t="shared" ca="1" si="50"/>
        <v>0</v>
      </c>
      <c r="W63" s="828">
        <f t="shared" ca="1" si="50"/>
        <v>0</v>
      </c>
      <c r="X63" s="828">
        <f t="shared" ca="1" si="56"/>
        <v>0</v>
      </c>
      <c r="Y63" s="828">
        <f t="shared" ca="1" si="57"/>
        <v>0</v>
      </c>
      <c r="Z63" s="828">
        <f t="shared" ca="1" si="58"/>
        <v>0</v>
      </c>
      <c r="AA63" s="828">
        <f t="shared" ca="1" si="59"/>
        <v>0</v>
      </c>
      <c r="AB63" s="828" t="str">
        <f t="shared" ca="1" si="60"/>
        <v/>
      </c>
      <c r="AC63" s="828" t="str">
        <f t="shared" ca="1" si="61"/>
        <v/>
      </c>
      <c r="AD63" s="828" t="str">
        <f t="shared" ca="1" si="62"/>
        <v/>
      </c>
      <c r="AE63" s="828" t="str">
        <f t="shared" ca="1" si="63"/>
        <v/>
      </c>
      <c r="AF63" s="828" t="str">
        <f t="shared" ca="1" si="64"/>
        <v/>
      </c>
      <c r="AG63" s="828" t="str">
        <f t="shared" ca="1" si="65"/>
        <v/>
      </c>
      <c r="AH63" s="828" t="str">
        <f t="shared" ca="1" si="66"/>
        <v/>
      </c>
      <c r="AI63" s="828" t="str">
        <f t="shared" ca="1" si="67"/>
        <v/>
      </c>
      <c r="AJ63" s="828" t="str">
        <f t="shared" ca="1" si="68"/>
        <v/>
      </c>
      <c r="AK63" s="828" t="str">
        <f t="shared" ca="1" si="69"/>
        <v/>
      </c>
      <c r="AL63" s="828" t="str">
        <f t="shared" ca="1" si="70"/>
        <v/>
      </c>
      <c r="AM63" s="828" t="str">
        <f t="shared" ca="1" si="71"/>
        <v/>
      </c>
      <c r="AN63" s="828" t="str">
        <f t="shared" ca="1" si="72"/>
        <v/>
      </c>
      <c r="AO63" s="828" t="str">
        <f t="shared" ca="1" si="73"/>
        <v/>
      </c>
      <c r="AP63" s="828" t="str">
        <f t="shared" ca="1" si="74"/>
        <v/>
      </c>
      <c r="AQ63" s="828" t="str">
        <f t="shared" ca="1" si="75"/>
        <v/>
      </c>
      <c r="AR63" s="828" t="str">
        <f t="shared" ca="1" si="76"/>
        <v/>
      </c>
      <c r="AS63" s="828" t="str">
        <f t="shared" ca="1" si="77"/>
        <v/>
      </c>
      <c r="AT63" s="828" t="str">
        <f t="shared" ca="1" si="78"/>
        <v/>
      </c>
      <c r="AU63" s="828" t="str">
        <f t="shared" ca="1" si="79"/>
        <v/>
      </c>
      <c r="AV63" s="828" t="str">
        <f t="shared" ca="1" si="80"/>
        <v/>
      </c>
      <c r="AW63" s="828" t="str">
        <f t="shared" ca="1" si="81"/>
        <v/>
      </c>
      <c r="AX63" s="828" t="str">
        <f t="shared" ca="1" si="82"/>
        <v/>
      </c>
      <c r="AY63" s="828" t="str">
        <f t="shared" ca="1" si="83"/>
        <v/>
      </c>
      <c r="AZ63" s="828" t="str">
        <f t="shared" ca="1" si="84"/>
        <v/>
      </c>
      <c r="BA63" s="828" t="str">
        <f t="shared" ca="1" si="85"/>
        <v/>
      </c>
      <c r="BB63" s="828" t="str">
        <f t="shared" ca="1" si="86"/>
        <v/>
      </c>
      <c r="BC63" s="828" t="str">
        <f t="shared" ca="1" si="87"/>
        <v/>
      </c>
      <c r="BD63" s="828" t="str">
        <f t="shared" ca="1" si="88"/>
        <v/>
      </c>
      <c r="BE63" s="828" t="str">
        <f t="shared" ca="1" si="89"/>
        <v/>
      </c>
      <c r="BF63" s="828" t="str">
        <f t="shared" ca="1" si="90"/>
        <v/>
      </c>
      <c r="BG63" s="828" t="str">
        <f t="shared" ca="1" si="91"/>
        <v/>
      </c>
      <c r="BH63" s="828" t="str">
        <f t="shared" ca="1" si="92"/>
        <v/>
      </c>
      <c r="BI63" s="828" t="str">
        <f t="shared" ca="1" si="93"/>
        <v/>
      </c>
      <c r="BJ63" s="828" t="str">
        <f t="shared" ca="1" si="94"/>
        <v/>
      </c>
      <c r="BK63" s="828" t="str">
        <f t="shared" ca="1" si="95"/>
        <v/>
      </c>
      <c r="BL63" s="828" t="str">
        <f t="shared" ca="1" si="96"/>
        <v/>
      </c>
      <c r="BM63" s="828" t="str">
        <f t="shared" ca="1" si="97"/>
        <v/>
      </c>
      <c r="BN63" s="828" t="str">
        <f t="shared" ca="1" si="98"/>
        <v/>
      </c>
      <c r="BO63" s="850" t="str">
        <f t="shared" ca="1" si="99"/>
        <v/>
      </c>
      <c r="BP63" s="841"/>
    </row>
    <row r="64" spans="1:68" ht="20.100000000000001" customHeight="1">
      <c r="A64" s="823">
        <v>68</v>
      </c>
      <c r="B64" s="1889"/>
      <c r="C64" s="1872"/>
      <c r="D64" s="852" t="s">
        <v>4430</v>
      </c>
      <c r="E64" s="824"/>
      <c r="F64" s="849"/>
      <c r="G64" s="826" t="s">
        <v>4196</v>
      </c>
      <c r="H64" s="827">
        <f t="shared" ca="1" si="52"/>
        <v>0</v>
      </c>
      <c r="I64" s="827">
        <f t="shared" ca="1" si="53"/>
        <v>0</v>
      </c>
      <c r="J64" s="827">
        <f t="shared" ca="1" si="54"/>
        <v>0</v>
      </c>
      <c r="K64" s="827">
        <f t="shared" ca="1" si="55"/>
        <v>0</v>
      </c>
      <c r="L64" s="828">
        <f t="shared" ca="1" si="49"/>
        <v>0</v>
      </c>
      <c r="M64" s="828">
        <f t="shared" ca="1" si="49"/>
        <v>0</v>
      </c>
      <c r="N64" s="828">
        <f t="shared" ca="1" si="49"/>
        <v>0</v>
      </c>
      <c r="O64" s="828">
        <f t="shared" ca="1" si="49"/>
        <v>0</v>
      </c>
      <c r="P64" s="828">
        <f ca="1">SUM(SUMIFS(OFFSET(貼付け_2024実績,$A64,9,1,199),OFFSET(貼付け_2024実績,4,9,1,199),{"横浜*","川崎*"}))</f>
        <v>0</v>
      </c>
      <c r="Q64" s="828">
        <f ca="1">SUM(SUMIFS(OFFSET(貼付け_2025実績,$A64,9,1,199),OFFSET(貼付け_2025実績,4,9,1,199),{"横浜*","川崎*"}))</f>
        <v>0</v>
      </c>
      <c r="R64" s="828">
        <f ca="1">SUM(SUMIFS(OFFSET(貼付け_2026実績,$A64,9,1,199),OFFSET(貼付け_2026実績,4,9,1,199),{"横浜*","川崎*"}))</f>
        <v>0</v>
      </c>
      <c r="S64" s="828">
        <f ca="1">SUM(SUMIFS(OFFSET(貼付け_2027実績,$A64,9,1,199),OFFSET(貼付け_2027実績,4,9,1,199),{"横浜*","川崎*"}))</f>
        <v>0</v>
      </c>
      <c r="T64" s="828">
        <f t="shared" ca="1" si="50"/>
        <v>0</v>
      </c>
      <c r="U64" s="828">
        <f t="shared" ca="1" si="50"/>
        <v>0</v>
      </c>
      <c r="V64" s="828">
        <f t="shared" ca="1" si="50"/>
        <v>0</v>
      </c>
      <c r="W64" s="828">
        <f t="shared" ca="1" si="50"/>
        <v>0</v>
      </c>
      <c r="X64" s="828">
        <f t="shared" ca="1" si="56"/>
        <v>0</v>
      </c>
      <c r="Y64" s="828">
        <f t="shared" ca="1" si="57"/>
        <v>0</v>
      </c>
      <c r="Z64" s="828">
        <f t="shared" ca="1" si="58"/>
        <v>0</v>
      </c>
      <c r="AA64" s="828">
        <f t="shared" ca="1" si="59"/>
        <v>0</v>
      </c>
      <c r="AB64" s="828" t="str">
        <f t="shared" ca="1" si="60"/>
        <v/>
      </c>
      <c r="AC64" s="828" t="str">
        <f t="shared" ca="1" si="61"/>
        <v/>
      </c>
      <c r="AD64" s="828" t="str">
        <f t="shared" ca="1" si="62"/>
        <v/>
      </c>
      <c r="AE64" s="828" t="str">
        <f t="shared" ca="1" si="63"/>
        <v/>
      </c>
      <c r="AF64" s="828" t="str">
        <f t="shared" ca="1" si="64"/>
        <v/>
      </c>
      <c r="AG64" s="828" t="str">
        <f t="shared" ca="1" si="65"/>
        <v/>
      </c>
      <c r="AH64" s="828" t="str">
        <f t="shared" ca="1" si="66"/>
        <v/>
      </c>
      <c r="AI64" s="828" t="str">
        <f t="shared" ca="1" si="67"/>
        <v/>
      </c>
      <c r="AJ64" s="828" t="str">
        <f t="shared" ca="1" si="68"/>
        <v/>
      </c>
      <c r="AK64" s="828" t="str">
        <f t="shared" ca="1" si="69"/>
        <v/>
      </c>
      <c r="AL64" s="828" t="str">
        <f t="shared" ca="1" si="70"/>
        <v/>
      </c>
      <c r="AM64" s="828" t="str">
        <f t="shared" ca="1" si="71"/>
        <v/>
      </c>
      <c r="AN64" s="828" t="str">
        <f t="shared" ca="1" si="72"/>
        <v/>
      </c>
      <c r="AO64" s="828" t="str">
        <f t="shared" ca="1" si="73"/>
        <v/>
      </c>
      <c r="AP64" s="828" t="str">
        <f t="shared" ca="1" si="74"/>
        <v/>
      </c>
      <c r="AQ64" s="828" t="str">
        <f t="shared" ca="1" si="75"/>
        <v/>
      </c>
      <c r="AR64" s="828" t="str">
        <f t="shared" ca="1" si="76"/>
        <v/>
      </c>
      <c r="AS64" s="828" t="str">
        <f t="shared" ca="1" si="77"/>
        <v/>
      </c>
      <c r="AT64" s="828" t="str">
        <f t="shared" ca="1" si="78"/>
        <v/>
      </c>
      <c r="AU64" s="828" t="str">
        <f t="shared" ca="1" si="79"/>
        <v/>
      </c>
      <c r="AV64" s="828" t="str">
        <f t="shared" ca="1" si="80"/>
        <v/>
      </c>
      <c r="AW64" s="828" t="str">
        <f t="shared" ca="1" si="81"/>
        <v/>
      </c>
      <c r="AX64" s="828" t="str">
        <f t="shared" ca="1" si="82"/>
        <v/>
      </c>
      <c r="AY64" s="828" t="str">
        <f t="shared" ca="1" si="83"/>
        <v/>
      </c>
      <c r="AZ64" s="828" t="str">
        <f t="shared" ca="1" si="84"/>
        <v/>
      </c>
      <c r="BA64" s="828" t="str">
        <f t="shared" ca="1" si="85"/>
        <v/>
      </c>
      <c r="BB64" s="828" t="str">
        <f t="shared" ca="1" si="86"/>
        <v/>
      </c>
      <c r="BC64" s="828" t="str">
        <f t="shared" ca="1" si="87"/>
        <v/>
      </c>
      <c r="BD64" s="828" t="str">
        <f t="shared" ca="1" si="88"/>
        <v/>
      </c>
      <c r="BE64" s="828" t="str">
        <f t="shared" ca="1" si="89"/>
        <v/>
      </c>
      <c r="BF64" s="828" t="str">
        <f t="shared" ca="1" si="90"/>
        <v/>
      </c>
      <c r="BG64" s="828" t="str">
        <f t="shared" ca="1" si="91"/>
        <v/>
      </c>
      <c r="BH64" s="828" t="str">
        <f t="shared" ca="1" si="92"/>
        <v/>
      </c>
      <c r="BI64" s="828" t="str">
        <f t="shared" ca="1" si="93"/>
        <v/>
      </c>
      <c r="BJ64" s="828" t="str">
        <f t="shared" ca="1" si="94"/>
        <v/>
      </c>
      <c r="BK64" s="828" t="str">
        <f t="shared" ca="1" si="95"/>
        <v/>
      </c>
      <c r="BL64" s="828" t="str">
        <f t="shared" ca="1" si="96"/>
        <v/>
      </c>
      <c r="BM64" s="828" t="str">
        <f t="shared" ca="1" si="97"/>
        <v/>
      </c>
      <c r="BN64" s="828" t="str">
        <f t="shared" ca="1" si="98"/>
        <v/>
      </c>
      <c r="BO64" s="850" t="str">
        <f t="shared" ca="1" si="99"/>
        <v/>
      </c>
      <c r="BP64" s="841"/>
    </row>
    <row r="65" spans="1:68" ht="20.100000000000001" customHeight="1">
      <c r="A65" s="823">
        <v>69</v>
      </c>
      <c r="B65" s="1889"/>
      <c r="C65" s="1872"/>
      <c r="D65" s="852" t="s">
        <v>4431</v>
      </c>
      <c r="E65" s="824"/>
      <c r="F65" s="849"/>
      <c r="G65" s="826" t="s">
        <v>4196</v>
      </c>
      <c r="H65" s="827">
        <f t="shared" ca="1" si="52"/>
        <v>0</v>
      </c>
      <c r="I65" s="827">
        <f t="shared" ca="1" si="53"/>
        <v>0</v>
      </c>
      <c r="J65" s="827">
        <f t="shared" ca="1" si="54"/>
        <v>0</v>
      </c>
      <c r="K65" s="827">
        <f t="shared" ca="1" si="55"/>
        <v>0</v>
      </c>
      <c r="L65" s="828">
        <f t="shared" ca="1" si="49"/>
        <v>0</v>
      </c>
      <c r="M65" s="828">
        <f t="shared" ca="1" si="49"/>
        <v>0</v>
      </c>
      <c r="N65" s="828">
        <f t="shared" ca="1" si="49"/>
        <v>0</v>
      </c>
      <c r="O65" s="828">
        <f t="shared" ca="1" si="49"/>
        <v>0</v>
      </c>
      <c r="P65" s="828">
        <f ca="1">SUM(SUMIFS(OFFSET(貼付け_2024実績,$A65,9,1,199),OFFSET(貼付け_2024実績,4,9,1,199),{"横浜*","川崎*"}))</f>
        <v>0</v>
      </c>
      <c r="Q65" s="828">
        <f ca="1">SUM(SUMIFS(OFFSET(貼付け_2025実績,$A65,9,1,199),OFFSET(貼付け_2025実績,4,9,1,199),{"横浜*","川崎*"}))</f>
        <v>0</v>
      </c>
      <c r="R65" s="828">
        <f ca="1">SUM(SUMIFS(OFFSET(貼付け_2026実績,$A65,9,1,199),OFFSET(貼付け_2026実績,4,9,1,199),{"横浜*","川崎*"}))</f>
        <v>0</v>
      </c>
      <c r="S65" s="828">
        <f ca="1">SUM(SUMIFS(OFFSET(貼付け_2027実績,$A65,9,1,199),OFFSET(貼付け_2027実績,4,9,1,199),{"横浜*","川崎*"}))</f>
        <v>0</v>
      </c>
      <c r="T65" s="828">
        <f t="shared" ca="1" si="50"/>
        <v>0</v>
      </c>
      <c r="U65" s="828">
        <f t="shared" ca="1" si="50"/>
        <v>0</v>
      </c>
      <c r="V65" s="828">
        <f t="shared" ca="1" si="50"/>
        <v>0</v>
      </c>
      <c r="W65" s="828">
        <f t="shared" ca="1" si="50"/>
        <v>0</v>
      </c>
      <c r="X65" s="828">
        <f t="shared" ca="1" si="56"/>
        <v>0</v>
      </c>
      <c r="Y65" s="828">
        <f t="shared" ca="1" si="57"/>
        <v>0</v>
      </c>
      <c r="Z65" s="828">
        <f t="shared" ca="1" si="58"/>
        <v>0</v>
      </c>
      <c r="AA65" s="828">
        <f t="shared" ca="1" si="59"/>
        <v>0</v>
      </c>
      <c r="AB65" s="828" t="str">
        <f t="shared" ca="1" si="60"/>
        <v/>
      </c>
      <c r="AC65" s="828" t="str">
        <f t="shared" ca="1" si="61"/>
        <v/>
      </c>
      <c r="AD65" s="828" t="str">
        <f t="shared" ca="1" si="62"/>
        <v/>
      </c>
      <c r="AE65" s="828" t="str">
        <f t="shared" ca="1" si="63"/>
        <v/>
      </c>
      <c r="AF65" s="828" t="str">
        <f t="shared" ca="1" si="64"/>
        <v/>
      </c>
      <c r="AG65" s="828" t="str">
        <f t="shared" ca="1" si="65"/>
        <v/>
      </c>
      <c r="AH65" s="828" t="str">
        <f t="shared" ca="1" si="66"/>
        <v/>
      </c>
      <c r="AI65" s="828" t="str">
        <f t="shared" ca="1" si="67"/>
        <v/>
      </c>
      <c r="AJ65" s="828" t="str">
        <f t="shared" ca="1" si="68"/>
        <v/>
      </c>
      <c r="AK65" s="828" t="str">
        <f t="shared" ca="1" si="69"/>
        <v/>
      </c>
      <c r="AL65" s="828" t="str">
        <f t="shared" ca="1" si="70"/>
        <v/>
      </c>
      <c r="AM65" s="828" t="str">
        <f t="shared" ca="1" si="71"/>
        <v/>
      </c>
      <c r="AN65" s="828" t="str">
        <f t="shared" ca="1" si="72"/>
        <v/>
      </c>
      <c r="AO65" s="828" t="str">
        <f t="shared" ca="1" si="73"/>
        <v/>
      </c>
      <c r="AP65" s="828" t="str">
        <f t="shared" ca="1" si="74"/>
        <v/>
      </c>
      <c r="AQ65" s="828" t="str">
        <f t="shared" ca="1" si="75"/>
        <v/>
      </c>
      <c r="AR65" s="828" t="str">
        <f t="shared" ca="1" si="76"/>
        <v/>
      </c>
      <c r="AS65" s="828" t="str">
        <f t="shared" ca="1" si="77"/>
        <v/>
      </c>
      <c r="AT65" s="828" t="str">
        <f t="shared" ca="1" si="78"/>
        <v/>
      </c>
      <c r="AU65" s="828" t="str">
        <f t="shared" ca="1" si="79"/>
        <v/>
      </c>
      <c r="AV65" s="828" t="str">
        <f t="shared" ca="1" si="80"/>
        <v/>
      </c>
      <c r="AW65" s="828" t="str">
        <f t="shared" ca="1" si="81"/>
        <v/>
      </c>
      <c r="AX65" s="828" t="str">
        <f t="shared" ca="1" si="82"/>
        <v/>
      </c>
      <c r="AY65" s="828" t="str">
        <f t="shared" ca="1" si="83"/>
        <v/>
      </c>
      <c r="AZ65" s="828" t="str">
        <f t="shared" ca="1" si="84"/>
        <v/>
      </c>
      <c r="BA65" s="828" t="str">
        <f t="shared" ca="1" si="85"/>
        <v/>
      </c>
      <c r="BB65" s="828" t="str">
        <f t="shared" ca="1" si="86"/>
        <v/>
      </c>
      <c r="BC65" s="828" t="str">
        <f t="shared" ca="1" si="87"/>
        <v/>
      </c>
      <c r="BD65" s="828" t="str">
        <f t="shared" ca="1" si="88"/>
        <v/>
      </c>
      <c r="BE65" s="828" t="str">
        <f t="shared" ca="1" si="89"/>
        <v/>
      </c>
      <c r="BF65" s="828" t="str">
        <f t="shared" ca="1" si="90"/>
        <v/>
      </c>
      <c r="BG65" s="828" t="str">
        <f t="shared" ca="1" si="91"/>
        <v/>
      </c>
      <c r="BH65" s="828" t="str">
        <f t="shared" ca="1" si="92"/>
        <v/>
      </c>
      <c r="BI65" s="828" t="str">
        <f t="shared" ca="1" si="93"/>
        <v/>
      </c>
      <c r="BJ65" s="828" t="str">
        <f t="shared" ca="1" si="94"/>
        <v/>
      </c>
      <c r="BK65" s="828" t="str">
        <f t="shared" ca="1" si="95"/>
        <v/>
      </c>
      <c r="BL65" s="828" t="str">
        <f t="shared" ca="1" si="96"/>
        <v/>
      </c>
      <c r="BM65" s="828" t="str">
        <f t="shared" ca="1" si="97"/>
        <v/>
      </c>
      <c r="BN65" s="828" t="str">
        <f t="shared" ca="1" si="98"/>
        <v/>
      </c>
      <c r="BO65" s="850" t="str">
        <f t="shared" ca="1" si="99"/>
        <v/>
      </c>
      <c r="BP65" s="841"/>
    </row>
    <row r="66" spans="1:68" ht="20.100000000000001" customHeight="1">
      <c r="A66" s="823">
        <v>70</v>
      </c>
      <c r="B66" s="1889"/>
      <c r="C66" s="1872"/>
      <c r="D66" s="853" t="s">
        <v>4432</v>
      </c>
      <c r="E66" s="831" t="str">
        <f ca="1">OFFSET(A1_その他欄集計,10,7)</f>
        <v/>
      </c>
      <c r="F66" s="833"/>
      <c r="G66" s="826" t="s">
        <v>4196</v>
      </c>
      <c r="H66" s="827">
        <f t="shared" ca="1" si="52"/>
        <v>0</v>
      </c>
      <c r="I66" s="827">
        <f t="shared" ca="1" si="53"/>
        <v>0</v>
      </c>
      <c r="J66" s="827">
        <f t="shared" ca="1" si="54"/>
        <v>0</v>
      </c>
      <c r="K66" s="827">
        <f t="shared" ca="1" si="55"/>
        <v>0</v>
      </c>
      <c r="L66" s="828">
        <f t="shared" ca="1" si="49"/>
        <v>0</v>
      </c>
      <c r="M66" s="828">
        <f t="shared" ca="1" si="49"/>
        <v>0</v>
      </c>
      <c r="N66" s="828">
        <f t="shared" ca="1" si="49"/>
        <v>0</v>
      </c>
      <c r="O66" s="828">
        <f t="shared" ca="1" si="49"/>
        <v>0</v>
      </c>
      <c r="P66" s="828">
        <f ca="1">SUM(SUMIFS(OFFSET(貼付け_2024実績,$A66,9,1,199),OFFSET(貼付け_2024実績,4,9,1,199),{"横浜*","川崎*"}))</f>
        <v>0</v>
      </c>
      <c r="Q66" s="828">
        <f ca="1">SUM(SUMIFS(OFFSET(貼付け_2025実績,$A66,9,1,199),OFFSET(貼付け_2025実績,4,9,1,199),{"横浜*","川崎*"}))</f>
        <v>0</v>
      </c>
      <c r="R66" s="828">
        <f ca="1">SUM(SUMIFS(OFFSET(貼付け_2026実績,$A66,9,1,199),OFFSET(貼付け_2026実績,4,9,1,199),{"横浜*","川崎*"}))</f>
        <v>0</v>
      </c>
      <c r="S66" s="828">
        <f ca="1">SUM(SUMIFS(OFFSET(貼付け_2027実績,$A66,9,1,199),OFFSET(貼付け_2027実績,4,9,1,199),{"横浜*","川崎*"}))</f>
        <v>0</v>
      </c>
      <c r="T66" s="828">
        <f t="shared" ca="1" si="50"/>
        <v>0</v>
      </c>
      <c r="U66" s="828">
        <f t="shared" ca="1" si="50"/>
        <v>0</v>
      </c>
      <c r="V66" s="828">
        <f t="shared" ca="1" si="50"/>
        <v>0</v>
      </c>
      <c r="W66" s="828">
        <f t="shared" ca="1" si="50"/>
        <v>0</v>
      </c>
      <c r="X66" s="828">
        <f t="shared" ca="1" si="56"/>
        <v>0</v>
      </c>
      <c r="Y66" s="828">
        <f t="shared" ca="1" si="57"/>
        <v>0</v>
      </c>
      <c r="Z66" s="828">
        <f t="shared" ca="1" si="58"/>
        <v>0</v>
      </c>
      <c r="AA66" s="828">
        <f t="shared" ca="1" si="59"/>
        <v>0</v>
      </c>
      <c r="AB66" s="828" t="str">
        <f t="shared" ca="1" si="60"/>
        <v/>
      </c>
      <c r="AC66" s="828" t="str">
        <f t="shared" ca="1" si="61"/>
        <v/>
      </c>
      <c r="AD66" s="828" t="str">
        <f t="shared" ca="1" si="62"/>
        <v/>
      </c>
      <c r="AE66" s="828" t="str">
        <f t="shared" ca="1" si="63"/>
        <v/>
      </c>
      <c r="AF66" s="828" t="str">
        <f t="shared" ca="1" si="64"/>
        <v/>
      </c>
      <c r="AG66" s="828" t="str">
        <f t="shared" ca="1" si="65"/>
        <v/>
      </c>
      <c r="AH66" s="828" t="str">
        <f t="shared" ca="1" si="66"/>
        <v/>
      </c>
      <c r="AI66" s="828" t="str">
        <f t="shared" ca="1" si="67"/>
        <v/>
      </c>
      <c r="AJ66" s="828" t="str">
        <f t="shared" ca="1" si="68"/>
        <v/>
      </c>
      <c r="AK66" s="828" t="str">
        <f t="shared" ca="1" si="69"/>
        <v/>
      </c>
      <c r="AL66" s="828" t="str">
        <f t="shared" ca="1" si="70"/>
        <v/>
      </c>
      <c r="AM66" s="828" t="str">
        <f t="shared" ca="1" si="71"/>
        <v/>
      </c>
      <c r="AN66" s="828" t="str">
        <f t="shared" ca="1" si="72"/>
        <v/>
      </c>
      <c r="AO66" s="828" t="str">
        <f t="shared" ca="1" si="73"/>
        <v/>
      </c>
      <c r="AP66" s="828" t="str">
        <f t="shared" ca="1" si="74"/>
        <v/>
      </c>
      <c r="AQ66" s="828" t="str">
        <f t="shared" ca="1" si="75"/>
        <v/>
      </c>
      <c r="AR66" s="828" t="str">
        <f t="shared" ca="1" si="76"/>
        <v/>
      </c>
      <c r="AS66" s="828" t="str">
        <f t="shared" ca="1" si="77"/>
        <v/>
      </c>
      <c r="AT66" s="828" t="str">
        <f t="shared" ca="1" si="78"/>
        <v/>
      </c>
      <c r="AU66" s="828" t="str">
        <f t="shared" ca="1" si="79"/>
        <v/>
      </c>
      <c r="AV66" s="828" t="str">
        <f t="shared" ca="1" si="80"/>
        <v/>
      </c>
      <c r="AW66" s="828" t="str">
        <f t="shared" ca="1" si="81"/>
        <v/>
      </c>
      <c r="AX66" s="828" t="str">
        <f t="shared" ca="1" si="82"/>
        <v/>
      </c>
      <c r="AY66" s="828" t="str">
        <f t="shared" ca="1" si="83"/>
        <v/>
      </c>
      <c r="AZ66" s="828" t="str">
        <f t="shared" ca="1" si="84"/>
        <v/>
      </c>
      <c r="BA66" s="828" t="str">
        <f t="shared" ca="1" si="85"/>
        <v/>
      </c>
      <c r="BB66" s="828" t="str">
        <f t="shared" ca="1" si="86"/>
        <v/>
      </c>
      <c r="BC66" s="828" t="str">
        <f t="shared" ca="1" si="87"/>
        <v/>
      </c>
      <c r="BD66" s="828" t="str">
        <f t="shared" ca="1" si="88"/>
        <v/>
      </c>
      <c r="BE66" s="828" t="str">
        <f t="shared" ca="1" si="89"/>
        <v/>
      </c>
      <c r="BF66" s="828" t="str">
        <f t="shared" ca="1" si="90"/>
        <v/>
      </c>
      <c r="BG66" s="828" t="str">
        <f t="shared" ca="1" si="91"/>
        <v/>
      </c>
      <c r="BH66" s="828" t="str">
        <f t="shared" ca="1" si="92"/>
        <v/>
      </c>
      <c r="BI66" s="828" t="str">
        <f t="shared" ca="1" si="93"/>
        <v/>
      </c>
      <c r="BJ66" s="828" t="str">
        <f t="shared" ca="1" si="94"/>
        <v/>
      </c>
      <c r="BK66" s="828" t="str">
        <f t="shared" ca="1" si="95"/>
        <v/>
      </c>
      <c r="BL66" s="828" t="str">
        <f t="shared" ca="1" si="96"/>
        <v/>
      </c>
      <c r="BM66" s="828" t="str">
        <f t="shared" ca="1" si="97"/>
        <v/>
      </c>
      <c r="BN66" s="828" t="str">
        <f t="shared" ca="1" si="98"/>
        <v/>
      </c>
      <c r="BO66" s="850" t="str">
        <f t="shared" ca="1" si="99"/>
        <v/>
      </c>
      <c r="BP66" s="841"/>
    </row>
    <row r="67" spans="1:68" ht="20.100000000000001" customHeight="1" thickBot="1">
      <c r="A67" s="823">
        <v>71</v>
      </c>
      <c r="B67" s="1890"/>
      <c r="C67" s="1892"/>
      <c r="D67" s="854" t="s">
        <v>4433</v>
      </c>
      <c r="E67" s="855" t="str">
        <f ca="1">OFFSET(A1_その他欄集計,11,7)</f>
        <v/>
      </c>
      <c r="F67" s="856"/>
      <c r="G67" s="857" t="s">
        <v>4196</v>
      </c>
      <c r="H67" s="858">
        <f t="shared" ca="1" si="52"/>
        <v>0</v>
      </c>
      <c r="I67" s="858">
        <f t="shared" ca="1" si="53"/>
        <v>0</v>
      </c>
      <c r="J67" s="858">
        <f t="shared" ca="1" si="54"/>
        <v>0</v>
      </c>
      <c r="K67" s="858">
        <f t="shared" ca="1" si="55"/>
        <v>0</v>
      </c>
      <c r="L67" s="859">
        <f t="shared" ca="1" si="49"/>
        <v>0</v>
      </c>
      <c r="M67" s="859">
        <f t="shared" ca="1" si="49"/>
        <v>0</v>
      </c>
      <c r="N67" s="859">
        <f t="shared" ca="1" si="49"/>
        <v>0</v>
      </c>
      <c r="O67" s="859">
        <f t="shared" ca="1" si="49"/>
        <v>0</v>
      </c>
      <c r="P67" s="859">
        <f ca="1">SUM(SUMIFS(OFFSET(貼付け_2024実績,$A67,9,1,199),OFFSET(貼付け_2024実績,4,9,1,199),{"横浜*","川崎*"}))</f>
        <v>0</v>
      </c>
      <c r="Q67" s="859">
        <f ca="1">SUM(SUMIFS(OFFSET(貼付け_2025実績,$A67,9,1,199),OFFSET(貼付け_2025実績,4,9,1,199),{"横浜*","川崎*"}))</f>
        <v>0</v>
      </c>
      <c r="R67" s="859">
        <f ca="1">SUM(SUMIFS(OFFSET(貼付け_2026実績,$A67,9,1,199),OFFSET(貼付け_2026実績,4,9,1,199),{"横浜*","川崎*"}))</f>
        <v>0</v>
      </c>
      <c r="S67" s="859">
        <f ca="1">SUM(SUMIFS(OFFSET(貼付け_2027実績,$A67,9,1,199),OFFSET(貼付け_2027実績,4,9,1,199),{"横浜*","川崎*"}))</f>
        <v>0</v>
      </c>
      <c r="T67" s="859">
        <f t="shared" ca="1" si="50"/>
        <v>0</v>
      </c>
      <c r="U67" s="859">
        <f t="shared" ca="1" si="50"/>
        <v>0</v>
      </c>
      <c r="V67" s="859">
        <f t="shared" ca="1" si="50"/>
        <v>0</v>
      </c>
      <c r="W67" s="859">
        <f t="shared" ca="1" si="50"/>
        <v>0</v>
      </c>
      <c r="X67" s="859">
        <f t="shared" ca="1" si="56"/>
        <v>0</v>
      </c>
      <c r="Y67" s="859">
        <f t="shared" ca="1" si="57"/>
        <v>0</v>
      </c>
      <c r="Z67" s="859">
        <f t="shared" ca="1" si="58"/>
        <v>0</v>
      </c>
      <c r="AA67" s="859">
        <f t="shared" ca="1" si="59"/>
        <v>0</v>
      </c>
      <c r="AB67" s="859" t="str">
        <f t="shared" ca="1" si="60"/>
        <v/>
      </c>
      <c r="AC67" s="859" t="str">
        <f t="shared" ca="1" si="61"/>
        <v/>
      </c>
      <c r="AD67" s="859" t="str">
        <f t="shared" ca="1" si="62"/>
        <v/>
      </c>
      <c r="AE67" s="859" t="str">
        <f t="shared" ca="1" si="63"/>
        <v/>
      </c>
      <c r="AF67" s="859" t="str">
        <f t="shared" ca="1" si="64"/>
        <v/>
      </c>
      <c r="AG67" s="859" t="str">
        <f t="shared" ca="1" si="65"/>
        <v/>
      </c>
      <c r="AH67" s="859" t="str">
        <f t="shared" ca="1" si="66"/>
        <v/>
      </c>
      <c r="AI67" s="859" t="str">
        <f t="shared" ca="1" si="67"/>
        <v/>
      </c>
      <c r="AJ67" s="859" t="str">
        <f t="shared" ca="1" si="68"/>
        <v/>
      </c>
      <c r="AK67" s="859" t="str">
        <f t="shared" ca="1" si="69"/>
        <v/>
      </c>
      <c r="AL67" s="859" t="str">
        <f t="shared" ca="1" si="70"/>
        <v/>
      </c>
      <c r="AM67" s="859" t="str">
        <f t="shared" ca="1" si="71"/>
        <v/>
      </c>
      <c r="AN67" s="859" t="str">
        <f t="shared" ca="1" si="72"/>
        <v/>
      </c>
      <c r="AO67" s="859" t="str">
        <f t="shared" ca="1" si="73"/>
        <v/>
      </c>
      <c r="AP67" s="859" t="str">
        <f t="shared" ca="1" si="74"/>
        <v/>
      </c>
      <c r="AQ67" s="859" t="str">
        <f t="shared" ca="1" si="75"/>
        <v/>
      </c>
      <c r="AR67" s="859" t="str">
        <f t="shared" ca="1" si="76"/>
        <v/>
      </c>
      <c r="AS67" s="859" t="str">
        <f t="shared" ca="1" si="77"/>
        <v/>
      </c>
      <c r="AT67" s="859" t="str">
        <f t="shared" ca="1" si="78"/>
        <v/>
      </c>
      <c r="AU67" s="859" t="str">
        <f t="shared" ca="1" si="79"/>
        <v/>
      </c>
      <c r="AV67" s="859" t="str">
        <f t="shared" ca="1" si="80"/>
        <v/>
      </c>
      <c r="AW67" s="859" t="str">
        <f t="shared" ca="1" si="81"/>
        <v/>
      </c>
      <c r="AX67" s="859" t="str">
        <f t="shared" ca="1" si="82"/>
        <v/>
      </c>
      <c r="AY67" s="859" t="str">
        <f t="shared" ca="1" si="83"/>
        <v/>
      </c>
      <c r="AZ67" s="859" t="str">
        <f t="shared" ca="1" si="84"/>
        <v/>
      </c>
      <c r="BA67" s="859" t="str">
        <f t="shared" ca="1" si="85"/>
        <v/>
      </c>
      <c r="BB67" s="859" t="str">
        <f t="shared" ca="1" si="86"/>
        <v/>
      </c>
      <c r="BC67" s="859" t="str">
        <f t="shared" ca="1" si="87"/>
        <v/>
      </c>
      <c r="BD67" s="859" t="str">
        <f t="shared" ca="1" si="88"/>
        <v/>
      </c>
      <c r="BE67" s="859" t="str">
        <f t="shared" ca="1" si="89"/>
        <v/>
      </c>
      <c r="BF67" s="859" t="str">
        <f t="shared" ca="1" si="90"/>
        <v/>
      </c>
      <c r="BG67" s="859" t="str">
        <f t="shared" ca="1" si="91"/>
        <v/>
      </c>
      <c r="BH67" s="859" t="str">
        <f t="shared" ca="1" si="92"/>
        <v/>
      </c>
      <c r="BI67" s="859" t="str">
        <f t="shared" ca="1" si="93"/>
        <v/>
      </c>
      <c r="BJ67" s="859" t="str">
        <f t="shared" ca="1" si="94"/>
        <v/>
      </c>
      <c r="BK67" s="859" t="str">
        <f t="shared" ca="1" si="95"/>
        <v/>
      </c>
      <c r="BL67" s="859" t="str">
        <f t="shared" ca="1" si="96"/>
        <v/>
      </c>
      <c r="BM67" s="859" t="str">
        <f t="shared" ca="1" si="97"/>
        <v/>
      </c>
      <c r="BN67" s="859" t="str">
        <f t="shared" ca="1" si="98"/>
        <v/>
      </c>
      <c r="BO67" s="860" t="str">
        <f t="shared" ca="1" si="99"/>
        <v/>
      </c>
      <c r="BP67" s="841"/>
    </row>
    <row r="68" spans="1:68" ht="20.100000000000001" customHeight="1">
      <c r="A68" s="823">
        <v>72</v>
      </c>
      <c r="B68" s="1870" t="s">
        <v>4434</v>
      </c>
      <c r="C68" s="861" t="s">
        <v>4435</v>
      </c>
      <c r="D68" s="862"/>
      <c r="E68" s="863"/>
      <c r="F68" s="864"/>
      <c r="G68" s="865" t="s">
        <v>4594</v>
      </c>
      <c r="H68" s="866">
        <f t="shared" ca="1" si="52"/>
        <v>8.64</v>
      </c>
      <c r="I68" s="866">
        <f t="shared" ca="1" si="53"/>
        <v>8.64</v>
      </c>
      <c r="J68" s="866">
        <f t="shared" ca="1" si="54"/>
        <v>8.64</v>
      </c>
      <c r="K68" s="866">
        <f t="shared" ca="1" si="55"/>
        <v>8.64</v>
      </c>
      <c r="L68" s="867">
        <f t="shared" ca="1" si="49"/>
        <v>0</v>
      </c>
      <c r="M68" s="867">
        <f t="shared" ca="1" si="49"/>
        <v>0</v>
      </c>
      <c r="N68" s="867">
        <f t="shared" ca="1" si="49"/>
        <v>0</v>
      </c>
      <c r="O68" s="867">
        <f t="shared" ca="1" si="49"/>
        <v>0</v>
      </c>
      <c r="P68" s="867">
        <f ca="1">SUM(SUMIFS(OFFSET(貼付け_2024実績,$A68,9,1,199),OFFSET(貼付け_2024実績,4,9,1,199),{"横浜*","川崎*"}))</f>
        <v>0</v>
      </c>
      <c r="Q68" s="867">
        <f ca="1">SUM(SUMIFS(OFFSET(貼付け_2025実績,$A68,9,1,199),OFFSET(貼付け_2025実績,4,9,1,199),{"横浜*","川崎*"}))</f>
        <v>0</v>
      </c>
      <c r="R68" s="867">
        <f ca="1">SUM(SUMIFS(OFFSET(貼付け_2026実績,$A68,9,1,199),OFFSET(貼付け_2026実績,4,9,1,199),{"横浜*","川崎*"}))</f>
        <v>0</v>
      </c>
      <c r="S68" s="867">
        <f ca="1">SUM(SUMIFS(OFFSET(貼付け_2027実績,$A68,9,1,199),OFFSET(貼付け_2027実績,4,9,1,199),{"横浜*","川崎*"}))</f>
        <v>0</v>
      </c>
      <c r="T68" s="867">
        <f t="shared" ca="1" si="50"/>
        <v>0</v>
      </c>
      <c r="U68" s="867">
        <f t="shared" ca="1" si="50"/>
        <v>0</v>
      </c>
      <c r="V68" s="867">
        <f t="shared" ca="1" si="50"/>
        <v>0</v>
      </c>
      <c r="W68" s="867">
        <f t="shared" ca="1" si="50"/>
        <v>0</v>
      </c>
      <c r="X68" s="867">
        <f t="shared" ca="1" si="56"/>
        <v>0</v>
      </c>
      <c r="Y68" s="867">
        <f t="shared" ca="1" si="57"/>
        <v>0</v>
      </c>
      <c r="Z68" s="867">
        <f t="shared" ca="1" si="58"/>
        <v>0</v>
      </c>
      <c r="AA68" s="867">
        <f t="shared" ca="1" si="59"/>
        <v>0</v>
      </c>
      <c r="AB68" s="867" t="str">
        <f t="shared" ca="1" si="60"/>
        <v/>
      </c>
      <c r="AC68" s="867" t="str">
        <f t="shared" ca="1" si="61"/>
        <v/>
      </c>
      <c r="AD68" s="867" t="str">
        <f t="shared" ca="1" si="62"/>
        <v/>
      </c>
      <c r="AE68" s="867" t="str">
        <f t="shared" ca="1" si="63"/>
        <v/>
      </c>
      <c r="AF68" s="867" t="str">
        <f t="shared" ca="1" si="64"/>
        <v/>
      </c>
      <c r="AG68" s="867" t="str">
        <f t="shared" ca="1" si="65"/>
        <v/>
      </c>
      <c r="AH68" s="867" t="str">
        <f t="shared" ca="1" si="66"/>
        <v/>
      </c>
      <c r="AI68" s="867" t="str">
        <f t="shared" ca="1" si="67"/>
        <v/>
      </c>
      <c r="AJ68" s="867" t="str">
        <f t="shared" ca="1" si="68"/>
        <v/>
      </c>
      <c r="AK68" s="867" t="str">
        <f t="shared" ca="1" si="69"/>
        <v/>
      </c>
      <c r="AL68" s="867" t="str">
        <f t="shared" ca="1" si="70"/>
        <v/>
      </c>
      <c r="AM68" s="867" t="str">
        <f t="shared" ca="1" si="71"/>
        <v/>
      </c>
      <c r="AN68" s="867" t="str">
        <f t="shared" ca="1" si="72"/>
        <v/>
      </c>
      <c r="AO68" s="867" t="str">
        <f t="shared" ca="1" si="73"/>
        <v/>
      </c>
      <c r="AP68" s="867" t="str">
        <f t="shared" ca="1" si="74"/>
        <v/>
      </c>
      <c r="AQ68" s="867" t="str">
        <f t="shared" ca="1" si="75"/>
        <v/>
      </c>
      <c r="AR68" s="867" t="str">
        <f t="shared" ca="1" si="76"/>
        <v/>
      </c>
      <c r="AS68" s="867" t="str">
        <f t="shared" ca="1" si="77"/>
        <v/>
      </c>
      <c r="AT68" s="867" t="str">
        <f t="shared" ca="1" si="78"/>
        <v/>
      </c>
      <c r="AU68" s="867" t="str">
        <f t="shared" ca="1" si="79"/>
        <v/>
      </c>
      <c r="AV68" s="867" t="str">
        <f t="shared" ca="1" si="80"/>
        <v/>
      </c>
      <c r="AW68" s="867" t="str">
        <f t="shared" ca="1" si="81"/>
        <v/>
      </c>
      <c r="AX68" s="867" t="str">
        <f t="shared" ca="1" si="82"/>
        <v/>
      </c>
      <c r="AY68" s="867" t="str">
        <f t="shared" ca="1" si="83"/>
        <v/>
      </c>
      <c r="AZ68" s="867" t="str">
        <f t="shared" ca="1" si="84"/>
        <v/>
      </c>
      <c r="BA68" s="867" t="str">
        <f t="shared" ca="1" si="85"/>
        <v/>
      </c>
      <c r="BB68" s="867" t="str">
        <f t="shared" ca="1" si="86"/>
        <v/>
      </c>
      <c r="BC68" s="867" t="str">
        <f t="shared" ca="1" si="87"/>
        <v/>
      </c>
      <c r="BD68" s="867" t="str">
        <f t="shared" ca="1" si="88"/>
        <v/>
      </c>
      <c r="BE68" s="867" t="str">
        <f t="shared" ca="1" si="89"/>
        <v/>
      </c>
      <c r="BF68" s="867" t="str">
        <f t="shared" ca="1" si="90"/>
        <v/>
      </c>
      <c r="BG68" s="867" t="str">
        <f t="shared" ca="1" si="91"/>
        <v/>
      </c>
      <c r="BH68" s="867" t="str">
        <f t="shared" ca="1" si="92"/>
        <v/>
      </c>
      <c r="BI68" s="867" t="str">
        <f t="shared" ca="1" si="93"/>
        <v/>
      </c>
      <c r="BJ68" s="867" t="str">
        <f t="shared" ca="1" si="94"/>
        <v/>
      </c>
      <c r="BK68" s="867" t="str">
        <f t="shared" ca="1" si="95"/>
        <v/>
      </c>
      <c r="BL68" s="867" t="str">
        <f t="shared" ca="1" si="96"/>
        <v/>
      </c>
      <c r="BM68" s="867" t="str">
        <f t="shared" ca="1" si="97"/>
        <v/>
      </c>
      <c r="BN68" s="867" t="str">
        <f t="shared" ca="1" si="98"/>
        <v/>
      </c>
      <c r="BO68" s="867" t="str">
        <f t="shared" ca="1" si="99"/>
        <v/>
      </c>
      <c r="BP68" s="841"/>
    </row>
    <row r="69" spans="1:68" ht="20.100000000000001" customHeight="1">
      <c r="A69" s="823">
        <v>74</v>
      </c>
      <c r="B69" s="1870"/>
      <c r="C69" s="1872" t="s">
        <v>4436</v>
      </c>
      <c r="D69" s="851" t="s">
        <v>4437</v>
      </c>
      <c r="E69" s="824"/>
      <c r="F69" s="849"/>
      <c r="G69" s="826" t="s">
        <v>4594</v>
      </c>
      <c r="H69" s="827">
        <f t="shared" ca="1" si="52"/>
        <v>3.6</v>
      </c>
      <c r="I69" s="827">
        <f t="shared" ca="1" si="53"/>
        <v>3.6</v>
      </c>
      <c r="J69" s="827">
        <f t="shared" ca="1" si="54"/>
        <v>3.6</v>
      </c>
      <c r="K69" s="827">
        <f t="shared" ca="1" si="55"/>
        <v>3.6</v>
      </c>
      <c r="L69" s="828">
        <f t="shared" ca="1" si="49"/>
        <v>0</v>
      </c>
      <c r="M69" s="828">
        <f t="shared" ca="1" si="49"/>
        <v>0</v>
      </c>
      <c r="N69" s="828">
        <f t="shared" ca="1" si="49"/>
        <v>0</v>
      </c>
      <c r="O69" s="828">
        <f t="shared" ca="1" si="49"/>
        <v>0</v>
      </c>
      <c r="P69" s="828">
        <f ca="1">SUM(SUMIFS(OFFSET(貼付け_2024実績,$A69,9,1,199),OFFSET(貼付け_2024実績,4,9,1,199),{"横浜*","川崎*"}))</f>
        <v>0</v>
      </c>
      <c r="Q69" s="828">
        <f ca="1">SUM(SUMIFS(OFFSET(貼付け_2025実績,$A69,9,1,199),OFFSET(貼付け_2025実績,4,9,1,199),{"横浜*","川崎*"}))</f>
        <v>0</v>
      </c>
      <c r="R69" s="828">
        <f ca="1">SUM(SUMIFS(OFFSET(貼付け_2026実績,$A69,9,1,199),OFFSET(貼付け_2026実績,4,9,1,199),{"横浜*","川崎*"}))</f>
        <v>0</v>
      </c>
      <c r="S69" s="828">
        <f ca="1">SUM(SUMIFS(OFFSET(貼付け_2027実績,$A69,9,1,199),OFFSET(貼付け_2027実績,4,9,1,199),{"横浜*","川崎*"}))</f>
        <v>0</v>
      </c>
      <c r="T69" s="828">
        <f t="shared" ca="1" si="50"/>
        <v>0</v>
      </c>
      <c r="U69" s="828">
        <f t="shared" ca="1" si="50"/>
        <v>0</v>
      </c>
      <c r="V69" s="828">
        <f t="shared" ca="1" si="50"/>
        <v>0</v>
      </c>
      <c r="W69" s="828">
        <f t="shared" ca="1" si="50"/>
        <v>0</v>
      </c>
      <c r="X69" s="828">
        <f t="shared" ca="1" si="56"/>
        <v>0</v>
      </c>
      <c r="Y69" s="828">
        <f t="shared" ca="1" si="57"/>
        <v>0</v>
      </c>
      <c r="Z69" s="828">
        <f t="shared" ca="1" si="58"/>
        <v>0</v>
      </c>
      <c r="AA69" s="828">
        <f t="shared" ca="1" si="59"/>
        <v>0</v>
      </c>
      <c r="AB69" s="828" t="str">
        <f t="shared" ca="1" si="60"/>
        <v/>
      </c>
      <c r="AC69" s="828" t="str">
        <f t="shared" ca="1" si="61"/>
        <v/>
      </c>
      <c r="AD69" s="828" t="str">
        <f t="shared" ca="1" si="62"/>
        <v/>
      </c>
      <c r="AE69" s="828" t="str">
        <f t="shared" ca="1" si="63"/>
        <v/>
      </c>
      <c r="AF69" s="828" t="str">
        <f t="shared" ca="1" si="64"/>
        <v/>
      </c>
      <c r="AG69" s="828" t="str">
        <f t="shared" ca="1" si="65"/>
        <v/>
      </c>
      <c r="AH69" s="828" t="str">
        <f t="shared" ca="1" si="66"/>
        <v/>
      </c>
      <c r="AI69" s="828" t="str">
        <f t="shared" ca="1" si="67"/>
        <v/>
      </c>
      <c r="AJ69" s="828" t="str">
        <f t="shared" ca="1" si="68"/>
        <v/>
      </c>
      <c r="AK69" s="828" t="str">
        <f t="shared" ca="1" si="69"/>
        <v/>
      </c>
      <c r="AL69" s="828" t="str">
        <f t="shared" ca="1" si="70"/>
        <v/>
      </c>
      <c r="AM69" s="828" t="str">
        <f t="shared" ca="1" si="71"/>
        <v/>
      </c>
      <c r="AN69" s="828" t="str">
        <f t="shared" ca="1" si="72"/>
        <v/>
      </c>
      <c r="AO69" s="828" t="str">
        <f t="shared" ca="1" si="73"/>
        <v/>
      </c>
      <c r="AP69" s="828" t="str">
        <f t="shared" ca="1" si="74"/>
        <v/>
      </c>
      <c r="AQ69" s="828" t="str">
        <f t="shared" ca="1" si="75"/>
        <v/>
      </c>
      <c r="AR69" s="828" t="str">
        <f t="shared" ca="1" si="76"/>
        <v/>
      </c>
      <c r="AS69" s="828" t="str">
        <f t="shared" ca="1" si="77"/>
        <v/>
      </c>
      <c r="AT69" s="828" t="str">
        <f t="shared" ca="1" si="78"/>
        <v/>
      </c>
      <c r="AU69" s="828" t="str">
        <f t="shared" ca="1" si="79"/>
        <v/>
      </c>
      <c r="AV69" s="828" t="str">
        <f t="shared" ca="1" si="80"/>
        <v/>
      </c>
      <c r="AW69" s="828" t="str">
        <f t="shared" ca="1" si="81"/>
        <v/>
      </c>
      <c r="AX69" s="828" t="str">
        <f t="shared" ca="1" si="82"/>
        <v/>
      </c>
      <c r="AY69" s="828" t="str">
        <f t="shared" ca="1" si="83"/>
        <v/>
      </c>
      <c r="AZ69" s="828" t="str">
        <f t="shared" ca="1" si="84"/>
        <v/>
      </c>
      <c r="BA69" s="828" t="str">
        <f t="shared" ca="1" si="85"/>
        <v/>
      </c>
      <c r="BB69" s="828" t="str">
        <f t="shared" ca="1" si="86"/>
        <v/>
      </c>
      <c r="BC69" s="828" t="str">
        <f t="shared" ca="1" si="87"/>
        <v/>
      </c>
      <c r="BD69" s="828" t="str">
        <f t="shared" ca="1" si="88"/>
        <v/>
      </c>
      <c r="BE69" s="828" t="str">
        <f t="shared" ca="1" si="89"/>
        <v/>
      </c>
      <c r="BF69" s="828" t="str">
        <f t="shared" ca="1" si="90"/>
        <v/>
      </c>
      <c r="BG69" s="828" t="str">
        <f t="shared" ca="1" si="91"/>
        <v/>
      </c>
      <c r="BH69" s="828" t="str">
        <f t="shared" ca="1" si="92"/>
        <v/>
      </c>
      <c r="BI69" s="828" t="str">
        <f t="shared" ca="1" si="93"/>
        <v/>
      </c>
      <c r="BJ69" s="828" t="str">
        <f t="shared" ca="1" si="94"/>
        <v/>
      </c>
      <c r="BK69" s="828" t="str">
        <f t="shared" ca="1" si="95"/>
        <v/>
      </c>
      <c r="BL69" s="828" t="str">
        <f t="shared" ca="1" si="96"/>
        <v/>
      </c>
      <c r="BM69" s="828" t="str">
        <f t="shared" ca="1" si="97"/>
        <v/>
      </c>
      <c r="BN69" s="828" t="str">
        <f t="shared" ca="1" si="98"/>
        <v/>
      </c>
      <c r="BO69" s="828" t="str">
        <f t="shared" ca="1" si="99"/>
        <v/>
      </c>
      <c r="BP69" s="841"/>
    </row>
    <row r="70" spans="1:68" ht="20.100000000000001" customHeight="1">
      <c r="A70" s="823">
        <v>76</v>
      </c>
      <c r="B70" s="1870"/>
      <c r="C70" s="1872"/>
      <c r="D70" s="853" t="s">
        <v>4438</v>
      </c>
      <c r="E70" s="824"/>
      <c r="F70" s="849"/>
      <c r="G70" s="826" t="s">
        <v>4594</v>
      </c>
      <c r="H70" s="827">
        <f t="shared" ca="1" si="52"/>
        <v>3.6</v>
      </c>
      <c r="I70" s="827">
        <f t="shared" ca="1" si="53"/>
        <v>3.6</v>
      </c>
      <c r="J70" s="827">
        <f t="shared" ca="1" si="54"/>
        <v>3.6</v>
      </c>
      <c r="K70" s="827">
        <f t="shared" ca="1" si="55"/>
        <v>3.6</v>
      </c>
      <c r="L70" s="828">
        <f t="shared" ca="1" si="49"/>
        <v>0</v>
      </c>
      <c r="M70" s="828">
        <f t="shared" ca="1" si="49"/>
        <v>0</v>
      </c>
      <c r="N70" s="828">
        <f t="shared" ca="1" si="49"/>
        <v>0</v>
      </c>
      <c r="O70" s="828">
        <f t="shared" ca="1" si="49"/>
        <v>0</v>
      </c>
      <c r="P70" s="828">
        <f ca="1">SUM(SUMIFS(OFFSET(貼付け_2024実績,$A70,9,1,199),OFFSET(貼付け_2024実績,4,9,1,199),{"横浜*","川崎*"}))</f>
        <v>0</v>
      </c>
      <c r="Q70" s="828">
        <f ca="1">SUM(SUMIFS(OFFSET(貼付け_2025実績,$A70,9,1,199),OFFSET(貼付け_2025実績,4,9,1,199),{"横浜*","川崎*"}))</f>
        <v>0</v>
      </c>
      <c r="R70" s="828">
        <f ca="1">SUM(SUMIFS(OFFSET(貼付け_2026実績,$A70,9,1,199),OFFSET(貼付け_2026実績,4,9,1,199),{"横浜*","川崎*"}))</f>
        <v>0</v>
      </c>
      <c r="S70" s="828">
        <f ca="1">SUM(SUMIFS(OFFSET(貼付け_2027実績,$A70,9,1,199),OFFSET(貼付け_2027実績,4,9,1,199),{"横浜*","川崎*"}))</f>
        <v>0</v>
      </c>
      <c r="T70" s="828">
        <f t="shared" ca="1" si="50"/>
        <v>0</v>
      </c>
      <c r="U70" s="828">
        <f t="shared" ca="1" si="50"/>
        <v>0</v>
      </c>
      <c r="V70" s="828">
        <f t="shared" ca="1" si="50"/>
        <v>0</v>
      </c>
      <c r="W70" s="828">
        <f t="shared" ca="1" si="50"/>
        <v>0</v>
      </c>
      <c r="X70" s="828">
        <f t="shared" ca="1" si="56"/>
        <v>0</v>
      </c>
      <c r="Y70" s="828">
        <f t="shared" ca="1" si="57"/>
        <v>0</v>
      </c>
      <c r="Z70" s="828">
        <f t="shared" ca="1" si="58"/>
        <v>0</v>
      </c>
      <c r="AA70" s="828">
        <f t="shared" ca="1" si="59"/>
        <v>0</v>
      </c>
      <c r="AB70" s="828" t="str">
        <f t="shared" ca="1" si="60"/>
        <v/>
      </c>
      <c r="AC70" s="828" t="str">
        <f t="shared" ca="1" si="61"/>
        <v/>
      </c>
      <c r="AD70" s="828" t="str">
        <f t="shared" ca="1" si="62"/>
        <v/>
      </c>
      <c r="AE70" s="828" t="str">
        <f t="shared" ca="1" si="63"/>
        <v/>
      </c>
      <c r="AF70" s="828" t="str">
        <f t="shared" ca="1" si="64"/>
        <v/>
      </c>
      <c r="AG70" s="828" t="str">
        <f t="shared" ca="1" si="65"/>
        <v/>
      </c>
      <c r="AH70" s="828" t="str">
        <f t="shared" ca="1" si="66"/>
        <v/>
      </c>
      <c r="AI70" s="828" t="str">
        <f t="shared" ca="1" si="67"/>
        <v/>
      </c>
      <c r="AJ70" s="828" t="str">
        <f t="shared" ca="1" si="68"/>
        <v/>
      </c>
      <c r="AK70" s="828" t="str">
        <f t="shared" ca="1" si="69"/>
        <v/>
      </c>
      <c r="AL70" s="828" t="str">
        <f t="shared" ca="1" si="70"/>
        <v/>
      </c>
      <c r="AM70" s="828" t="str">
        <f t="shared" ca="1" si="71"/>
        <v/>
      </c>
      <c r="AN70" s="828" t="str">
        <f t="shared" ca="1" si="72"/>
        <v/>
      </c>
      <c r="AO70" s="828" t="str">
        <f t="shared" ca="1" si="73"/>
        <v/>
      </c>
      <c r="AP70" s="828" t="str">
        <f t="shared" ca="1" si="74"/>
        <v/>
      </c>
      <c r="AQ70" s="828" t="str">
        <f t="shared" ca="1" si="75"/>
        <v/>
      </c>
      <c r="AR70" s="828" t="str">
        <f t="shared" ca="1" si="76"/>
        <v/>
      </c>
      <c r="AS70" s="828" t="str">
        <f t="shared" ca="1" si="77"/>
        <v/>
      </c>
      <c r="AT70" s="828" t="str">
        <f t="shared" ca="1" si="78"/>
        <v/>
      </c>
      <c r="AU70" s="828" t="str">
        <f t="shared" ca="1" si="79"/>
        <v/>
      </c>
      <c r="AV70" s="828" t="str">
        <f t="shared" ca="1" si="80"/>
        <v/>
      </c>
      <c r="AW70" s="828" t="str">
        <f t="shared" ca="1" si="81"/>
        <v/>
      </c>
      <c r="AX70" s="828" t="str">
        <f t="shared" ca="1" si="82"/>
        <v/>
      </c>
      <c r="AY70" s="828" t="str">
        <f t="shared" ca="1" si="83"/>
        <v/>
      </c>
      <c r="AZ70" s="828" t="str">
        <f t="shared" ca="1" si="84"/>
        <v/>
      </c>
      <c r="BA70" s="828" t="str">
        <f t="shared" ca="1" si="85"/>
        <v/>
      </c>
      <c r="BB70" s="828" t="str">
        <f t="shared" ca="1" si="86"/>
        <v/>
      </c>
      <c r="BC70" s="828" t="str">
        <f t="shared" ca="1" si="87"/>
        <v/>
      </c>
      <c r="BD70" s="828" t="str">
        <f t="shared" ca="1" si="88"/>
        <v/>
      </c>
      <c r="BE70" s="828" t="str">
        <f t="shared" ca="1" si="89"/>
        <v/>
      </c>
      <c r="BF70" s="828" t="str">
        <f t="shared" ca="1" si="90"/>
        <v/>
      </c>
      <c r="BG70" s="828" t="str">
        <f t="shared" ca="1" si="91"/>
        <v/>
      </c>
      <c r="BH70" s="828" t="str">
        <f t="shared" ca="1" si="92"/>
        <v/>
      </c>
      <c r="BI70" s="828" t="str">
        <f t="shared" ca="1" si="93"/>
        <v/>
      </c>
      <c r="BJ70" s="828" t="str">
        <f t="shared" ca="1" si="94"/>
        <v/>
      </c>
      <c r="BK70" s="828" t="str">
        <f t="shared" ca="1" si="95"/>
        <v/>
      </c>
      <c r="BL70" s="828" t="str">
        <f t="shared" ca="1" si="96"/>
        <v/>
      </c>
      <c r="BM70" s="828" t="str">
        <f t="shared" ca="1" si="97"/>
        <v/>
      </c>
      <c r="BN70" s="828" t="str">
        <f t="shared" ca="1" si="98"/>
        <v/>
      </c>
      <c r="BO70" s="828" t="str">
        <f t="shared" ca="1" si="99"/>
        <v/>
      </c>
      <c r="BP70" s="841"/>
    </row>
    <row r="71" spans="1:68" ht="20.100000000000001" customHeight="1">
      <c r="A71" s="823">
        <v>77</v>
      </c>
      <c r="B71" s="1870"/>
      <c r="C71" s="1872"/>
      <c r="D71" s="868" t="s">
        <v>4250</v>
      </c>
      <c r="E71" s="851" t="str">
        <f ca="1">OFFSET(A1_その他欄集計,12,7)</f>
        <v/>
      </c>
      <c r="F71" s="833"/>
      <c r="G71" s="826" t="s">
        <v>4594</v>
      </c>
      <c r="H71" s="827">
        <f t="shared" ca="1" si="52"/>
        <v>8.64</v>
      </c>
      <c r="I71" s="827">
        <f t="shared" ca="1" si="53"/>
        <v>8.64</v>
      </c>
      <c r="J71" s="827">
        <f t="shared" ca="1" si="54"/>
        <v>8.64</v>
      </c>
      <c r="K71" s="827">
        <f t="shared" ca="1" si="55"/>
        <v>8.64</v>
      </c>
      <c r="L71" s="828">
        <f t="shared" ca="1" si="49"/>
        <v>0</v>
      </c>
      <c r="M71" s="828">
        <f t="shared" ca="1" si="49"/>
        <v>0</v>
      </c>
      <c r="N71" s="828">
        <f t="shared" ca="1" si="49"/>
        <v>0</v>
      </c>
      <c r="O71" s="828">
        <f t="shared" ca="1" si="49"/>
        <v>0</v>
      </c>
      <c r="P71" s="828">
        <f ca="1">SUM(SUMIFS(OFFSET(貼付け_2024実績,$A71,9,1,199),OFFSET(貼付け_2024実績,4,9,1,199),{"横浜*","川崎*"}))</f>
        <v>0</v>
      </c>
      <c r="Q71" s="828">
        <f ca="1">SUM(SUMIFS(OFFSET(貼付け_2025実績,$A71,9,1,199),OFFSET(貼付け_2025実績,4,9,1,199),{"横浜*","川崎*"}))</f>
        <v>0</v>
      </c>
      <c r="R71" s="828">
        <f ca="1">SUM(SUMIFS(OFFSET(貼付け_2026実績,$A71,9,1,199),OFFSET(貼付け_2026実績,4,9,1,199),{"横浜*","川崎*"}))</f>
        <v>0</v>
      </c>
      <c r="S71" s="828">
        <f ca="1">SUM(SUMIFS(OFFSET(貼付け_2027実績,$A71,9,1,199),OFFSET(貼付け_2027実績,4,9,1,199),{"横浜*","川崎*"}))</f>
        <v>0</v>
      </c>
      <c r="T71" s="828">
        <f t="shared" ca="1" si="50"/>
        <v>0</v>
      </c>
      <c r="U71" s="828">
        <f t="shared" ca="1" si="50"/>
        <v>0</v>
      </c>
      <c r="V71" s="828">
        <f t="shared" ca="1" si="50"/>
        <v>0</v>
      </c>
      <c r="W71" s="828">
        <f t="shared" ca="1" si="50"/>
        <v>0</v>
      </c>
      <c r="X71" s="828">
        <f t="shared" ca="1" si="56"/>
        <v>0</v>
      </c>
      <c r="Y71" s="828">
        <f t="shared" ca="1" si="57"/>
        <v>0</v>
      </c>
      <c r="Z71" s="828">
        <f t="shared" ca="1" si="58"/>
        <v>0</v>
      </c>
      <c r="AA71" s="828">
        <f t="shared" ca="1" si="59"/>
        <v>0</v>
      </c>
      <c r="AB71" s="828" t="str">
        <f t="shared" ca="1" si="60"/>
        <v/>
      </c>
      <c r="AC71" s="828" t="str">
        <f t="shared" ca="1" si="61"/>
        <v/>
      </c>
      <c r="AD71" s="828" t="str">
        <f t="shared" ca="1" si="62"/>
        <v/>
      </c>
      <c r="AE71" s="828" t="str">
        <f t="shared" ca="1" si="63"/>
        <v/>
      </c>
      <c r="AF71" s="828" t="str">
        <f t="shared" ca="1" si="64"/>
        <v/>
      </c>
      <c r="AG71" s="828" t="str">
        <f t="shared" ca="1" si="65"/>
        <v/>
      </c>
      <c r="AH71" s="828" t="str">
        <f t="shared" ca="1" si="66"/>
        <v/>
      </c>
      <c r="AI71" s="828" t="str">
        <f t="shared" ca="1" si="67"/>
        <v/>
      </c>
      <c r="AJ71" s="828" t="str">
        <f t="shared" ca="1" si="68"/>
        <v/>
      </c>
      <c r="AK71" s="828" t="str">
        <f t="shared" ca="1" si="69"/>
        <v/>
      </c>
      <c r="AL71" s="828" t="str">
        <f t="shared" ca="1" si="70"/>
        <v/>
      </c>
      <c r="AM71" s="828" t="str">
        <f t="shared" ca="1" si="71"/>
        <v/>
      </c>
      <c r="AN71" s="828" t="str">
        <f t="shared" ca="1" si="72"/>
        <v/>
      </c>
      <c r="AO71" s="828" t="str">
        <f t="shared" ca="1" si="73"/>
        <v/>
      </c>
      <c r="AP71" s="828" t="str">
        <f t="shared" ca="1" si="74"/>
        <v/>
      </c>
      <c r="AQ71" s="828" t="str">
        <f t="shared" ca="1" si="75"/>
        <v/>
      </c>
      <c r="AR71" s="828" t="str">
        <f t="shared" ca="1" si="76"/>
        <v/>
      </c>
      <c r="AS71" s="828" t="str">
        <f t="shared" ca="1" si="77"/>
        <v/>
      </c>
      <c r="AT71" s="828" t="str">
        <f t="shared" ca="1" si="78"/>
        <v/>
      </c>
      <c r="AU71" s="828" t="str">
        <f t="shared" ca="1" si="79"/>
        <v/>
      </c>
      <c r="AV71" s="828" t="str">
        <f t="shared" ca="1" si="80"/>
        <v/>
      </c>
      <c r="AW71" s="828" t="str">
        <f t="shared" ca="1" si="81"/>
        <v/>
      </c>
      <c r="AX71" s="828" t="str">
        <f t="shared" ca="1" si="82"/>
        <v/>
      </c>
      <c r="AY71" s="828" t="str">
        <f t="shared" ca="1" si="83"/>
        <v/>
      </c>
      <c r="AZ71" s="828" t="str">
        <f t="shared" ca="1" si="84"/>
        <v/>
      </c>
      <c r="BA71" s="828" t="str">
        <f t="shared" ca="1" si="85"/>
        <v/>
      </c>
      <c r="BB71" s="828" t="str">
        <f t="shared" ca="1" si="86"/>
        <v/>
      </c>
      <c r="BC71" s="828" t="str">
        <f t="shared" ca="1" si="87"/>
        <v/>
      </c>
      <c r="BD71" s="828" t="str">
        <f t="shared" ca="1" si="88"/>
        <v/>
      </c>
      <c r="BE71" s="828" t="str">
        <f t="shared" ca="1" si="89"/>
        <v/>
      </c>
      <c r="BF71" s="828" t="str">
        <f t="shared" ca="1" si="90"/>
        <v/>
      </c>
      <c r="BG71" s="828" t="str">
        <f t="shared" ca="1" si="91"/>
        <v/>
      </c>
      <c r="BH71" s="828" t="str">
        <f t="shared" ca="1" si="92"/>
        <v/>
      </c>
      <c r="BI71" s="828" t="str">
        <f t="shared" ca="1" si="93"/>
        <v/>
      </c>
      <c r="BJ71" s="828" t="str">
        <f t="shared" ca="1" si="94"/>
        <v/>
      </c>
      <c r="BK71" s="828" t="str">
        <f t="shared" ca="1" si="95"/>
        <v/>
      </c>
      <c r="BL71" s="828" t="str">
        <f t="shared" ca="1" si="96"/>
        <v/>
      </c>
      <c r="BM71" s="828" t="str">
        <f t="shared" ca="1" si="97"/>
        <v/>
      </c>
      <c r="BN71" s="828" t="str">
        <f t="shared" ca="1" si="98"/>
        <v/>
      </c>
      <c r="BO71" s="828" t="str">
        <f t="shared" ca="1" si="99"/>
        <v/>
      </c>
      <c r="BP71" s="841"/>
    </row>
    <row r="72" spans="1:68" ht="20.100000000000001" customHeight="1">
      <c r="A72" s="823">
        <v>78</v>
      </c>
      <c r="B72" s="1870"/>
      <c r="C72" s="1872"/>
      <c r="D72" s="869"/>
      <c r="E72" s="824" t="s">
        <v>4595</v>
      </c>
      <c r="F72" s="833"/>
      <c r="G72" s="826" t="s">
        <v>4594</v>
      </c>
      <c r="H72" s="827">
        <f t="shared" ca="1" si="52"/>
        <v>8.64</v>
      </c>
      <c r="I72" s="827">
        <f t="shared" ca="1" si="53"/>
        <v>8.64</v>
      </c>
      <c r="J72" s="827">
        <f t="shared" ca="1" si="54"/>
        <v>8.64</v>
      </c>
      <c r="K72" s="827">
        <f t="shared" ca="1" si="55"/>
        <v>8.64</v>
      </c>
      <c r="L72" s="828">
        <f t="shared" ca="1" si="49"/>
        <v>0</v>
      </c>
      <c r="M72" s="828">
        <f t="shared" ca="1" si="49"/>
        <v>0</v>
      </c>
      <c r="N72" s="828">
        <f t="shared" ca="1" si="49"/>
        <v>0</v>
      </c>
      <c r="O72" s="828">
        <f t="shared" ca="1" si="49"/>
        <v>0</v>
      </c>
      <c r="P72" s="828">
        <f ca="1">SUM(SUMIFS(OFFSET(貼付け_2024実績,$A72,9,1,199),OFFSET(貼付け_2024実績,4,9,1,199),{"横浜*","川崎*"}))</f>
        <v>0</v>
      </c>
      <c r="Q72" s="828">
        <f ca="1">SUM(SUMIFS(OFFSET(貼付け_2025実績,$A72,9,1,199),OFFSET(貼付け_2025実績,4,9,1,199),{"横浜*","川崎*"}))</f>
        <v>0</v>
      </c>
      <c r="R72" s="828">
        <f ca="1">SUM(SUMIFS(OFFSET(貼付け_2026実績,$A72,9,1,199),OFFSET(貼付け_2026実績,4,9,1,199),{"横浜*","川崎*"}))</f>
        <v>0</v>
      </c>
      <c r="S72" s="828">
        <f ca="1">SUM(SUMIFS(OFFSET(貼付け_2027実績,$A72,9,1,199),OFFSET(貼付け_2027実績,4,9,1,199),{"横浜*","川崎*"}))</f>
        <v>0</v>
      </c>
      <c r="T72" s="828">
        <f t="shared" ca="1" si="50"/>
        <v>0</v>
      </c>
      <c r="U72" s="828">
        <f t="shared" ca="1" si="50"/>
        <v>0</v>
      </c>
      <c r="V72" s="828">
        <f t="shared" ca="1" si="50"/>
        <v>0</v>
      </c>
      <c r="W72" s="828">
        <f t="shared" ca="1" si="50"/>
        <v>0</v>
      </c>
      <c r="X72" s="828">
        <f t="shared" ca="1" si="56"/>
        <v>0</v>
      </c>
      <c r="Y72" s="828">
        <f t="shared" ca="1" si="57"/>
        <v>0</v>
      </c>
      <c r="Z72" s="828">
        <f t="shared" ca="1" si="58"/>
        <v>0</v>
      </c>
      <c r="AA72" s="828">
        <f t="shared" ca="1" si="59"/>
        <v>0</v>
      </c>
      <c r="AB72" s="828" t="str">
        <f t="shared" ca="1" si="60"/>
        <v/>
      </c>
      <c r="AC72" s="828" t="str">
        <f t="shared" ca="1" si="61"/>
        <v/>
      </c>
      <c r="AD72" s="828" t="str">
        <f t="shared" ca="1" si="62"/>
        <v/>
      </c>
      <c r="AE72" s="828" t="str">
        <f t="shared" ca="1" si="63"/>
        <v/>
      </c>
      <c r="AF72" s="828" t="str">
        <f t="shared" ca="1" si="64"/>
        <v/>
      </c>
      <c r="AG72" s="828" t="str">
        <f t="shared" ca="1" si="65"/>
        <v/>
      </c>
      <c r="AH72" s="828" t="str">
        <f t="shared" ca="1" si="66"/>
        <v/>
      </c>
      <c r="AI72" s="828" t="str">
        <f t="shared" ca="1" si="67"/>
        <v/>
      </c>
      <c r="AJ72" s="828" t="str">
        <f t="shared" ca="1" si="68"/>
        <v/>
      </c>
      <c r="AK72" s="828" t="str">
        <f t="shared" ca="1" si="69"/>
        <v/>
      </c>
      <c r="AL72" s="828" t="str">
        <f t="shared" ca="1" si="70"/>
        <v/>
      </c>
      <c r="AM72" s="828" t="str">
        <f t="shared" ca="1" si="71"/>
        <v/>
      </c>
      <c r="AN72" s="828" t="str">
        <f t="shared" ca="1" si="72"/>
        <v/>
      </c>
      <c r="AO72" s="828" t="str">
        <f t="shared" ca="1" si="73"/>
        <v/>
      </c>
      <c r="AP72" s="828" t="str">
        <f t="shared" ca="1" si="74"/>
        <v/>
      </c>
      <c r="AQ72" s="828" t="str">
        <f t="shared" ca="1" si="75"/>
        <v/>
      </c>
      <c r="AR72" s="828" t="str">
        <f t="shared" ca="1" si="76"/>
        <v/>
      </c>
      <c r="AS72" s="828" t="str">
        <f t="shared" ca="1" si="77"/>
        <v/>
      </c>
      <c r="AT72" s="828" t="str">
        <f t="shared" ca="1" si="78"/>
        <v/>
      </c>
      <c r="AU72" s="828" t="str">
        <f t="shared" ca="1" si="79"/>
        <v/>
      </c>
      <c r="AV72" s="828" t="str">
        <f t="shared" ca="1" si="80"/>
        <v/>
      </c>
      <c r="AW72" s="828" t="str">
        <f t="shared" ca="1" si="81"/>
        <v/>
      </c>
      <c r="AX72" s="828" t="str">
        <f t="shared" ca="1" si="82"/>
        <v/>
      </c>
      <c r="AY72" s="828" t="str">
        <f t="shared" ca="1" si="83"/>
        <v/>
      </c>
      <c r="AZ72" s="828" t="str">
        <f t="shared" ca="1" si="84"/>
        <v/>
      </c>
      <c r="BA72" s="828" t="str">
        <f t="shared" ca="1" si="85"/>
        <v/>
      </c>
      <c r="BB72" s="828" t="str">
        <f t="shared" ca="1" si="86"/>
        <v/>
      </c>
      <c r="BC72" s="828" t="str">
        <f t="shared" ca="1" si="87"/>
        <v/>
      </c>
      <c r="BD72" s="828" t="str">
        <f t="shared" ca="1" si="88"/>
        <v/>
      </c>
      <c r="BE72" s="828" t="str">
        <f t="shared" ca="1" si="89"/>
        <v/>
      </c>
      <c r="BF72" s="828" t="str">
        <f t="shared" ca="1" si="90"/>
        <v/>
      </c>
      <c r="BG72" s="828" t="str">
        <f t="shared" ca="1" si="91"/>
        <v/>
      </c>
      <c r="BH72" s="828" t="str">
        <f t="shared" ca="1" si="92"/>
        <v/>
      </c>
      <c r="BI72" s="828" t="str">
        <f t="shared" ca="1" si="93"/>
        <v/>
      </c>
      <c r="BJ72" s="828" t="str">
        <f t="shared" ca="1" si="94"/>
        <v/>
      </c>
      <c r="BK72" s="828" t="str">
        <f t="shared" ca="1" si="95"/>
        <v/>
      </c>
      <c r="BL72" s="828" t="str">
        <f t="shared" ca="1" si="96"/>
        <v/>
      </c>
      <c r="BM72" s="828" t="str">
        <f t="shared" ca="1" si="97"/>
        <v/>
      </c>
      <c r="BN72" s="828" t="str">
        <f t="shared" ca="1" si="98"/>
        <v/>
      </c>
      <c r="BO72" s="828" t="str">
        <f t="shared" ca="1" si="99"/>
        <v/>
      </c>
      <c r="BP72" s="841"/>
    </row>
    <row r="73" spans="1:68" ht="20.100000000000001" customHeight="1">
      <c r="A73" s="823">
        <v>80</v>
      </c>
      <c r="B73" s="1870"/>
      <c r="C73" s="1873"/>
      <c r="D73" s="870" t="s">
        <v>4251</v>
      </c>
      <c r="E73" s="871" t="str">
        <f ca="1">OFFSET(A1_その他欄集計,13,7)</f>
        <v/>
      </c>
      <c r="F73" s="837"/>
      <c r="G73" s="826" t="s">
        <v>4594</v>
      </c>
      <c r="H73" s="827">
        <f t="shared" ca="1" si="52"/>
        <v>0</v>
      </c>
      <c r="I73" s="827">
        <f t="shared" ca="1" si="53"/>
        <v>0</v>
      </c>
      <c r="J73" s="827">
        <f t="shared" ca="1" si="54"/>
        <v>0</v>
      </c>
      <c r="K73" s="827">
        <f t="shared" ca="1" si="55"/>
        <v>0</v>
      </c>
      <c r="L73" s="828">
        <f t="shared" ca="1" si="49"/>
        <v>0</v>
      </c>
      <c r="M73" s="828">
        <f t="shared" ca="1" si="49"/>
        <v>0</v>
      </c>
      <c r="N73" s="828">
        <f t="shared" ca="1" si="49"/>
        <v>0</v>
      </c>
      <c r="O73" s="828">
        <f t="shared" ca="1" si="49"/>
        <v>0</v>
      </c>
      <c r="P73" s="828">
        <f ca="1">SUM(SUMIFS(OFFSET(貼付け_2024実績,$A73,9,1,199),OFFSET(貼付け_2024実績,4,9,1,199),{"横浜*","川崎*"}))</f>
        <v>0</v>
      </c>
      <c r="Q73" s="828">
        <f ca="1">SUM(SUMIFS(OFFSET(貼付け_2025実績,$A73,9,1,199),OFFSET(貼付け_2025実績,4,9,1,199),{"横浜*","川崎*"}))</f>
        <v>0</v>
      </c>
      <c r="R73" s="828">
        <f ca="1">SUM(SUMIFS(OFFSET(貼付け_2026実績,$A73,9,1,199),OFFSET(貼付け_2026実績,4,9,1,199),{"横浜*","川崎*"}))</f>
        <v>0</v>
      </c>
      <c r="S73" s="828">
        <f ca="1">SUM(SUMIFS(OFFSET(貼付け_2027実績,$A73,9,1,199),OFFSET(貼付け_2027実績,4,9,1,199),{"横浜*","川崎*"}))</f>
        <v>0</v>
      </c>
      <c r="T73" s="828">
        <f t="shared" ca="1" si="50"/>
        <v>0</v>
      </c>
      <c r="U73" s="828">
        <f t="shared" ca="1" si="50"/>
        <v>0</v>
      </c>
      <c r="V73" s="828">
        <f t="shared" ca="1" si="50"/>
        <v>0</v>
      </c>
      <c r="W73" s="828">
        <f t="shared" ca="1" si="50"/>
        <v>0</v>
      </c>
      <c r="X73" s="828">
        <f t="shared" ref="X73:X90" ca="1" si="100">SUMIFS(OFFSET(貼付け_2024実績,$A73,9,1,199),OFFSET(貼付け_2024実績,4,9,1,199),"県域*")</f>
        <v>0</v>
      </c>
      <c r="Y73" s="828">
        <f t="shared" ref="Y73:Y90" ca="1" si="101">SUMIFS(OFFSET(貼付け_2025実績,$A73,9,1,199),OFFSET(貼付け_2025実績,4,9,1,199),"県域*")</f>
        <v>0</v>
      </c>
      <c r="Z73" s="828">
        <f t="shared" ref="Z73:Z90" ca="1" si="102">SUMIFS(OFFSET(貼付け_2026実績,$A73,9,1,199),OFFSET(貼付け_2026実績,4,9,1,199),"県域*")</f>
        <v>0</v>
      </c>
      <c r="AA73" s="828">
        <f t="shared" ref="AA73:AA90" ca="1" si="103">SUMIFS(OFFSET(貼付け_2027実績,$A73,9,1,199),OFFSET(貼付け_2027実績,4,9,1,199),"県域*")</f>
        <v>0</v>
      </c>
      <c r="AB73" s="828" t="str">
        <f t="shared" ca="1" si="60"/>
        <v/>
      </c>
      <c r="AC73" s="828" t="str">
        <f t="shared" ca="1" si="61"/>
        <v/>
      </c>
      <c r="AD73" s="828" t="str">
        <f t="shared" ca="1" si="62"/>
        <v/>
      </c>
      <c r="AE73" s="828" t="str">
        <f t="shared" ca="1" si="63"/>
        <v/>
      </c>
      <c r="AF73" s="828" t="str">
        <f t="shared" ca="1" si="64"/>
        <v/>
      </c>
      <c r="AG73" s="828" t="str">
        <f t="shared" ca="1" si="65"/>
        <v/>
      </c>
      <c r="AH73" s="828" t="str">
        <f t="shared" ca="1" si="66"/>
        <v/>
      </c>
      <c r="AI73" s="828" t="str">
        <f t="shared" ca="1" si="67"/>
        <v/>
      </c>
      <c r="AJ73" s="828" t="str">
        <f t="shared" ca="1" si="68"/>
        <v/>
      </c>
      <c r="AK73" s="828" t="str">
        <f t="shared" ca="1" si="69"/>
        <v/>
      </c>
      <c r="AL73" s="828" t="str">
        <f t="shared" ca="1" si="70"/>
        <v/>
      </c>
      <c r="AM73" s="828" t="str">
        <f t="shared" ca="1" si="71"/>
        <v/>
      </c>
      <c r="AN73" s="828" t="str">
        <f t="shared" ca="1" si="72"/>
        <v/>
      </c>
      <c r="AO73" s="828" t="str">
        <f t="shared" ca="1" si="73"/>
        <v/>
      </c>
      <c r="AP73" s="828" t="str">
        <f t="shared" ca="1" si="74"/>
        <v/>
      </c>
      <c r="AQ73" s="828" t="str">
        <f t="shared" ca="1" si="75"/>
        <v/>
      </c>
      <c r="AR73" s="828" t="str">
        <f t="shared" ca="1" si="76"/>
        <v/>
      </c>
      <c r="AS73" s="828" t="str">
        <f t="shared" ca="1" si="77"/>
        <v/>
      </c>
      <c r="AT73" s="828" t="str">
        <f t="shared" ca="1" si="78"/>
        <v/>
      </c>
      <c r="AU73" s="828" t="str">
        <f t="shared" ca="1" si="79"/>
        <v/>
      </c>
      <c r="AV73" s="828" t="str">
        <f t="shared" ca="1" si="80"/>
        <v/>
      </c>
      <c r="AW73" s="828" t="str">
        <f t="shared" ca="1" si="81"/>
        <v/>
      </c>
      <c r="AX73" s="828" t="str">
        <f t="shared" ca="1" si="82"/>
        <v/>
      </c>
      <c r="AY73" s="828" t="str">
        <f t="shared" ca="1" si="83"/>
        <v/>
      </c>
      <c r="AZ73" s="828" t="str">
        <f t="shared" ca="1" si="84"/>
        <v/>
      </c>
      <c r="BA73" s="828" t="str">
        <f t="shared" ca="1" si="85"/>
        <v/>
      </c>
      <c r="BB73" s="828" t="str">
        <f t="shared" ca="1" si="86"/>
        <v/>
      </c>
      <c r="BC73" s="828" t="str">
        <f t="shared" ca="1" si="87"/>
        <v/>
      </c>
      <c r="BD73" s="828" t="str">
        <f t="shared" ca="1" si="88"/>
        <v/>
      </c>
      <c r="BE73" s="828" t="str">
        <f t="shared" ca="1" si="89"/>
        <v/>
      </c>
      <c r="BF73" s="828" t="str">
        <f t="shared" ca="1" si="90"/>
        <v/>
      </c>
      <c r="BG73" s="828" t="str">
        <f t="shared" ca="1" si="91"/>
        <v/>
      </c>
      <c r="BH73" s="828" t="str">
        <f t="shared" ca="1" si="92"/>
        <v/>
      </c>
      <c r="BI73" s="828" t="str">
        <f t="shared" ca="1" si="93"/>
        <v/>
      </c>
      <c r="BJ73" s="828" t="str">
        <f t="shared" ca="1" si="94"/>
        <v/>
      </c>
      <c r="BK73" s="828" t="str">
        <f t="shared" ca="1" si="95"/>
        <v/>
      </c>
      <c r="BL73" s="828" t="str">
        <f t="shared" ca="1" si="96"/>
        <v/>
      </c>
      <c r="BM73" s="828" t="str">
        <f t="shared" ca="1" si="97"/>
        <v/>
      </c>
      <c r="BN73" s="828" t="str">
        <f t="shared" ca="1" si="98"/>
        <v/>
      </c>
      <c r="BO73" s="828" t="str">
        <f t="shared" ca="1" si="99"/>
        <v/>
      </c>
      <c r="BP73" s="841"/>
    </row>
    <row r="74" spans="1:68" ht="20.100000000000001" customHeight="1">
      <c r="A74" s="823">
        <v>81</v>
      </c>
      <c r="B74" s="1870"/>
      <c r="C74" s="872"/>
      <c r="D74" s="873"/>
      <c r="E74" s="824" t="s">
        <v>4595</v>
      </c>
      <c r="F74" s="874"/>
      <c r="G74" s="826" t="s">
        <v>4594</v>
      </c>
      <c r="H74" s="827">
        <f t="shared" ca="1" si="52"/>
        <v>0</v>
      </c>
      <c r="I74" s="827">
        <f t="shared" ca="1" si="53"/>
        <v>0</v>
      </c>
      <c r="J74" s="827">
        <f t="shared" ca="1" si="54"/>
        <v>0</v>
      </c>
      <c r="K74" s="827">
        <f t="shared" ca="1" si="55"/>
        <v>0</v>
      </c>
      <c r="L74" s="828">
        <f t="shared" ca="1" si="49"/>
        <v>0</v>
      </c>
      <c r="M74" s="828">
        <f t="shared" ca="1" si="49"/>
        <v>0</v>
      </c>
      <c r="N74" s="828">
        <f t="shared" ca="1" si="49"/>
        <v>0</v>
      </c>
      <c r="O74" s="828">
        <f t="shared" ca="1" si="49"/>
        <v>0</v>
      </c>
      <c r="P74" s="828">
        <f ca="1">SUM(SUMIFS(OFFSET(貼付け_2024実績,$A74,9,1,199),OFFSET(貼付け_2024実績,4,9,1,199),{"横浜*","川崎*"}))</f>
        <v>0</v>
      </c>
      <c r="Q74" s="828">
        <f ca="1">SUM(SUMIFS(OFFSET(貼付け_2025実績,$A74,9,1,199),OFFSET(貼付け_2025実績,4,9,1,199),{"横浜*","川崎*"}))</f>
        <v>0</v>
      </c>
      <c r="R74" s="828">
        <f ca="1">SUM(SUMIFS(OFFSET(貼付け_2026実績,$A74,9,1,199),OFFSET(貼付け_2026実績,4,9,1,199),{"横浜*","川崎*"}))</f>
        <v>0</v>
      </c>
      <c r="S74" s="828">
        <f ca="1">SUM(SUMIFS(OFFSET(貼付け_2027実績,$A74,9,1,199),OFFSET(貼付け_2027実績,4,9,1,199),{"横浜*","川崎*"}))</f>
        <v>0</v>
      </c>
      <c r="T74" s="828">
        <f t="shared" ca="1" si="50"/>
        <v>0</v>
      </c>
      <c r="U74" s="828">
        <f t="shared" ca="1" si="50"/>
        <v>0</v>
      </c>
      <c r="V74" s="828">
        <f t="shared" ca="1" si="50"/>
        <v>0</v>
      </c>
      <c r="W74" s="828">
        <f t="shared" ca="1" si="50"/>
        <v>0</v>
      </c>
      <c r="X74" s="828">
        <f t="shared" ca="1" si="100"/>
        <v>0</v>
      </c>
      <c r="Y74" s="828">
        <f t="shared" ca="1" si="101"/>
        <v>0</v>
      </c>
      <c r="Z74" s="828">
        <f t="shared" ca="1" si="102"/>
        <v>0</v>
      </c>
      <c r="AA74" s="828">
        <f t="shared" ca="1" si="103"/>
        <v>0</v>
      </c>
      <c r="AB74" s="828" t="str">
        <f t="shared" ca="1" si="60"/>
        <v/>
      </c>
      <c r="AC74" s="828" t="str">
        <f t="shared" ca="1" si="61"/>
        <v/>
      </c>
      <c r="AD74" s="828" t="str">
        <f t="shared" ca="1" si="62"/>
        <v/>
      </c>
      <c r="AE74" s="828" t="str">
        <f t="shared" ca="1" si="63"/>
        <v/>
      </c>
      <c r="AF74" s="828" t="str">
        <f t="shared" ca="1" si="64"/>
        <v/>
      </c>
      <c r="AG74" s="828" t="str">
        <f t="shared" ca="1" si="65"/>
        <v/>
      </c>
      <c r="AH74" s="828" t="str">
        <f t="shared" ca="1" si="66"/>
        <v/>
      </c>
      <c r="AI74" s="828" t="str">
        <f t="shared" ca="1" si="67"/>
        <v/>
      </c>
      <c r="AJ74" s="828" t="str">
        <f t="shared" ca="1" si="68"/>
        <v/>
      </c>
      <c r="AK74" s="828" t="str">
        <f t="shared" ca="1" si="69"/>
        <v/>
      </c>
      <c r="AL74" s="828" t="str">
        <f t="shared" ca="1" si="70"/>
        <v/>
      </c>
      <c r="AM74" s="828" t="str">
        <f t="shared" ca="1" si="71"/>
        <v/>
      </c>
      <c r="AN74" s="828" t="str">
        <f t="shared" ca="1" si="72"/>
        <v/>
      </c>
      <c r="AO74" s="828" t="str">
        <f t="shared" ca="1" si="73"/>
        <v/>
      </c>
      <c r="AP74" s="828" t="str">
        <f t="shared" ca="1" si="74"/>
        <v/>
      </c>
      <c r="AQ74" s="828" t="str">
        <f t="shared" ca="1" si="75"/>
        <v/>
      </c>
      <c r="AR74" s="828" t="str">
        <f t="shared" ca="1" si="76"/>
        <v/>
      </c>
      <c r="AS74" s="828" t="str">
        <f t="shared" ca="1" si="77"/>
        <v/>
      </c>
      <c r="AT74" s="828" t="str">
        <f t="shared" ca="1" si="78"/>
        <v/>
      </c>
      <c r="AU74" s="828" t="str">
        <f t="shared" ca="1" si="79"/>
        <v/>
      </c>
      <c r="AV74" s="828" t="str">
        <f t="shared" ca="1" si="80"/>
        <v/>
      </c>
      <c r="AW74" s="828" t="str">
        <f t="shared" ca="1" si="81"/>
        <v/>
      </c>
      <c r="AX74" s="828" t="str">
        <f t="shared" ca="1" si="82"/>
        <v/>
      </c>
      <c r="AY74" s="828" t="str">
        <f t="shared" ca="1" si="83"/>
        <v/>
      </c>
      <c r="AZ74" s="828" t="str">
        <f t="shared" ca="1" si="84"/>
        <v/>
      </c>
      <c r="BA74" s="828" t="str">
        <f t="shared" ca="1" si="85"/>
        <v/>
      </c>
      <c r="BB74" s="828" t="str">
        <f t="shared" ca="1" si="86"/>
        <v/>
      </c>
      <c r="BC74" s="828" t="str">
        <f t="shared" ca="1" si="87"/>
        <v/>
      </c>
      <c r="BD74" s="828" t="str">
        <f t="shared" ca="1" si="88"/>
        <v/>
      </c>
      <c r="BE74" s="828" t="str">
        <f t="shared" ca="1" si="89"/>
        <v/>
      </c>
      <c r="BF74" s="828" t="str">
        <f t="shared" ca="1" si="90"/>
        <v/>
      </c>
      <c r="BG74" s="828" t="str">
        <f t="shared" ca="1" si="91"/>
        <v/>
      </c>
      <c r="BH74" s="828" t="str">
        <f t="shared" ca="1" si="92"/>
        <v/>
      </c>
      <c r="BI74" s="828" t="str">
        <f t="shared" ca="1" si="93"/>
        <v/>
      </c>
      <c r="BJ74" s="828" t="str">
        <f t="shared" ca="1" si="94"/>
        <v/>
      </c>
      <c r="BK74" s="828" t="str">
        <f t="shared" ca="1" si="95"/>
        <v/>
      </c>
      <c r="BL74" s="828" t="str">
        <f t="shared" ca="1" si="96"/>
        <v/>
      </c>
      <c r="BM74" s="828" t="str">
        <f t="shared" ca="1" si="97"/>
        <v/>
      </c>
      <c r="BN74" s="828" t="str">
        <f t="shared" ca="1" si="98"/>
        <v/>
      </c>
      <c r="BO74" s="828" t="str">
        <f t="shared" ca="1" si="99"/>
        <v/>
      </c>
      <c r="BP74" s="841"/>
    </row>
    <row r="75" spans="1:68" ht="20.100000000000001" customHeight="1">
      <c r="A75" s="823">
        <v>83</v>
      </c>
      <c r="B75" s="1870"/>
      <c r="C75" s="1872" t="s">
        <v>4439</v>
      </c>
      <c r="D75" s="853" t="s">
        <v>4440</v>
      </c>
      <c r="E75" s="824"/>
      <c r="F75" s="875"/>
      <c r="G75" s="826" t="s">
        <v>4594</v>
      </c>
      <c r="H75" s="827">
        <f t="shared" ref="H75:H90" ca="1" si="104">IFERROR(OFFSET(貼付け_2024実績,$A75,5),"")</f>
        <v>3.6</v>
      </c>
      <c r="I75" s="827">
        <f t="shared" ref="I75:I90" ca="1" si="105">IFERROR(OFFSET(貼付け_2025実績,$A75,5),"")</f>
        <v>3.6</v>
      </c>
      <c r="J75" s="827">
        <f t="shared" ref="J75:J90" ca="1" si="106">IFERROR(OFFSET(貼付け_2026実績,$A75,5),"")</f>
        <v>3.6</v>
      </c>
      <c r="K75" s="827">
        <f t="shared" ref="K75:K90" ca="1" si="107">IFERROR(OFFSET(貼付け_2027実績,$A75,5),"")</f>
        <v>3.6</v>
      </c>
      <c r="L75" s="828">
        <f t="shared" ca="1" si="49"/>
        <v>0</v>
      </c>
      <c r="M75" s="828">
        <f t="shared" ca="1" si="49"/>
        <v>0</v>
      </c>
      <c r="N75" s="828">
        <f t="shared" ca="1" si="49"/>
        <v>0</v>
      </c>
      <c r="O75" s="828">
        <f t="shared" ca="1" si="49"/>
        <v>0</v>
      </c>
      <c r="P75" s="828">
        <f ca="1">SUM(SUMIFS(OFFSET(貼付け_2024実績,$A75,9,1,199),OFFSET(貼付け_2024実績,4,9,1,199),{"横浜*","川崎*"}))</f>
        <v>0</v>
      </c>
      <c r="Q75" s="828">
        <f ca="1">SUM(SUMIFS(OFFSET(貼付け_2025実績,$A75,9,1,199),OFFSET(貼付け_2025実績,4,9,1,199),{"横浜*","川崎*"}))</f>
        <v>0</v>
      </c>
      <c r="R75" s="828">
        <f ca="1">SUM(SUMIFS(OFFSET(貼付け_2026実績,$A75,9,1,199),OFFSET(貼付け_2026実績,4,9,1,199),{"横浜*","川崎*"}))</f>
        <v>0</v>
      </c>
      <c r="S75" s="828">
        <f ca="1">SUM(SUMIFS(OFFSET(貼付け_2027実績,$A75,9,1,199),OFFSET(貼付け_2027実績,4,9,1,199),{"横浜*","川崎*"}))</f>
        <v>0</v>
      </c>
      <c r="T75" s="828">
        <f t="shared" ca="1" si="50"/>
        <v>0</v>
      </c>
      <c r="U75" s="828">
        <f t="shared" ca="1" si="50"/>
        <v>0</v>
      </c>
      <c r="V75" s="828">
        <f t="shared" ca="1" si="50"/>
        <v>0</v>
      </c>
      <c r="W75" s="828">
        <f t="shared" ca="1" si="50"/>
        <v>0</v>
      </c>
      <c r="X75" s="828">
        <f t="shared" ca="1" si="100"/>
        <v>0</v>
      </c>
      <c r="Y75" s="828">
        <f t="shared" ca="1" si="101"/>
        <v>0</v>
      </c>
      <c r="Z75" s="828">
        <f t="shared" ca="1" si="102"/>
        <v>0</v>
      </c>
      <c r="AA75" s="828">
        <f t="shared" ca="1" si="103"/>
        <v>0</v>
      </c>
      <c r="AB75" s="828" t="str">
        <f t="shared" ref="AB75:AB89" ca="1" si="108">IFERROR(OFFSET(貼付け_2024実績,$A75,AB$1),"")</f>
        <v/>
      </c>
      <c r="AC75" s="828" t="str">
        <f t="shared" ref="AC75:AC90" ca="1" si="109">IFERROR(OFFSET(貼付け_2025実績,$A75,AC$1),"")</f>
        <v/>
      </c>
      <c r="AD75" s="828" t="str">
        <f t="shared" ref="AD75:AD90" ca="1" si="110">IFERROR(OFFSET(貼付け_2026実績,$A75,AD$1),"")</f>
        <v/>
      </c>
      <c r="AE75" s="828" t="str">
        <f t="shared" ref="AE75:AE90" ca="1" si="111">IFERROR(OFFSET(貼付け_2027実績,$A75,AE$1),"")</f>
        <v/>
      </c>
      <c r="AF75" s="828" t="str">
        <f t="shared" ref="AF75:AF90" ca="1" si="112">IFERROR(OFFSET(貼付け_2024実績,$A75,AF$1),"")</f>
        <v/>
      </c>
      <c r="AG75" s="828" t="str">
        <f t="shared" ref="AG75:AG90" ca="1" si="113">IFERROR(OFFSET(貼付け_2025実績,$A75,AG$1),"")</f>
        <v/>
      </c>
      <c r="AH75" s="828" t="str">
        <f t="shared" ref="AH75:AH90" ca="1" si="114">IFERROR(OFFSET(貼付け_2026実績,$A75,AH$1),"")</f>
        <v/>
      </c>
      <c r="AI75" s="828" t="str">
        <f t="shared" ref="AI75:AI90" ca="1" si="115">IFERROR(OFFSET(貼付け_2027実績,$A75,AI$1),"")</f>
        <v/>
      </c>
      <c r="AJ75" s="828" t="str">
        <f t="shared" ref="AJ75:AJ90" ca="1" si="116">IFERROR(OFFSET(貼付け_2024実績,$A75,AJ$1),"")</f>
        <v/>
      </c>
      <c r="AK75" s="828" t="str">
        <f t="shared" ref="AK75:AK90" ca="1" si="117">IFERROR(OFFSET(貼付け_2025実績,$A75,AK$1),"")</f>
        <v/>
      </c>
      <c r="AL75" s="828" t="str">
        <f t="shared" ref="AL75:AL90" ca="1" si="118">IFERROR(OFFSET(貼付け_2026実績,$A75,AL$1),"")</f>
        <v/>
      </c>
      <c r="AM75" s="828" t="str">
        <f t="shared" ref="AM75:AM90" ca="1" si="119">IFERROR(OFFSET(貼付け_2027実績,$A75,AM$1),"")</f>
        <v/>
      </c>
      <c r="AN75" s="828" t="str">
        <f t="shared" ref="AN75:AN90" ca="1" si="120">IFERROR(OFFSET(貼付け_2024実績,$A75,AN$1),"")</f>
        <v/>
      </c>
      <c r="AO75" s="828" t="str">
        <f t="shared" ref="AO75:AO90" ca="1" si="121">IFERROR(OFFSET(貼付け_2025実績,$A75,AO$1),"")</f>
        <v/>
      </c>
      <c r="AP75" s="828" t="str">
        <f t="shared" ref="AP75:AP90" ca="1" si="122">IFERROR(OFFSET(貼付け_2026実績,$A75,AP$1),"")</f>
        <v/>
      </c>
      <c r="AQ75" s="828" t="str">
        <f t="shared" ref="AQ75:AQ90" ca="1" si="123">IFERROR(OFFSET(貼付け_2027実績,$A75,AQ$1),"")</f>
        <v/>
      </c>
      <c r="AR75" s="828" t="str">
        <f t="shared" ref="AR75:AR90" ca="1" si="124">IFERROR(OFFSET(貼付け_2024実績,$A75,AR$1),"")</f>
        <v/>
      </c>
      <c r="AS75" s="828" t="str">
        <f t="shared" ref="AS75:AS90" ca="1" si="125">IFERROR(OFFSET(貼付け_2025実績,$A75,AS$1),"")</f>
        <v/>
      </c>
      <c r="AT75" s="828" t="str">
        <f t="shared" ref="AT75:AT90" ca="1" si="126">IFERROR(OFFSET(貼付け_2026実績,$A75,AT$1),"")</f>
        <v/>
      </c>
      <c r="AU75" s="828" t="str">
        <f t="shared" ref="AU75:AU90" ca="1" si="127">IFERROR(OFFSET(貼付け_2027実績,$A75,AU$1),"")</f>
        <v/>
      </c>
      <c r="AV75" s="828" t="str">
        <f t="shared" ref="AV75:AV90" ca="1" si="128">IFERROR(OFFSET(貼付け_2024実績,$A75,AV$1),"")</f>
        <v/>
      </c>
      <c r="AW75" s="828" t="str">
        <f t="shared" ref="AW75:AW90" ca="1" si="129">IFERROR(OFFSET(貼付け_2025実績,$A75,AW$1),"")</f>
        <v/>
      </c>
      <c r="AX75" s="828" t="str">
        <f t="shared" ref="AX75:AX90" ca="1" si="130">IFERROR(OFFSET(貼付け_2026実績,$A75,AX$1),"")</f>
        <v/>
      </c>
      <c r="AY75" s="828" t="str">
        <f t="shared" ref="AY75:AY90" ca="1" si="131">IFERROR(OFFSET(貼付け_2027実績,$A75,AY$1),"")</f>
        <v/>
      </c>
      <c r="AZ75" s="828" t="str">
        <f t="shared" ref="AZ75:AZ90" ca="1" si="132">IFERROR(OFFSET(貼付け_2024実績,$A75,AZ$1),"")</f>
        <v/>
      </c>
      <c r="BA75" s="828" t="str">
        <f t="shared" ref="BA75:BA90" ca="1" si="133">IFERROR(OFFSET(貼付け_2025実績,$A75,BA$1),"")</f>
        <v/>
      </c>
      <c r="BB75" s="828" t="str">
        <f t="shared" ref="BB75:BB90" ca="1" si="134">IFERROR(OFFSET(貼付け_2026実績,$A75,BB$1),"")</f>
        <v/>
      </c>
      <c r="BC75" s="828" t="str">
        <f t="shared" ref="BC75:BC90" ca="1" si="135">IFERROR(OFFSET(貼付け_2027実績,$A75,BC$1),"")</f>
        <v/>
      </c>
      <c r="BD75" s="828" t="str">
        <f t="shared" ref="BD75:BD90" ca="1" si="136">IFERROR(OFFSET(貼付け_2024実績,$A75,BD$1),"")</f>
        <v/>
      </c>
      <c r="BE75" s="828" t="str">
        <f t="shared" ref="BE75:BE90" ca="1" si="137">IFERROR(OFFSET(貼付け_2025実績,$A75,BE$1),"")</f>
        <v/>
      </c>
      <c r="BF75" s="828" t="str">
        <f t="shared" ref="BF75:BF90" ca="1" si="138">IFERROR(OFFSET(貼付け_2026実績,$A75,BF$1),"")</f>
        <v/>
      </c>
      <c r="BG75" s="828" t="str">
        <f t="shared" ref="BG75:BG90" ca="1" si="139">IFERROR(OFFSET(貼付け_2027実績,$A75,BG$1),"")</f>
        <v/>
      </c>
      <c r="BH75" s="828" t="str">
        <f t="shared" ref="BH75:BH90" ca="1" si="140">IFERROR(OFFSET(貼付け_2024実績,$A75,BH$1),"")</f>
        <v/>
      </c>
      <c r="BI75" s="828" t="str">
        <f t="shared" ref="BI75:BI90" ca="1" si="141">IFERROR(OFFSET(貼付け_2025実績,$A75,BI$1),"")</f>
        <v/>
      </c>
      <c r="BJ75" s="828" t="str">
        <f t="shared" ref="BJ75:BJ90" ca="1" si="142">IFERROR(OFFSET(貼付け_2026実績,$A75,BJ$1),"")</f>
        <v/>
      </c>
      <c r="BK75" s="828" t="str">
        <f t="shared" ref="BK75:BK90" ca="1" si="143">IFERROR(OFFSET(貼付け_2027実績,$A75,BK$1),"")</f>
        <v/>
      </c>
      <c r="BL75" s="828" t="str">
        <f t="shared" ref="BL75:BL90" ca="1" si="144">IFERROR(OFFSET(貼付け_2024実績,$A75,BL$1),"")</f>
        <v/>
      </c>
      <c r="BM75" s="828" t="str">
        <f t="shared" ref="BM75:BM90" ca="1" si="145">IFERROR(OFFSET(貼付け_2025実績,$A75,BM$1),"")</f>
        <v/>
      </c>
      <c r="BN75" s="828" t="str">
        <f t="shared" ref="BN75:BN90" ca="1" si="146">IFERROR(OFFSET(貼付け_2026実績,$A75,BN$1),"")</f>
        <v/>
      </c>
      <c r="BO75" s="828" t="str">
        <f t="shared" ref="BO75:BO90" ca="1" si="147">IFERROR(OFFSET(貼付け_2027実績,$A75,BO$1),"")</f>
        <v/>
      </c>
      <c r="BP75" s="841"/>
    </row>
    <row r="76" spans="1:68" ht="20.100000000000001" customHeight="1">
      <c r="A76" s="823">
        <v>84</v>
      </c>
      <c r="B76" s="1870"/>
      <c r="C76" s="1872"/>
      <c r="D76" s="853" t="s">
        <v>4441</v>
      </c>
      <c r="E76" s="824"/>
      <c r="F76" s="875"/>
      <c r="G76" s="826" t="s">
        <v>4216</v>
      </c>
      <c r="H76" s="876"/>
      <c r="I76" s="876"/>
      <c r="J76" s="876"/>
      <c r="K76" s="876"/>
      <c r="L76" s="828">
        <f t="shared" ref="L76:O90" ca="1" si="148">P76+T76</f>
        <v>0</v>
      </c>
      <c r="M76" s="828">
        <f t="shared" ca="1" si="148"/>
        <v>0</v>
      </c>
      <c r="N76" s="828">
        <f t="shared" ca="1" si="148"/>
        <v>0</v>
      </c>
      <c r="O76" s="828">
        <f t="shared" ca="1" si="148"/>
        <v>0</v>
      </c>
      <c r="P76" s="828">
        <f ca="1">SUM(SUMIFS(OFFSET(貼付け_2024実績,$A76,9,1,199),OFFSET(貼付け_2024実績,4,9,1,199),{"横浜*","川崎*"}))</f>
        <v>0</v>
      </c>
      <c r="Q76" s="828">
        <f ca="1">SUM(SUMIFS(OFFSET(貼付け_2025実績,$A76,9,1,199),OFFSET(貼付け_2025実績,4,9,1,199),{"横浜*","川崎*"}))</f>
        <v>0</v>
      </c>
      <c r="R76" s="828">
        <f ca="1">SUM(SUMIFS(OFFSET(貼付け_2026実績,$A76,9,1,199),OFFSET(貼付け_2026実績,4,9,1,199),{"横浜*","川崎*"}))</f>
        <v>0</v>
      </c>
      <c r="S76" s="828">
        <f ca="1">SUM(SUMIFS(OFFSET(貼付け_2027実績,$A76,9,1,199),OFFSET(貼付け_2027実績,4,9,1,199),{"横浜*","川崎*"}))</f>
        <v>0</v>
      </c>
      <c r="T76" s="828">
        <f t="shared" ref="T76:W90" ca="1" si="149">SUM(X76,AB76,AF76,AJ76,AN76,AR76,AV76,AZ76,BD76,BH76,BL76)</f>
        <v>0</v>
      </c>
      <c r="U76" s="828">
        <f t="shared" ca="1" si="149"/>
        <v>0</v>
      </c>
      <c r="V76" s="828">
        <f t="shared" ca="1" si="149"/>
        <v>0</v>
      </c>
      <c r="W76" s="828">
        <f t="shared" ca="1" si="149"/>
        <v>0</v>
      </c>
      <c r="X76" s="828">
        <f t="shared" ca="1" si="100"/>
        <v>0</v>
      </c>
      <c r="Y76" s="828">
        <f t="shared" ca="1" si="101"/>
        <v>0</v>
      </c>
      <c r="Z76" s="828">
        <f t="shared" ca="1" si="102"/>
        <v>0</v>
      </c>
      <c r="AA76" s="828">
        <f t="shared" ca="1" si="103"/>
        <v>0</v>
      </c>
      <c r="AB76" s="828" t="str">
        <f t="shared" ca="1" si="108"/>
        <v/>
      </c>
      <c r="AC76" s="828" t="str">
        <f t="shared" ca="1" si="109"/>
        <v/>
      </c>
      <c r="AD76" s="828" t="str">
        <f t="shared" ca="1" si="110"/>
        <v/>
      </c>
      <c r="AE76" s="828" t="str">
        <f t="shared" ca="1" si="111"/>
        <v/>
      </c>
      <c r="AF76" s="828" t="str">
        <f t="shared" ca="1" si="112"/>
        <v/>
      </c>
      <c r="AG76" s="828" t="str">
        <f t="shared" ca="1" si="113"/>
        <v/>
      </c>
      <c r="AH76" s="828" t="str">
        <f t="shared" ca="1" si="114"/>
        <v/>
      </c>
      <c r="AI76" s="828" t="str">
        <f t="shared" ca="1" si="115"/>
        <v/>
      </c>
      <c r="AJ76" s="828" t="str">
        <f t="shared" ca="1" si="116"/>
        <v/>
      </c>
      <c r="AK76" s="828" t="str">
        <f t="shared" ca="1" si="117"/>
        <v/>
      </c>
      <c r="AL76" s="828" t="str">
        <f t="shared" ca="1" si="118"/>
        <v/>
      </c>
      <c r="AM76" s="828" t="str">
        <f t="shared" ca="1" si="119"/>
        <v/>
      </c>
      <c r="AN76" s="828" t="str">
        <f t="shared" ca="1" si="120"/>
        <v/>
      </c>
      <c r="AO76" s="828" t="str">
        <f t="shared" ca="1" si="121"/>
        <v/>
      </c>
      <c r="AP76" s="828" t="str">
        <f t="shared" ca="1" si="122"/>
        <v/>
      </c>
      <c r="AQ76" s="828" t="str">
        <f t="shared" ca="1" si="123"/>
        <v/>
      </c>
      <c r="AR76" s="828" t="str">
        <f t="shared" ca="1" si="124"/>
        <v/>
      </c>
      <c r="AS76" s="828" t="str">
        <f t="shared" ca="1" si="125"/>
        <v/>
      </c>
      <c r="AT76" s="828" t="str">
        <f t="shared" ca="1" si="126"/>
        <v/>
      </c>
      <c r="AU76" s="828" t="str">
        <f t="shared" ca="1" si="127"/>
        <v/>
      </c>
      <c r="AV76" s="828" t="str">
        <f t="shared" ca="1" si="128"/>
        <v/>
      </c>
      <c r="AW76" s="828" t="str">
        <f t="shared" ca="1" si="129"/>
        <v/>
      </c>
      <c r="AX76" s="828" t="str">
        <f t="shared" ca="1" si="130"/>
        <v/>
      </c>
      <c r="AY76" s="828" t="str">
        <f t="shared" ca="1" si="131"/>
        <v/>
      </c>
      <c r="AZ76" s="828" t="str">
        <f t="shared" ca="1" si="132"/>
        <v/>
      </c>
      <c r="BA76" s="828" t="str">
        <f t="shared" ca="1" si="133"/>
        <v/>
      </c>
      <c r="BB76" s="828" t="str">
        <f t="shared" ca="1" si="134"/>
        <v/>
      </c>
      <c r="BC76" s="828" t="str">
        <f t="shared" ca="1" si="135"/>
        <v/>
      </c>
      <c r="BD76" s="828" t="str">
        <f t="shared" ca="1" si="136"/>
        <v/>
      </c>
      <c r="BE76" s="828" t="str">
        <f t="shared" ca="1" si="137"/>
        <v/>
      </c>
      <c r="BF76" s="828" t="str">
        <f t="shared" ca="1" si="138"/>
        <v/>
      </c>
      <c r="BG76" s="828" t="str">
        <f t="shared" ca="1" si="139"/>
        <v/>
      </c>
      <c r="BH76" s="828" t="str">
        <f t="shared" ca="1" si="140"/>
        <v/>
      </c>
      <c r="BI76" s="828" t="str">
        <f t="shared" ca="1" si="141"/>
        <v/>
      </c>
      <c r="BJ76" s="828" t="str">
        <f t="shared" ca="1" si="142"/>
        <v/>
      </c>
      <c r="BK76" s="828" t="str">
        <f t="shared" ca="1" si="143"/>
        <v/>
      </c>
      <c r="BL76" s="828" t="str">
        <f t="shared" ca="1" si="144"/>
        <v/>
      </c>
      <c r="BM76" s="828" t="str">
        <f t="shared" ca="1" si="145"/>
        <v/>
      </c>
      <c r="BN76" s="828" t="str">
        <f t="shared" ca="1" si="146"/>
        <v/>
      </c>
      <c r="BO76" s="828" t="str">
        <f t="shared" ca="1" si="147"/>
        <v/>
      </c>
      <c r="BP76" s="841"/>
    </row>
    <row r="77" spans="1:68" ht="20.100000000000001" customHeight="1">
      <c r="A77" s="823">
        <v>85</v>
      </c>
      <c r="B77" s="1870"/>
      <c r="C77" s="1872"/>
      <c r="D77" s="853" t="s">
        <v>4442</v>
      </c>
      <c r="E77" s="824"/>
      <c r="F77" s="875"/>
      <c r="G77" s="826" t="s">
        <v>4594</v>
      </c>
      <c r="H77" s="827">
        <f t="shared" ca="1" si="104"/>
        <v>3.6</v>
      </c>
      <c r="I77" s="827">
        <f t="shared" ca="1" si="105"/>
        <v>3.6</v>
      </c>
      <c r="J77" s="827">
        <f t="shared" ca="1" si="106"/>
        <v>3.6</v>
      </c>
      <c r="K77" s="827">
        <f t="shared" ca="1" si="107"/>
        <v>3.6</v>
      </c>
      <c r="L77" s="828">
        <f t="shared" ca="1" si="148"/>
        <v>0</v>
      </c>
      <c r="M77" s="828">
        <f t="shared" ca="1" si="148"/>
        <v>0</v>
      </c>
      <c r="N77" s="828">
        <f t="shared" ca="1" si="148"/>
        <v>0</v>
      </c>
      <c r="O77" s="828">
        <f t="shared" ca="1" si="148"/>
        <v>0</v>
      </c>
      <c r="P77" s="828">
        <f ca="1">SUM(SUMIFS(OFFSET(貼付け_2024実績,$A77,9,1,199),OFFSET(貼付け_2024実績,4,9,1,199),{"横浜*","川崎*"}))</f>
        <v>0</v>
      </c>
      <c r="Q77" s="828">
        <f ca="1">SUM(SUMIFS(OFFSET(貼付け_2025実績,$A77,9,1,199),OFFSET(貼付け_2025実績,4,9,1,199),{"横浜*","川崎*"}))</f>
        <v>0</v>
      </c>
      <c r="R77" s="828">
        <f ca="1">SUM(SUMIFS(OFFSET(貼付け_2026実績,$A77,9,1,199),OFFSET(貼付け_2026実績,4,9,1,199),{"横浜*","川崎*"}))</f>
        <v>0</v>
      </c>
      <c r="S77" s="828">
        <f ca="1">SUM(SUMIFS(OFFSET(貼付け_2027実績,$A77,9,1,199),OFFSET(貼付け_2027実績,4,9,1,199),{"横浜*","川崎*"}))</f>
        <v>0</v>
      </c>
      <c r="T77" s="828">
        <f t="shared" ca="1" si="149"/>
        <v>0</v>
      </c>
      <c r="U77" s="828">
        <f t="shared" ca="1" si="149"/>
        <v>0</v>
      </c>
      <c r="V77" s="828">
        <f t="shared" ca="1" si="149"/>
        <v>0</v>
      </c>
      <c r="W77" s="828">
        <f t="shared" ca="1" si="149"/>
        <v>0</v>
      </c>
      <c r="X77" s="828">
        <f t="shared" ca="1" si="100"/>
        <v>0</v>
      </c>
      <c r="Y77" s="828">
        <f t="shared" ca="1" si="101"/>
        <v>0</v>
      </c>
      <c r="Z77" s="828">
        <f t="shared" ca="1" si="102"/>
        <v>0</v>
      </c>
      <c r="AA77" s="828">
        <f t="shared" ca="1" si="103"/>
        <v>0</v>
      </c>
      <c r="AB77" s="828" t="str">
        <f t="shared" ca="1" si="108"/>
        <v/>
      </c>
      <c r="AC77" s="828" t="str">
        <f t="shared" ca="1" si="109"/>
        <v/>
      </c>
      <c r="AD77" s="828" t="str">
        <f t="shared" ca="1" si="110"/>
        <v/>
      </c>
      <c r="AE77" s="828" t="str">
        <f t="shared" ca="1" si="111"/>
        <v/>
      </c>
      <c r="AF77" s="828" t="str">
        <f t="shared" ca="1" si="112"/>
        <v/>
      </c>
      <c r="AG77" s="828" t="str">
        <f t="shared" ca="1" si="113"/>
        <v/>
      </c>
      <c r="AH77" s="828" t="str">
        <f t="shared" ca="1" si="114"/>
        <v/>
      </c>
      <c r="AI77" s="828" t="str">
        <f t="shared" ca="1" si="115"/>
        <v/>
      </c>
      <c r="AJ77" s="828" t="str">
        <f t="shared" ca="1" si="116"/>
        <v/>
      </c>
      <c r="AK77" s="828" t="str">
        <f t="shared" ca="1" si="117"/>
        <v/>
      </c>
      <c r="AL77" s="828" t="str">
        <f t="shared" ca="1" si="118"/>
        <v/>
      </c>
      <c r="AM77" s="828" t="str">
        <f t="shared" ca="1" si="119"/>
        <v/>
      </c>
      <c r="AN77" s="828" t="str">
        <f t="shared" ca="1" si="120"/>
        <v/>
      </c>
      <c r="AO77" s="828" t="str">
        <f t="shared" ca="1" si="121"/>
        <v/>
      </c>
      <c r="AP77" s="828" t="str">
        <f t="shared" ca="1" si="122"/>
        <v/>
      </c>
      <c r="AQ77" s="828" t="str">
        <f t="shared" ca="1" si="123"/>
        <v/>
      </c>
      <c r="AR77" s="828" t="str">
        <f t="shared" ca="1" si="124"/>
        <v/>
      </c>
      <c r="AS77" s="828" t="str">
        <f t="shared" ca="1" si="125"/>
        <v/>
      </c>
      <c r="AT77" s="828" t="str">
        <f t="shared" ca="1" si="126"/>
        <v/>
      </c>
      <c r="AU77" s="828" t="str">
        <f t="shared" ca="1" si="127"/>
        <v/>
      </c>
      <c r="AV77" s="828" t="str">
        <f t="shared" ca="1" si="128"/>
        <v/>
      </c>
      <c r="AW77" s="828" t="str">
        <f t="shared" ca="1" si="129"/>
        <v/>
      </c>
      <c r="AX77" s="828" t="str">
        <f t="shared" ca="1" si="130"/>
        <v/>
      </c>
      <c r="AY77" s="828" t="str">
        <f t="shared" ca="1" si="131"/>
        <v/>
      </c>
      <c r="AZ77" s="828" t="str">
        <f t="shared" ca="1" si="132"/>
        <v/>
      </c>
      <c r="BA77" s="828" t="str">
        <f t="shared" ca="1" si="133"/>
        <v/>
      </c>
      <c r="BB77" s="828" t="str">
        <f t="shared" ca="1" si="134"/>
        <v/>
      </c>
      <c r="BC77" s="828" t="str">
        <f t="shared" ca="1" si="135"/>
        <v/>
      </c>
      <c r="BD77" s="828" t="str">
        <f t="shared" ca="1" si="136"/>
        <v/>
      </c>
      <c r="BE77" s="828" t="str">
        <f t="shared" ca="1" si="137"/>
        <v/>
      </c>
      <c r="BF77" s="828" t="str">
        <f t="shared" ca="1" si="138"/>
        <v/>
      </c>
      <c r="BG77" s="828" t="str">
        <f t="shared" ca="1" si="139"/>
        <v/>
      </c>
      <c r="BH77" s="828" t="str">
        <f t="shared" ca="1" si="140"/>
        <v/>
      </c>
      <c r="BI77" s="828" t="str">
        <f t="shared" ca="1" si="141"/>
        <v/>
      </c>
      <c r="BJ77" s="828" t="str">
        <f t="shared" ca="1" si="142"/>
        <v/>
      </c>
      <c r="BK77" s="828" t="str">
        <f t="shared" ca="1" si="143"/>
        <v/>
      </c>
      <c r="BL77" s="828" t="str">
        <f t="shared" ca="1" si="144"/>
        <v/>
      </c>
      <c r="BM77" s="828" t="str">
        <f t="shared" ca="1" si="145"/>
        <v/>
      </c>
      <c r="BN77" s="828" t="str">
        <f t="shared" ca="1" si="146"/>
        <v/>
      </c>
      <c r="BO77" s="828" t="str">
        <f t="shared" ca="1" si="147"/>
        <v/>
      </c>
      <c r="BP77" s="841"/>
    </row>
    <row r="78" spans="1:68" ht="20.100000000000001" customHeight="1">
      <c r="A78" s="823">
        <v>86</v>
      </c>
      <c r="B78" s="1870"/>
      <c r="C78" s="1872"/>
      <c r="D78" s="853" t="s">
        <v>4443</v>
      </c>
      <c r="E78" s="824"/>
      <c r="F78" s="875"/>
      <c r="G78" s="826" t="s">
        <v>4216</v>
      </c>
      <c r="H78" s="876"/>
      <c r="I78" s="876"/>
      <c r="J78" s="876"/>
      <c r="K78" s="876"/>
      <c r="L78" s="828">
        <f t="shared" ca="1" si="148"/>
        <v>0</v>
      </c>
      <c r="M78" s="828">
        <f t="shared" ca="1" si="148"/>
        <v>0</v>
      </c>
      <c r="N78" s="828">
        <f t="shared" ca="1" si="148"/>
        <v>0</v>
      </c>
      <c r="O78" s="828">
        <f t="shared" ca="1" si="148"/>
        <v>0</v>
      </c>
      <c r="P78" s="828">
        <f ca="1">SUM(SUMIFS(OFFSET(貼付け_2024実績,$A78,9,1,199),OFFSET(貼付け_2024実績,4,9,1,199),{"横浜*","川崎*"}))</f>
        <v>0</v>
      </c>
      <c r="Q78" s="828">
        <f ca="1">SUM(SUMIFS(OFFSET(貼付け_2025実績,$A78,9,1,199),OFFSET(貼付け_2025実績,4,9,1,199),{"横浜*","川崎*"}))</f>
        <v>0</v>
      </c>
      <c r="R78" s="828">
        <f ca="1">SUM(SUMIFS(OFFSET(貼付け_2026実績,$A78,9,1,199),OFFSET(貼付け_2026実績,4,9,1,199),{"横浜*","川崎*"}))</f>
        <v>0</v>
      </c>
      <c r="S78" s="828">
        <f ca="1">SUM(SUMIFS(OFFSET(貼付け_2027実績,$A78,9,1,199),OFFSET(貼付け_2027実績,4,9,1,199),{"横浜*","川崎*"}))</f>
        <v>0</v>
      </c>
      <c r="T78" s="828">
        <f t="shared" ca="1" si="149"/>
        <v>0</v>
      </c>
      <c r="U78" s="828">
        <f t="shared" ca="1" si="149"/>
        <v>0</v>
      </c>
      <c r="V78" s="828">
        <f t="shared" ca="1" si="149"/>
        <v>0</v>
      </c>
      <c r="W78" s="828">
        <f t="shared" ca="1" si="149"/>
        <v>0</v>
      </c>
      <c r="X78" s="828">
        <f t="shared" ca="1" si="100"/>
        <v>0</v>
      </c>
      <c r="Y78" s="828">
        <f t="shared" ca="1" si="101"/>
        <v>0</v>
      </c>
      <c r="Z78" s="828">
        <f t="shared" ca="1" si="102"/>
        <v>0</v>
      </c>
      <c r="AA78" s="828">
        <f t="shared" ca="1" si="103"/>
        <v>0</v>
      </c>
      <c r="AB78" s="828" t="str">
        <f t="shared" ca="1" si="108"/>
        <v/>
      </c>
      <c r="AC78" s="828" t="str">
        <f t="shared" ca="1" si="109"/>
        <v/>
      </c>
      <c r="AD78" s="828" t="str">
        <f t="shared" ca="1" si="110"/>
        <v/>
      </c>
      <c r="AE78" s="828" t="str">
        <f t="shared" ca="1" si="111"/>
        <v/>
      </c>
      <c r="AF78" s="828" t="str">
        <f t="shared" ca="1" si="112"/>
        <v/>
      </c>
      <c r="AG78" s="828" t="str">
        <f t="shared" ca="1" si="113"/>
        <v/>
      </c>
      <c r="AH78" s="828" t="str">
        <f t="shared" ca="1" si="114"/>
        <v/>
      </c>
      <c r="AI78" s="828" t="str">
        <f t="shared" ca="1" si="115"/>
        <v/>
      </c>
      <c r="AJ78" s="828" t="str">
        <f t="shared" ca="1" si="116"/>
        <v/>
      </c>
      <c r="AK78" s="828" t="str">
        <f t="shared" ca="1" si="117"/>
        <v/>
      </c>
      <c r="AL78" s="828" t="str">
        <f t="shared" ca="1" si="118"/>
        <v/>
      </c>
      <c r="AM78" s="828" t="str">
        <f t="shared" ca="1" si="119"/>
        <v/>
      </c>
      <c r="AN78" s="828" t="str">
        <f t="shared" ca="1" si="120"/>
        <v/>
      </c>
      <c r="AO78" s="828" t="str">
        <f t="shared" ca="1" si="121"/>
        <v/>
      </c>
      <c r="AP78" s="828" t="str">
        <f t="shared" ca="1" si="122"/>
        <v/>
      </c>
      <c r="AQ78" s="828" t="str">
        <f t="shared" ca="1" si="123"/>
        <v/>
      </c>
      <c r="AR78" s="828" t="str">
        <f t="shared" ca="1" si="124"/>
        <v/>
      </c>
      <c r="AS78" s="828" t="str">
        <f t="shared" ca="1" si="125"/>
        <v/>
      </c>
      <c r="AT78" s="828" t="str">
        <f t="shared" ca="1" si="126"/>
        <v/>
      </c>
      <c r="AU78" s="828" t="str">
        <f t="shared" ca="1" si="127"/>
        <v/>
      </c>
      <c r="AV78" s="828" t="str">
        <f t="shared" ca="1" si="128"/>
        <v/>
      </c>
      <c r="AW78" s="828" t="str">
        <f t="shared" ca="1" si="129"/>
        <v/>
      </c>
      <c r="AX78" s="828" t="str">
        <f t="shared" ca="1" si="130"/>
        <v/>
      </c>
      <c r="AY78" s="828" t="str">
        <f t="shared" ca="1" si="131"/>
        <v/>
      </c>
      <c r="AZ78" s="828" t="str">
        <f t="shared" ca="1" si="132"/>
        <v/>
      </c>
      <c r="BA78" s="828" t="str">
        <f t="shared" ca="1" si="133"/>
        <v/>
      </c>
      <c r="BB78" s="828" t="str">
        <f t="shared" ca="1" si="134"/>
        <v/>
      </c>
      <c r="BC78" s="828" t="str">
        <f t="shared" ca="1" si="135"/>
        <v/>
      </c>
      <c r="BD78" s="828" t="str">
        <f t="shared" ca="1" si="136"/>
        <v/>
      </c>
      <c r="BE78" s="828" t="str">
        <f t="shared" ca="1" si="137"/>
        <v/>
      </c>
      <c r="BF78" s="828" t="str">
        <f t="shared" ca="1" si="138"/>
        <v/>
      </c>
      <c r="BG78" s="828" t="str">
        <f t="shared" ca="1" si="139"/>
        <v/>
      </c>
      <c r="BH78" s="828" t="str">
        <f t="shared" ca="1" si="140"/>
        <v/>
      </c>
      <c r="BI78" s="828" t="str">
        <f t="shared" ca="1" si="141"/>
        <v/>
      </c>
      <c r="BJ78" s="828" t="str">
        <f t="shared" ca="1" si="142"/>
        <v/>
      </c>
      <c r="BK78" s="828" t="str">
        <f t="shared" ca="1" si="143"/>
        <v/>
      </c>
      <c r="BL78" s="828" t="str">
        <f t="shared" ca="1" si="144"/>
        <v/>
      </c>
      <c r="BM78" s="828" t="str">
        <f t="shared" ca="1" si="145"/>
        <v/>
      </c>
      <c r="BN78" s="828" t="str">
        <f t="shared" ca="1" si="146"/>
        <v/>
      </c>
      <c r="BO78" s="828" t="str">
        <f t="shared" ca="1" si="147"/>
        <v/>
      </c>
      <c r="BP78" s="841"/>
    </row>
    <row r="79" spans="1:68" ht="20.100000000000001" customHeight="1">
      <c r="A79" s="823">
        <v>87</v>
      </c>
      <c r="B79" s="1870"/>
      <c r="C79" s="1872"/>
      <c r="D79" s="853" t="s">
        <v>4444</v>
      </c>
      <c r="E79" s="824"/>
      <c r="F79" s="875"/>
      <c r="G79" s="826" t="s">
        <v>4594</v>
      </c>
      <c r="H79" s="827">
        <f t="shared" ca="1" si="104"/>
        <v>3.6</v>
      </c>
      <c r="I79" s="827">
        <f t="shared" ca="1" si="105"/>
        <v>3.6</v>
      </c>
      <c r="J79" s="827">
        <f t="shared" ca="1" si="106"/>
        <v>3.6</v>
      </c>
      <c r="K79" s="827">
        <f t="shared" ca="1" si="107"/>
        <v>3.6</v>
      </c>
      <c r="L79" s="828">
        <f t="shared" ca="1" si="148"/>
        <v>0</v>
      </c>
      <c r="M79" s="828">
        <f t="shared" ca="1" si="148"/>
        <v>0</v>
      </c>
      <c r="N79" s="828">
        <f t="shared" ca="1" si="148"/>
        <v>0</v>
      </c>
      <c r="O79" s="828">
        <f t="shared" ca="1" si="148"/>
        <v>0</v>
      </c>
      <c r="P79" s="828">
        <f ca="1">SUM(SUMIFS(OFFSET(貼付け_2024実績,$A79,9,1,199),OFFSET(貼付け_2024実績,4,9,1,199),{"横浜*","川崎*"}))</f>
        <v>0</v>
      </c>
      <c r="Q79" s="828">
        <f ca="1">SUM(SUMIFS(OFFSET(貼付け_2025実績,$A79,9,1,199),OFFSET(貼付け_2025実績,4,9,1,199),{"横浜*","川崎*"}))</f>
        <v>0</v>
      </c>
      <c r="R79" s="828">
        <f ca="1">SUM(SUMIFS(OFFSET(貼付け_2026実績,$A79,9,1,199),OFFSET(貼付け_2026実績,4,9,1,199),{"横浜*","川崎*"}))</f>
        <v>0</v>
      </c>
      <c r="S79" s="828">
        <f ca="1">SUM(SUMIFS(OFFSET(貼付け_2027実績,$A79,9,1,199),OFFSET(貼付け_2027実績,4,9,1,199),{"横浜*","川崎*"}))</f>
        <v>0</v>
      </c>
      <c r="T79" s="828">
        <f t="shared" ca="1" si="149"/>
        <v>0</v>
      </c>
      <c r="U79" s="828">
        <f t="shared" ca="1" si="149"/>
        <v>0</v>
      </c>
      <c r="V79" s="828">
        <f t="shared" ca="1" si="149"/>
        <v>0</v>
      </c>
      <c r="W79" s="828">
        <f t="shared" ca="1" si="149"/>
        <v>0</v>
      </c>
      <c r="X79" s="828">
        <f t="shared" ca="1" si="100"/>
        <v>0</v>
      </c>
      <c r="Y79" s="828">
        <f t="shared" ca="1" si="101"/>
        <v>0</v>
      </c>
      <c r="Z79" s="828">
        <f t="shared" ca="1" si="102"/>
        <v>0</v>
      </c>
      <c r="AA79" s="828">
        <f t="shared" ca="1" si="103"/>
        <v>0</v>
      </c>
      <c r="AB79" s="828" t="str">
        <f t="shared" ca="1" si="108"/>
        <v/>
      </c>
      <c r="AC79" s="828" t="str">
        <f t="shared" ca="1" si="109"/>
        <v/>
      </c>
      <c r="AD79" s="828" t="str">
        <f t="shared" ca="1" si="110"/>
        <v/>
      </c>
      <c r="AE79" s="828" t="str">
        <f t="shared" ca="1" si="111"/>
        <v/>
      </c>
      <c r="AF79" s="828" t="str">
        <f t="shared" ca="1" si="112"/>
        <v/>
      </c>
      <c r="AG79" s="828" t="str">
        <f t="shared" ca="1" si="113"/>
        <v/>
      </c>
      <c r="AH79" s="828" t="str">
        <f t="shared" ca="1" si="114"/>
        <v/>
      </c>
      <c r="AI79" s="828" t="str">
        <f t="shared" ca="1" si="115"/>
        <v/>
      </c>
      <c r="AJ79" s="828" t="str">
        <f t="shared" ca="1" si="116"/>
        <v/>
      </c>
      <c r="AK79" s="828" t="str">
        <f t="shared" ca="1" si="117"/>
        <v/>
      </c>
      <c r="AL79" s="828" t="str">
        <f t="shared" ca="1" si="118"/>
        <v/>
      </c>
      <c r="AM79" s="828" t="str">
        <f t="shared" ca="1" si="119"/>
        <v/>
      </c>
      <c r="AN79" s="828" t="str">
        <f t="shared" ca="1" si="120"/>
        <v/>
      </c>
      <c r="AO79" s="828" t="str">
        <f t="shared" ca="1" si="121"/>
        <v/>
      </c>
      <c r="AP79" s="828" t="str">
        <f t="shared" ca="1" si="122"/>
        <v/>
      </c>
      <c r="AQ79" s="828" t="str">
        <f t="shared" ca="1" si="123"/>
        <v/>
      </c>
      <c r="AR79" s="828" t="str">
        <f t="shared" ca="1" si="124"/>
        <v/>
      </c>
      <c r="AS79" s="828" t="str">
        <f t="shared" ca="1" si="125"/>
        <v/>
      </c>
      <c r="AT79" s="828" t="str">
        <f t="shared" ca="1" si="126"/>
        <v/>
      </c>
      <c r="AU79" s="828" t="str">
        <f t="shared" ca="1" si="127"/>
        <v/>
      </c>
      <c r="AV79" s="828" t="str">
        <f t="shared" ca="1" si="128"/>
        <v/>
      </c>
      <c r="AW79" s="828" t="str">
        <f t="shared" ca="1" si="129"/>
        <v/>
      </c>
      <c r="AX79" s="828" t="str">
        <f t="shared" ca="1" si="130"/>
        <v/>
      </c>
      <c r="AY79" s="828" t="str">
        <f t="shared" ca="1" si="131"/>
        <v/>
      </c>
      <c r="AZ79" s="828" t="str">
        <f t="shared" ca="1" si="132"/>
        <v/>
      </c>
      <c r="BA79" s="828" t="str">
        <f t="shared" ca="1" si="133"/>
        <v/>
      </c>
      <c r="BB79" s="828" t="str">
        <f t="shared" ca="1" si="134"/>
        <v/>
      </c>
      <c r="BC79" s="828" t="str">
        <f t="shared" ca="1" si="135"/>
        <v/>
      </c>
      <c r="BD79" s="828" t="str">
        <f t="shared" ca="1" si="136"/>
        <v/>
      </c>
      <c r="BE79" s="828" t="str">
        <f t="shared" ca="1" si="137"/>
        <v/>
      </c>
      <c r="BF79" s="828" t="str">
        <f t="shared" ca="1" si="138"/>
        <v/>
      </c>
      <c r="BG79" s="828" t="str">
        <f t="shared" ca="1" si="139"/>
        <v/>
      </c>
      <c r="BH79" s="828" t="str">
        <f t="shared" ca="1" si="140"/>
        <v/>
      </c>
      <c r="BI79" s="828" t="str">
        <f t="shared" ca="1" si="141"/>
        <v/>
      </c>
      <c r="BJ79" s="828" t="str">
        <f t="shared" ca="1" si="142"/>
        <v/>
      </c>
      <c r="BK79" s="828" t="str">
        <f t="shared" ca="1" si="143"/>
        <v/>
      </c>
      <c r="BL79" s="828" t="str">
        <f t="shared" ca="1" si="144"/>
        <v/>
      </c>
      <c r="BM79" s="828" t="str">
        <f t="shared" ca="1" si="145"/>
        <v/>
      </c>
      <c r="BN79" s="828" t="str">
        <f t="shared" ca="1" si="146"/>
        <v/>
      </c>
      <c r="BO79" s="828" t="str">
        <f t="shared" ca="1" si="147"/>
        <v/>
      </c>
      <c r="BP79" s="841"/>
    </row>
    <row r="80" spans="1:68" ht="20.100000000000001" customHeight="1">
      <c r="A80" s="823">
        <v>88</v>
      </c>
      <c r="B80" s="1870"/>
      <c r="C80" s="1872"/>
      <c r="D80" s="853" t="s">
        <v>4445</v>
      </c>
      <c r="E80" s="824"/>
      <c r="F80" s="875"/>
      <c r="G80" s="826" t="s">
        <v>4216</v>
      </c>
      <c r="H80" s="876"/>
      <c r="I80" s="876"/>
      <c r="J80" s="876"/>
      <c r="K80" s="876"/>
      <c r="L80" s="828">
        <f t="shared" ca="1" si="148"/>
        <v>0</v>
      </c>
      <c r="M80" s="828">
        <f t="shared" ca="1" si="148"/>
        <v>0</v>
      </c>
      <c r="N80" s="828">
        <f t="shared" ca="1" si="148"/>
        <v>0</v>
      </c>
      <c r="O80" s="828">
        <f t="shared" ca="1" si="148"/>
        <v>0</v>
      </c>
      <c r="P80" s="828">
        <f ca="1">SUM(SUMIFS(OFFSET(貼付け_2024実績,$A80,9,1,199),OFFSET(貼付け_2024実績,4,9,1,199),{"横浜*","川崎*"}))</f>
        <v>0</v>
      </c>
      <c r="Q80" s="828">
        <f ca="1">SUM(SUMIFS(OFFSET(貼付け_2025実績,$A80,9,1,199),OFFSET(貼付け_2025実績,4,9,1,199),{"横浜*","川崎*"}))</f>
        <v>0</v>
      </c>
      <c r="R80" s="828">
        <f ca="1">SUM(SUMIFS(OFFSET(貼付け_2026実績,$A80,9,1,199),OFFSET(貼付け_2026実績,4,9,1,199),{"横浜*","川崎*"}))</f>
        <v>0</v>
      </c>
      <c r="S80" s="828">
        <f ca="1">SUM(SUMIFS(OFFSET(貼付け_2027実績,$A80,9,1,199),OFFSET(貼付け_2027実績,4,9,1,199),{"横浜*","川崎*"}))</f>
        <v>0</v>
      </c>
      <c r="T80" s="828">
        <f t="shared" ca="1" si="149"/>
        <v>0</v>
      </c>
      <c r="U80" s="828">
        <f t="shared" ca="1" si="149"/>
        <v>0</v>
      </c>
      <c r="V80" s="828">
        <f t="shared" ca="1" si="149"/>
        <v>0</v>
      </c>
      <c r="W80" s="828">
        <f t="shared" ca="1" si="149"/>
        <v>0</v>
      </c>
      <c r="X80" s="828">
        <f t="shared" ca="1" si="100"/>
        <v>0</v>
      </c>
      <c r="Y80" s="828">
        <f t="shared" ca="1" si="101"/>
        <v>0</v>
      </c>
      <c r="Z80" s="828">
        <f t="shared" ca="1" si="102"/>
        <v>0</v>
      </c>
      <c r="AA80" s="828">
        <f t="shared" ca="1" si="103"/>
        <v>0</v>
      </c>
      <c r="AB80" s="828" t="str">
        <f t="shared" ca="1" si="108"/>
        <v/>
      </c>
      <c r="AC80" s="828" t="str">
        <f t="shared" ca="1" si="109"/>
        <v/>
      </c>
      <c r="AD80" s="828" t="str">
        <f t="shared" ca="1" si="110"/>
        <v/>
      </c>
      <c r="AE80" s="828" t="str">
        <f t="shared" ca="1" si="111"/>
        <v/>
      </c>
      <c r="AF80" s="828" t="str">
        <f t="shared" ca="1" si="112"/>
        <v/>
      </c>
      <c r="AG80" s="828" t="str">
        <f t="shared" ca="1" si="113"/>
        <v/>
      </c>
      <c r="AH80" s="828" t="str">
        <f t="shared" ca="1" si="114"/>
        <v/>
      </c>
      <c r="AI80" s="828" t="str">
        <f t="shared" ca="1" si="115"/>
        <v/>
      </c>
      <c r="AJ80" s="828" t="str">
        <f t="shared" ca="1" si="116"/>
        <v/>
      </c>
      <c r="AK80" s="828" t="str">
        <f t="shared" ca="1" si="117"/>
        <v/>
      </c>
      <c r="AL80" s="828" t="str">
        <f t="shared" ca="1" si="118"/>
        <v/>
      </c>
      <c r="AM80" s="828" t="str">
        <f t="shared" ca="1" si="119"/>
        <v/>
      </c>
      <c r="AN80" s="828" t="str">
        <f t="shared" ca="1" si="120"/>
        <v/>
      </c>
      <c r="AO80" s="828" t="str">
        <f t="shared" ca="1" si="121"/>
        <v/>
      </c>
      <c r="AP80" s="828" t="str">
        <f t="shared" ca="1" si="122"/>
        <v/>
      </c>
      <c r="AQ80" s="828" t="str">
        <f t="shared" ca="1" si="123"/>
        <v/>
      </c>
      <c r="AR80" s="828" t="str">
        <f t="shared" ca="1" si="124"/>
        <v/>
      </c>
      <c r="AS80" s="828" t="str">
        <f t="shared" ca="1" si="125"/>
        <v/>
      </c>
      <c r="AT80" s="828" t="str">
        <f t="shared" ca="1" si="126"/>
        <v/>
      </c>
      <c r="AU80" s="828" t="str">
        <f t="shared" ca="1" si="127"/>
        <v/>
      </c>
      <c r="AV80" s="828" t="str">
        <f t="shared" ca="1" si="128"/>
        <v/>
      </c>
      <c r="AW80" s="828" t="str">
        <f t="shared" ca="1" si="129"/>
        <v/>
      </c>
      <c r="AX80" s="828" t="str">
        <f t="shared" ca="1" si="130"/>
        <v/>
      </c>
      <c r="AY80" s="828" t="str">
        <f t="shared" ca="1" si="131"/>
        <v/>
      </c>
      <c r="AZ80" s="828" t="str">
        <f t="shared" ca="1" si="132"/>
        <v/>
      </c>
      <c r="BA80" s="828" t="str">
        <f t="shared" ca="1" si="133"/>
        <v/>
      </c>
      <c r="BB80" s="828" t="str">
        <f t="shared" ca="1" si="134"/>
        <v/>
      </c>
      <c r="BC80" s="828" t="str">
        <f t="shared" ca="1" si="135"/>
        <v/>
      </c>
      <c r="BD80" s="828" t="str">
        <f t="shared" ca="1" si="136"/>
        <v/>
      </c>
      <c r="BE80" s="828" t="str">
        <f t="shared" ca="1" si="137"/>
        <v/>
      </c>
      <c r="BF80" s="828" t="str">
        <f t="shared" ca="1" si="138"/>
        <v/>
      </c>
      <c r="BG80" s="828" t="str">
        <f t="shared" ca="1" si="139"/>
        <v/>
      </c>
      <c r="BH80" s="828" t="str">
        <f t="shared" ca="1" si="140"/>
        <v/>
      </c>
      <c r="BI80" s="828" t="str">
        <f t="shared" ca="1" si="141"/>
        <v/>
      </c>
      <c r="BJ80" s="828" t="str">
        <f t="shared" ca="1" si="142"/>
        <v/>
      </c>
      <c r="BK80" s="828" t="str">
        <f t="shared" ca="1" si="143"/>
        <v/>
      </c>
      <c r="BL80" s="828" t="str">
        <f t="shared" ca="1" si="144"/>
        <v/>
      </c>
      <c r="BM80" s="828" t="str">
        <f t="shared" ca="1" si="145"/>
        <v/>
      </c>
      <c r="BN80" s="828" t="str">
        <f t="shared" ca="1" si="146"/>
        <v/>
      </c>
      <c r="BO80" s="828" t="str">
        <f t="shared" ca="1" si="147"/>
        <v/>
      </c>
      <c r="BP80" s="841"/>
    </row>
    <row r="81" spans="1:68" ht="20.100000000000001" customHeight="1">
      <c r="A81" s="823">
        <v>89</v>
      </c>
      <c r="B81" s="1870"/>
      <c r="C81" s="1872"/>
      <c r="D81" s="853" t="s">
        <v>4446</v>
      </c>
      <c r="E81" s="824"/>
      <c r="F81" s="875"/>
      <c r="G81" s="826" t="s">
        <v>4594</v>
      </c>
      <c r="H81" s="827">
        <f t="shared" ca="1" si="104"/>
        <v>3.6</v>
      </c>
      <c r="I81" s="827">
        <f t="shared" ca="1" si="105"/>
        <v>3.6</v>
      </c>
      <c r="J81" s="827">
        <f t="shared" ca="1" si="106"/>
        <v>3.6</v>
      </c>
      <c r="K81" s="827">
        <f t="shared" ca="1" si="107"/>
        <v>3.6</v>
      </c>
      <c r="L81" s="828">
        <f t="shared" ca="1" si="148"/>
        <v>0</v>
      </c>
      <c r="M81" s="828">
        <f t="shared" ca="1" si="148"/>
        <v>0</v>
      </c>
      <c r="N81" s="828">
        <f t="shared" ca="1" si="148"/>
        <v>0</v>
      </c>
      <c r="O81" s="828">
        <f t="shared" ca="1" si="148"/>
        <v>0</v>
      </c>
      <c r="P81" s="828">
        <f ca="1">SUM(SUMIFS(OFFSET(貼付け_2024実績,$A81,9,1,199),OFFSET(貼付け_2024実績,4,9,1,199),{"横浜*","川崎*"}))</f>
        <v>0</v>
      </c>
      <c r="Q81" s="828">
        <f ca="1">SUM(SUMIFS(OFFSET(貼付け_2025実績,$A81,9,1,199),OFFSET(貼付け_2025実績,4,9,1,199),{"横浜*","川崎*"}))</f>
        <v>0</v>
      </c>
      <c r="R81" s="828">
        <f ca="1">SUM(SUMIFS(OFFSET(貼付け_2026実績,$A81,9,1,199),OFFSET(貼付け_2026実績,4,9,1,199),{"横浜*","川崎*"}))</f>
        <v>0</v>
      </c>
      <c r="S81" s="828">
        <f ca="1">SUM(SUMIFS(OFFSET(貼付け_2027実績,$A81,9,1,199),OFFSET(貼付け_2027実績,4,9,1,199),{"横浜*","川崎*"}))</f>
        <v>0</v>
      </c>
      <c r="T81" s="828">
        <f t="shared" ca="1" si="149"/>
        <v>0</v>
      </c>
      <c r="U81" s="828">
        <f t="shared" ca="1" si="149"/>
        <v>0</v>
      </c>
      <c r="V81" s="828">
        <f t="shared" ca="1" si="149"/>
        <v>0</v>
      </c>
      <c r="W81" s="828">
        <f t="shared" ca="1" si="149"/>
        <v>0</v>
      </c>
      <c r="X81" s="828">
        <f t="shared" ca="1" si="100"/>
        <v>0</v>
      </c>
      <c r="Y81" s="828">
        <f t="shared" ca="1" si="101"/>
        <v>0</v>
      </c>
      <c r="Z81" s="828">
        <f t="shared" ca="1" si="102"/>
        <v>0</v>
      </c>
      <c r="AA81" s="828">
        <f t="shared" ca="1" si="103"/>
        <v>0</v>
      </c>
      <c r="AB81" s="828" t="str">
        <f t="shared" ca="1" si="108"/>
        <v/>
      </c>
      <c r="AC81" s="828" t="str">
        <f t="shared" ca="1" si="109"/>
        <v/>
      </c>
      <c r="AD81" s="828" t="str">
        <f t="shared" ca="1" si="110"/>
        <v/>
      </c>
      <c r="AE81" s="828" t="str">
        <f t="shared" ca="1" si="111"/>
        <v/>
      </c>
      <c r="AF81" s="828" t="str">
        <f t="shared" ca="1" si="112"/>
        <v/>
      </c>
      <c r="AG81" s="828" t="str">
        <f t="shared" ca="1" si="113"/>
        <v/>
      </c>
      <c r="AH81" s="828" t="str">
        <f t="shared" ca="1" si="114"/>
        <v/>
      </c>
      <c r="AI81" s="828" t="str">
        <f t="shared" ca="1" si="115"/>
        <v/>
      </c>
      <c r="AJ81" s="828" t="str">
        <f t="shared" ca="1" si="116"/>
        <v/>
      </c>
      <c r="AK81" s="828" t="str">
        <f t="shared" ca="1" si="117"/>
        <v/>
      </c>
      <c r="AL81" s="828" t="str">
        <f t="shared" ca="1" si="118"/>
        <v/>
      </c>
      <c r="AM81" s="828" t="str">
        <f t="shared" ca="1" si="119"/>
        <v/>
      </c>
      <c r="AN81" s="828" t="str">
        <f t="shared" ca="1" si="120"/>
        <v/>
      </c>
      <c r="AO81" s="828" t="str">
        <f t="shared" ca="1" si="121"/>
        <v/>
      </c>
      <c r="AP81" s="828" t="str">
        <f t="shared" ca="1" si="122"/>
        <v/>
      </c>
      <c r="AQ81" s="828" t="str">
        <f t="shared" ca="1" si="123"/>
        <v/>
      </c>
      <c r="AR81" s="828" t="str">
        <f t="shared" ca="1" si="124"/>
        <v/>
      </c>
      <c r="AS81" s="828" t="str">
        <f t="shared" ca="1" si="125"/>
        <v/>
      </c>
      <c r="AT81" s="828" t="str">
        <f t="shared" ca="1" si="126"/>
        <v/>
      </c>
      <c r="AU81" s="828" t="str">
        <f t="shared" ca="1" si="127"/>
        <v/>
      </c>
      <c r="AV81" s="828" t="str">
        <f t="shared" ca="1" si="128"/>
        <v/>
      </c>
      <c r="AW81" s="828" t="str">
        <f t="shared" ca="1" si="129"/>
        <v/>
      </c>
      <c r="AX81" s="828" t="str">
        <f t="shared" ca="1" si="130"/>
        <v/>
      </c>
      <c r="AY81" s="828" t="str">
        <f t="shared" ca="1" si="131"/>
        <v/>
      </c>
      <c r="AZ81" s="828" t="str">
        <f t="shared" ca="1" si="132"/>
        <v/>
      </c>
      <c r="BA81" s="828" t="str">
        <f t="shared" ca="1" si="133"/>
        <v/>
      </c>
      <c r="BB81" s="828" t="str">
        <f t="shared" ca="1" si="134"/>
        <v/>
      </c>
      <c r="BC81" s="828" t="str">
        <f t="shared" ca="1" si="135"/>
        <v/>
      </c>
      <c r="BD81" s="828" t="str">
        <f t="shared" ca="1" si="136"/>
        <v/>
      </c>
      <c r="BE81" s="828" t="str">
        <f t="shared" ca="1" si="137"/>
        <v/>
      </c>
      <c r="BF81" s="828" t="str">
        <f t="shared" ca="1" si="138"/>
        <v/>
      </c>
      <c r="BG81" s="828" t="str">
        <f t="shared" ca="1" si="139"/>
        <v/>
      </c>
      <c r="BH81" s="828" t="str">
        <f t="shared" ca="1" si="140"/>
        <v/>
      </c>
      <c r="BI81" s="828" t="str">
        <f t="shared" ca="1" si="141"/>
        <v/>
      </c>
      <c r="BJ81" s="828" t="str">
        <f t="shared" ca="1" si="142"/>
        <v/>
      </c>
      <c r="BK81" s="828" t="str">
        <f t="shared" ca="1" si="143"/>
        <v/>
      </c>
      <c r="BL81" s="828" t="str">
        <f t="shared" ca="1" si="144"/>
        <v/>
      </c>
      <c r="BM81" s="828" t="str">
        <f t="shared" ca="1" si="145"/>
        <v/>
      </c>
      <c r="BN81" s="828" t="str">
        <f t="shared" ca="1" si="146"/>
        <v/>
      </c>
      <c r="BO81" s="828" t="str">
        <f t="shared" ca="1" si="147"/>
        <v/>
      </c>
      <c r="BP81" s="841"/>
    </row>
    <row r="82" spans="1:68" ht="20.100000000000001" customHeight="1">
      <c r="A82" s="823">
        <v>90</v>
      </c>
      <c r="B82" s="1870"/>
      <c r="C82" s="1872"/>
      <c r="D82" s="853" t="s">
        <v>4447</v>
      </c>
      <c r="E82" s="824"/>
      <c r="F82" s="875"/>
      <c r="G82" s="826" t="s">
        <v>4216</v>
      </c>
      <c r="H82" s="876"/>
      <c r="I82" s="876"/>
      <c r="J82" s="876"/>
      <c r="K82" s="876"/>
      <c r="L82" s="828">
        <f t="shared" ca="1" si="148"/>
        <v>0</v>
      </c>
      <c r="M82" s="828">
        <f t="shared" ca="1" si="148"/>
        <v>0</v>
      </c>
      <c r="N82" s="828">
        <f t="shared" ca="1" si="148"/>
        <v>0</v>
      </c>
      <c r="O82" s="828">
        <f t="shared" ca="1" si="148"/>
        <v>0</v>
      </c>
      <c r="P82" s="828">
        <f ca="1">SUM(SUMIFS(OFFSET(貼付け_2024実績,$A82,9,1,199),OFFSET(貼付け_2024実績,4,9,1,199),{"横浜*","川崎*"}))</f>
        <v>0</v>
      </c>
      <c r="Q82" s="828">
        <f ca="1">SUM(SUMIFS(OFFSET(貼付け_2025実績,$A82,9,1,199),OFFSET(貼付け_2025実績,4,9,1,199),{"横浜*","川崎*"}))</f>
        <v>0</v>
      </c>
      <c r="R82" s="828">
        <f ca="1">SUM(SUMIFS(OFFSET(貼付け_2026実績,$A82,9,1,199),OFFSET(貼付け_2026実績,4,9,1,199),{"横浜*","川崎*"}))</f>
        <v>0</v>
      </c>
      <c r="S82" s="828">
        <f ca="1">SUM(SUMIFS(OFFSET(貼付け_2027実績,$A82,9,1,199),OFFSET(貼付け_2027実績,4,9,1,199),{"横浜*","川崎*"}))</f>
        <v>0</v>
      </c>
      <c r="T82" s="828">
        <f t="shared" ca="1" si="149"/>
        <v>0</v>
      </c>
      <c r="U82" s="828">
        <f t="shared" ca="1" si="149"/>
        <v>0</v>
      </c>
      <c r="V82" s="828">
        <f t="shared" ca="1" si="149"/>
        <v>0</v>
      </c>
      <c r="W82" s="828">
        <f t="shared" ca="1" si="149"/>
        <v>0</v>
      </c>
      <c r="X82" s="828">
        <f t="shared" ca="1" si="100"/>
        <v>0</v>
      </c>
      <c r="Y82" s="828">
        <f t="shared" ca="1" si="101"/>
        <v>0</v>
      </c>
      <c r="Z82" s="828">
        <f t="shared" ca="1" si="102"/>
        <v>0</v>
      </c>
      <c r="AA82" s="828">
        <f t="shared" ca="1" si="103"/>
        <v>0</v>
      </c>
      <c r="AB82" s="828" t="str">
        <f t="shared" ca="1" si="108"/>
        <v/>
      </c>
      <c r="AC82" s="828" t="str">
        <f t="shared" ca="1" si="109"/>
        <v/>
      </c>
      <c r="AD82" s="828" t="str">
        <f t="shared" ca="1" si="110"/>
        <v/>
      </c>
      <c r="AE82" s="828" t="str">
        <f t="shared" ca="1" si="111"/>
        <v/>
      </c>
      <c r="AF82" s="828" t="str">
        <f t="shared" ca="1" si="112"/>
        <v/>
      </c>
      <c r="AG82" s="828" t="str">
        <f t="shared" ca="1" si="113"/>
        <v/>
      </c>
      <c r="AH82" s="828" t="str">
        <f t="shared" ca="1" si="114"/>
        <v/>
      </c>
      <c r="AI82" s="828" t="str">
        <f t="shared" ca="1" si="115"/>
        <v/>
      </c>
      <c r="AJ82" s="828" t="str">
        <f t="shared" ca="1" si="116"/>
        <v/>
      </c>
      <c r="AK82" s="828" t="str">
        <f t="shared" ca="1" si="117"/>
        <v/>
      </c>
      <c r="AL82" s="828" t="str">
        <f t="shared" ca="1" si="118"/>
        <v/>
      </c>
      <c r="AM82" s="828" t="str">
        <f t="shared" ca="1" si="119"/>
        <v/>
      </c>
      <c r="AN82" s="828" t="str">
        <f t="shared" ca="1" si="120"/>
        <v/>
      </c>
      <c r="AO82" s="828" t="str">
        <f t="shared" ca="1" si="121"/>
        <v/>
      </c>
      <c r="AP82" s="828" t="str">
        <f t="shared" ca="1" si="122"/>
        <v/>
      </c>
      <c r="AQ82" s="828" t="str">
        <f t="shared" ca="1" si="123"/>
        <v/>
      </c>
      <c r="AR82" s="828" t="str">
        <f t="shared" ca="1" si="124"/>
        <v/>
      </c>
      <c r="AS82" s="828" t="str">
        <f t="shared" ca="1" si="125"/>
        <v/>
      </c>
      <c r="AT82" s="828" t="str">
        <f t="shared" ca="1" si="126"/>
        <v/>
      </c>
      <c r="AU82" s="828" t="str">
        <f t="shared" ca="1" si="127"/>
        <v/>
      </c>
      <c r="AV82" s="828" t="str">
        <f t="shared" ca="1" si="128"/>
        <v/>
      </c>
      <c r="AW82" s="828" t="str">
        <f t="shared" ca="1" si="129"/>
        <v/>
      </c>
      <c r="AX82" s="828" t="str">
        <f t="shared" ca="1" si="130"/>
        <v/>
      </c>
      <c r="AY82" s="828" t="str">
        <f t="shared" ca="1" si="131"/>
        <v/>
      </c>
      <c r="AZ82" s="828" t="str">
        <f t="shared" ca="1" si="132"/>
        <v/>
      </c>
      <c r="BA82" s="828" t="str">
        <f t="shared" ca="1" si="133"/>
        <v/>
      </c>
      <c r="BB82" s="828" t="str">
        <f t="shared" ca="1" si="134"/>
        <v/>
      </c>
      <c r="BC82" s="828" t="str">
        <f t="shared" ca="1" si="135"/>
        <v/>
      </c>
      <c r="BD82" s="828" t="str">
        <f t="shared" ca="1" si="136"/>
        <v/>
      </c>
      <c r="BE82" s="828" t="str">
        <f t="shared" ca="1" si="137"/>
        <v/>
      </c>
      <c r="BF82" s="828" t="str">
        <f t="shared" ca="1" si="138"/>
        <v/>
      </c>
      <c r="BG82" s="828" t="str">
        <f t="shared" ca="1" si="139"/>
        <v/>
      </c>
      <c r="BH82" s="828" t="str">
        <f t="shared" ca="1" si="140"/>
        <v/>
      </c>
      <c r="BI82" s="828" t="str">
        <f t="shared" ca="1" si="141"/>
        <v/>
      </c>
      <c r="BJ82" s="828" t="str">
        <f t="shared" ca="1" si="142"/>
        <v/>
      </c>
      <c r="BK82" s="828" t="str">
        <f t="shared" ca="1" si="143"/>
        <v/>
      </c>
      <c r="BL82" s="828" t="str">
        <f t="shared" ca="1" si="144"/>
        <v/>
      </c>
      <c r="BM82" s="828" t="str">
        <f t="shared" ca="1" si="145"/>
        <v/>
      </c>
      <c r="BN82" s="828" t="str">
        <f t="shared" ca="1" si="146"/>
        <v/>
      </c>
      <c r="BO82" s="828" t="str">
        <f t="shared" ca="1" si="147"/>
        <v/>
      </c>
      <c r="BP82" s="841"/>
    </row>
    <row r="83" spans="1:68" ht="20.100000000000001" customHeight="1">
      <c r="A83" s="823">
        <v>91</v>
      </c>
      <c r="B83" s="1870"/>
      <c r="C83" s="1872"/>
      <c r="D83" s="1893" t="s">
        <v>4448</v>
      </c>
      <c r="E83" s="877" t="str">
        <f ca="1">OFFSET(A1_その他欄集計,14,7)</f>
        <v/>
      </c>
      <c r="F83" s="878"/>
      <c r="G83" s="826" t="s">
        <v>4594</v>
      </c>
      <c r="H83" s="827">
        <f t="shared" ca="1" si="104"/>
        <v>0</v>
      </c>
      <c r="I83" s="827">
        <f t="shared" ca="1" si="105"/>
        <v>0</v>
      </c>
      <c r="J83" s="827">
        <f t="shared" ca="1" si="106"/>
        <v>0</v>
      </c>
      <c r="K83" s="827">
        <f t="shared" ca="1" si="107"/>
        <v>0</v>
      </c>
      <c r="L83" s="828">
        <f t="shared" ca="1" si="148"/>
        <v>0</v>
      </c>
      <c r="M83" s="828">
        <f t="shared" ca="1" si="148"/>
        <v>0</v>
      </c>
      <c r="N83" s="828">
        <f t="shared" ca="1" si="148"/>
        <v>0</v>
      </c>
      <c r="O83" s="828">
        <f t="shared" ca="1" si="148"/>
        <v>0</v>
      </c>
      <c r="P83" s="828">
        <f ca="1">SUM(SUMIFS(OFFSET(貼付け_2024実績,$A83,9,1,199),OFFSET(貼付け_2024実績,4,9,1,199),{"横浜*","川崎*"}))</f>
        <v>0</v>
      </c>
      <c r="Q83" s="828">
        <f ca="1">SUM(SUMIFS(OFFSET(貼付け_2025実績,$A83,9,1,199),OFFSET(貼付け_2025実績,4,9,1,199),{"横浜*","川崎*"}))</f>
        <v>0</v>
      </c>
      <c r="R83" s="828">
        <f ca="1">SUM(SUMIFS(OFFSET(貼付け_2026実績,$A83,9,1,199),OFFSET(貼付け_2026実績,4,9,1,199),{"横浜*","川崎*"}))</f>
        <v>0</v>
      </c>
      <c r="S83" s="828">
        <f ca="1">SUM(SUMIFS(OFFSET(貼付け_2027実績,$A83,9,1,199),OFFSET(貼付け_2027実績,4,9,1,199),{"横浜*","川崎*"}))</f>
        <v>0</v>
      </c>
      <c r="T83" s="828">
        <f t="shared" ca="1" si="149"/>
        <v>0</v>
      </c>
      <c r="U83" s="828">
        <f t="shared" ca="1" si="149"/>
        <v>0</v>
      </c>
      <c r="V83" s="828">
        <f t="shared" ca="1" si="149"/>
        <v>0</v>
      </c>
      <c r="W83" s="828">
        <f t="shared" ca="1" si="149"/>
        <v>0</v>
      </c>
      <c r="X83" s="828">
        <f t="shared" ca="1" si="100"/>
        <v>0</v>
      </c>
      <c r="Y83" s="828">
        <f t="shared" ca="1" si="101"/>
        <v>0</v>
      </c>
      <c r="Z83" s="828">
        <f t="shared" ca="1" si="102"/>
        <v>0</v>
      </c>
      <c r="AA83" s="828">
        <f t="shared" ca="1" si="103"/>
        <v>0</v>
      </c>
      <c r="AB83" s="828" t="str">
        <f t="shared" ca="1" si="108"/>
        <v/>
      </c>
      <c r="AC83" s="828" t="str">
        <f t="shared" ca="1" si="109"/>
        <v/>
      </c>
      <c r="AD83" s="828" t="str">
        <f t="shared" ca="1" si="110"/>
        <v/>
      </c>
      <c r="AE83" s="828" t="str">
        <f t="shared" ca="1" si="111"/>
        <v/>
      </c>
      <c r="AF83" s="828" t="str">
        <f t="shared" ca="1" si="112"/>
        <v/>
      </c>
      <c r="AG83" s="828" t="str">
        <f t="shared" ca="1" si="113"/>
        <v/>
      </c>
      <c r="AH83" s="828" t="str">
        <f t="shared" ca="1" si="114"/>
        <v/>
      </c>
      <c r="AI83" s="828" t="str">
        <f t="shared" ca="1" si="115"/>
        <v/>
      </c>
      <c r="AJ83" s="828" t="str">
        <f t="shared" ca="1" si="116"/>
        <v/>
      </c>
      <c r="AK83" s="828" t="str">
        <f t="shared" ca="1" si="117"/>
        <v/>
      </c>
      <c r="AL83" s="828" t="str">
        <f t="shared" ca="1" si="118"/>
        <v/>
      </c>
      <c r="AM83" s="828" t="str">
        <f t="shared" ca="1" si="119"/>
        <v/>
      </c>
      <c r="AN83" s="828" t="str">
        <f t="shared" ca="1" si="120"/>
        <v/>
      </c>
      <c r="AO83" s="828" t="str">
        <f t="shared" ca="1" si="121"/>
        <v/>
      </c>
      <c r="AP83" s="828" t="str">
        <f t="shared" ca="1" si="122"/>
        <v/>
      </c>
      <c r="AQ83" s="828" t="str">
        <f t="shared" ca="1" si="123"/>
        <v/>
      </c>
      <c r="AR83" s="828" t="str">
        <f t="shared" ca="1" si="124"/>
        <v/>
      </c>
      <c r="AS83" s="828" t="str">
        <f t="shared" ca="1" si="125"/>
        <v/>
      </c>
      <c r="AT83" s="828" t="str">
        <f t="shared" ca="1" si="126"/>
        <v/>
      </c>
      <c r="AU83" s="828" t="str">
        <f t="shared" ca="1" si="127"/>
        <v/>
      </c>
      <c r="AV83" s="828" t="str">
        <f t="shared" ca="1" si="128"/>
        <v/>
      </c>
      <c r="AW83" s="828" t="str">
        <f t="shared" ca="1" si="129"/>
        <v/>
      </c>
      <c r="AX83" s="828" t="str">
        <f t="shared" ca="1" si="130"/>
        <v/>
      </c>
      <c r="AY83" s="828" t="str">
        <f t="shared" ca="1" si="131"/>
        <v/>
      </c>
      <c r="AZ83" s="828" t="str">
        <f t="shared" ca="1" si="132"/>
        <v/>
      </c>
      <c r="BA83" s="828" t="str">
        <f t="shared" ca="1" si="133"/>
        <v/>
      </c>
      <c r="BB83" s="828" t="str">
        <f t="shared" ca="1" si="134"/>
        <v/>
      </c>
      <c r="BC83" s="828" t="str">
        <f t="shared" ca="1" si="135"/>
        <v/>
      </c>
      <c r="BD83" s="828" t="str">
        <f t="shared" ca="1" si="136"/>
        <v/>
      </c>
      <c r="BE83" s="828" t="str">
        <f t="shared" ca="1" si="137"/>
        <v/>
      </c>
      <c r="BF83" s="828" t="str">
        <f t="shared" ca="1" si="138"/>
        <v/>
      </c>
      <c r="BG83" s="828" t="str">
        <f t="shared" ca="1" si="139"/>
        <v/>
      </c>
      <c r="BH83" s="828" t="str">
        <f t="shared" ca="1" si="140"/>
        <v/>
      </c>
      <c r="BI83" s="828" t="str">
        <f t="shared" ca="1" si="141"/>
        <v/>
      </c>
      <c r="BJ83" s="828" t="str">
        <f t="shared" ca="1" si="142"/>
        <v/>
      </c>
      <c r="BK83" s="828" t="str">
        <f t="shared" ca="1" si="143"/>
        <v/>
      </c>
      <c r="BL83" s="828" t="str">
        <f t="shared" ca="1" si="144"/>
        <v/>
      </c>
      <c r="BM83" s="828" t="str">
        <f t="shared" ca="1" si="145"/>
        <v/>
      </c>
      <c r="BN83" s="828" t="str">
        <f t="shared" ca="1" si="146"/>
        <v/>
      </c>
      <c r="BO83" s="828" t="str">
        <f t="shared" ca="1" si="147"/>
        <v/>
      </c>
      <c r="BP83" s="841"/>
    </row>
    <row r="84" spans="1:68" ht="20.100000000000001" customHeight="1">
      <c r="A84" s="823">
        <v>92</v>
      </c>
      <c r="B84" s="1870"/>
      <c r="C84" s="1872"/>
      <c r="D84" s="1893"/>
      <c r="E84" s="879"/>
      <c r="F84" s="880"/>
      <c r="G84" s="826" t="s">
        <v>4216</v>
      </c>
      <c r="H84" s="876"/>
      <c r="I84" s="876"/>
      <c r="J84" s="876"/>
      <c r="K84" s="876"/>
      <c r="L84" s="828">
        <f t="shared" ca="1" si="148"/>
        <v>0</v>
      </c>
      <c r="M84" s="828">
        <f t="shared" ca="1" si="148"/>
        <v>0</v>
      </c>
      <c r="N84" s="828">
        <f t="shared" ca="1" si="148"/>
        <v>0</v>
      </c>
      <c r="O84" s="828">
        <f t="shared" ca="1" si="148"/>
        <v>0</v>
      </c>
      <c r="P84" s="828">
        <f ca="1">SUM(SUMIFS(OFFSET(貼付け_2024実績,$A84,9,1,199),OFFSET(貼付け_2024実績,4,9,1,199),{"横浜*","川崎*"}))</f>
        <v>0</v>
      </c>
      <c r="Q84" s="828">
        <f ca="1">SUM(SUMIFS(OFFSET(貼付け_2025実績,$A84,9,1,199),OFFSET(貼付け_2025実績,4,9,1,199),{"横浜*","川崎*"}))</f>
        <v>0</v>
      </c>
      <c r="R84" s="828">
        <f ca="1">SUM(SUMIFS(OFFSET(貼付け_2026実績,$A84,9,1,199),OFFSET(貼付け_2026実績,4,9,1,199),{"横浜*","川崎*"}))</f>
        <v>0</v>
      </c>
      <c r="S84" s="828">
        <f ca="1">SUM(SUMIFS(OFFSET(貼付け_2027実績,$A84,9,1,199),OFFSET(貼付け_2027実績,4,9,1,199),{"横浜*","川崎*"}))</f>
        <v>0</v>
      </c>
      <c r="T84" s="828">
        <f t="shared" ca="1" si="149"/>
        <v>0</v>
      </c>
      <c r="U84" s="828">
        <f t="shared" ca="1" si="149"/>
        <v>0</v>
      </c>
      <c r="V84" s="828">
        <f t="shared" ca="1" si="149"/>
        <v>0</v>
      </c>
      <c r="W84" s="828">
        <f t="shared" ca="1" si="149"/>
        <v>0</v>
      </c>
      <c r="X84" s="828">
        <f t="shared" ca="1" si="100"/>
        <v>0</v>
      </c>
      <c r="Y84" s="828">
        <f t="shared" ca="1" si="101"/>
        <v>0</v>
      </c>
      <c r="Z84" s="828">
        <f t="shared" ca="1" si="102"/>
        <v>0</v>
      </c>
      <c r="AA84" s="828">
        <f t="shared" ca="1" si="103"/>
        <v>0</v>
      </c>
      <c r="AB84" s="828" t="str">
        <f t="shared" ca="1" si="108"/>
        <v/>
      </c>
      <c r="AC84" s="828" t="str">
        <f t="shared" ca="1" si="109"/>
        <v/>
      </c>
      <c r="AD84" s="828" t="str">
        <f t="shared" ca="1" si="110"/>
        <v/>
      </c>
      <c r="AE84" s="828" t="str">
        <f t="shared" ca="1" si="111"/>
        <v/>
      </c>
      <c r="AF84" s="828" t="str">
        <f t="shared" ca="1" si="112"/>
        <v/>
      </c>
      <c r="AG84" s="828" t="str">
        <f t="shared" ca="1" si="113"/>
        <v/>
      </c>
      <c r="AH84" s="828" t="str">
        <f t="shared" ca="1" si="114"/>
        <v/>
      </c>
      <c r="AI84" s="828" t="str">
        <f t="shared" ca="1" si="115"/>
        <v/>
      </c>
      <c r="AJ84" s="828" t="str">
        <f t="shared" ca="1" si="116"/>
        <v/>
      </c>
      <c r="AK84" s="828" t="str">
        <f t="shared" ca="1" si="117"/>
        <v/>
      </c>
      <c r="AL84" s="828" t="str">
        <f t="shared" ca="1" si="118"/>
        <v/>
      </c>
      <c r="AM84" s="828" t="str">
        <f t="shared" ca="1" si="119"/>
        <v/>
      </c>
      <c r="AN84" s="828" t="str">
        <f t="shared" ca="1" si="120"/>
        <v/>
      </c>
      <c r="AO84" s="828" t="str">
        <f t="shared" ca="1" si="121"/>
        <v/>
      </c>
      <c r="AP84" s="828" t="str">
        <f t="shared" ca="1" si="122"/>
        <v/>
      </c>
      <c r="AQ84" s="828" t="str">
        <f t="shared" ca="1" si="123"/>
        <v/>
      </c>
      <c r="AR84" s="828" t="str">
        <f t="shared" ca="1" si="124"/>
        <v/>
      </c>
      <c r="AS84" s="828" t="str">
        <f t="shared" ca="1" si="125"/>
        <v/>
      </c>
      <c r="AT84" s="828" t="str">
        <f t="shared" ca="1" si="126"/>
        <v/>
      </c>
      <c r="AU84" s="828" t="str">
        <f t="shared" ca="1" si="127"/>
        <v/>
      </c>
      <c r="AV84" s="828" t="str">
        <f t="shared" ca="1" si="128"/>
        <v/>
      </c>
      <c r="AW84" s="828" t="str">
        <f t="shared" ca="1" si="129"/>
        <v/>
      </c>
      <c r="AX84" s="828" t="str">
        <f t="shared" ca="1" si="130"/>
        <v/>
      </c>
      <c r="AY84" s="828" t="str">
        <f t="shared" ca="1" si="131"/>
        <v/>
      </c>
      <c r="AZ84" s="828" t="str">
        <f t="shared" ca="1" si="132"/>
        <v/>
      </c>
      <c r="BA84" s="828" t="str">
        <f t="shared" ca="1" si="133"/>
        <v/>
      </c>
      <c r="BB84" s="828" t="str">
        <f t="shared" ca="1" si="134"/>
        <v/>
      </c>
      <c r="BC84" s="828" t="str">
        <f t="shared" ca="1" si="135"/>
        <v/>
      </c>
      <c r="BD84" s="828" t="str">
        <f t="shared" ca="1" si="136"/>
        <v/>
      </c>
      <c r="BE84" s="828" t="str">
        <f t="shared" ca="1" si="137"/>
        <v/>
      </c>
      <c r="BF84" s="828" t="str">
        <f t="shared" ca="1" si="138"/>
        <v/>
      </c>
      <c r="BG84" s="828" t="str">
        <f t="shared" ca="1" si="139"/>
        <v/>
      </c>
      <c r="BH84" s="828" t="str">
        <f t="shared" ca="1" si="140"/>
        <v/>
      </c>
      <c r="BI84" s="828" t="str">
        <f t="shared" ca="1" si="141"/>
        <v/>
      </c>
      <c r="BJ84" s="828" t="str">
        <f t="shared" ca="1" si="142"/>
        <v/>
      </c>
      <c r="BK84" s="828" t="str">
        <f t="shared" ca="1" si="143"/>
        <v/>
      </c>
      <c r="BL84" s="828" t="str">
        <f t="shared" ca="1" si="144"/>
        <v/>
      </c>
      <c r="BM84" s="828" t="str">
        <f t="shared" ca="1" si="145"/>
        <v/>
      </c>
      <c r="BN84" s="828" t="str">
        <f t="shared" ca="1" si="146"/>
        <v/>
      </c>
      <c r="BO84" s="828" t="str">
        <f t="shared" ca="1" si="147"/>
        <v/>
      </c>
      <c r="BP84" s="841"/>
    </row>
    <row r="85" spans="1:68" ht="20.100000000000001" customHeight="1">
      <c r="A85" s="823">
        <v>93</v>
      </c>
      <c r="B85" s="1870"/>
      <c r="C85" s="1872"/>
      <c r="D85" s="1893" t="s">
        <v>4449</v>
      </c>
      <c r="E85" s="877" t="str">
        <f ca="1">OFFSET(A1_その他欄集計,15,7)</f>
        <v/>
      </c>
      <c r="F85" s="878"/>
      <c r="G85" s="826" t="s">
        <v>4594</v>
      </c>
      <c r="H85" s="827">
        <f t="shared" ca="1" si="104"/>
        <v>0</v>
      </c>
      <c r="I85" s="827">
        <f t="shared" ca="1" si="105"/>
        <v>0</v>
      </c>
      <c r="J85" s="827">
        <f t="shared" ca="1" si="106"/>
        <v>0</v>
      </c>
      <c r="K85" s="827">
        <f t="shared" ca="1" si="107"/>
        <v>0</v>
      </c>
      <c r="L85" s="828">
        <f t="shared" ca="1" si="148"/>
        <v>0</v>
      </c>
      <c r="M85" s="828">
        <f t="shared" ca="1" si="148"/>
        <v>0</v>
      </c>
      <c r="N85" s="828">
        <f t="shared" ca="1" si="148"/>
        <v>0</v>
      </c>
      <c r="O85" s="828">
        <f t="shared" ca="1" si="148"/>
        <v>0</v>
      </c>
      <c r="P85" s="828">
        <f ca="1">SUM(SUMIFS(OFFSET(貼付け_2024実績,$A85,9,1,199),OFFSET(貼付け_2024実績,4,9,1,199),{"横浜*","川崎*"}))</f>
        <v>0</v>
      </c>
      <c r="Q85" s="828">
        <f ca="1">SUM(SUMIFS(OFFSET(貼付け_2025実績,$A85,9,1,199),OFFSET(貼付け_2025実績,4,9,1,199),{"横浜*","川崎*"}))</f>
        <v>0</v>
      </c>
      <c r="R85" s="828">
        <f ca="1">SUM(SUMIFS(OFFSET(貼付け_2026実績,$A85,9,1,199),OFFSET(貼付け_2026実績,4,9,1,199),{"横浜*","川崎*"}))</f>
        <v>0</v>
      </c>
      <c r="S85" s="828">
        <f ca="1">SUM(SUMIFS(OFFSET(貼付け_2027実績,$A85,9,1,199),OFFSET(貼付け_2027実績,4,9,1,199),{"横浜*","川崎*"}))</f>
        <v>0</v>
      </c>
      <c r="T85" s="828">
        <f t="shared" ca="1" si="149"/>
        <v>0</v>
      </c>
      <c r="U85" s="828">
        <f t="shared" ca="1" si="149"/>
        <v>0</v>
      </c>
      <c r="V85" s="828">
        <f t="shared" ca="1" si="149"/>
        <v>0</v>
      </c>
      <c r="W85" s="828">
        <f t="shared" ca="1" si="149"/>
        <v>0</v>
      </c>
      <c r="X85" s="828">
        <f t="shared" ca="1" si="100"/>
        <v>0</v>
      </c>
      <c r="Y85" s="828">
        <f t="shared" ca="1" si="101"/>
        <v>0</v>
      </c>
      <c r="Z85" s="828">
        <f t="shared" ca="1" si="102"/>
        <v>0</v>
      </c>
      <c r="AA85" s="828">
        <f t="shared" ca="1" si="103"/>
        <v>0</v>
      </c>
      <c r="AB85" s="828" t="str">
        <f t="shared" ca="1" si="108"/>
        <v/>
      </c>
      <c r="AC85" s="828" t="str">
        <f t="shared" ca="1" si="109"/>
        <v/>
      </c>
      <c r="AD85" s="828" t="str">
        <f t="shared" ca="1" si="110"/>
        <v/>
      </c>
      <c r="AE85" s="828" t="str">
        <f t="shared" ca="1" si="111"/>
        <v/>
      </c>
      <c r="AF85" s="828" t="str">
        <f t="shared" ca="1" si="112"/>
        <v/>
      </c>
      <c r="AG85" s="828" t="str">
        <f t="shared" ca="1" si="113"/>
        <v/>
      </c>
      <c r="AH85" s="828" t="str">
        <f t="shared" ca="1" si="114"/>
        <v/>
      </c>
      <c r="AI85" s="828" t="str">
        <f t="shared" ca="1" si="115"/>
        <v/>
      </c>
      <c r="AJ85" s="828" t="str">
        <f t="shared" ca="1" si="116"/>
        <v/>
      </c>
      <c r="AK85" s="828" t="str">
        <f t="shared" ca="1" si="117"/>
        <v/>
      </c>
      <c r="AL85" s="828" t="str">
        <f t="shared" ca="1" si="118"/>
        <v/>
      </c>
      <c r="AM85" s="828" t="str">
        <f t="shared" ca="1" si="119"/>
        <v/>
      </c>
      <c r="AN85" s="828" t="str">
        <f t="shared" ca="1" si="120"/>
        <v/>
      </c>
      <c r="AO85" s="828" t="str">
        <f t="shared" ca="1" si="121"/>
        <v/>
      </c>
      <c r="AP85" s="828" t="str">
        <f t="shared" ca="1" si="122"/>
        <v/>
      </c>
      <c r="AQ85" s="828" t="str">
        <f t="shared" ca="1" si="123"/>
        <v/>
      </c>
      <c r="AR85" s="828" t="str">
        <f t="shared" ca="1" si="124"/>
        <v/>
      </c>
      <c r="AS85" s="828" t="str">
        <f t="shared" ca="1" si="125"/>
        <v/>
      </c>
      <c r="AT85" s="828" t="str">
        <f t="shared" ca="1" si="126"/>
        <v/>
      </c>
      <c r="AU85" s="828" t="str">
        <f t="shared" ca="1" si="127"/>
        <v/>
      </c>
      <c r="AV85" s="828" t="str">
        <f t="shared" ca="1" si="128"/>
        <v/>
      </c>
      <c r="AW85" s="828" t="str">
        <f t="shared" ca="1" si="129"/>
        <v/>
      </c>
      <c r="AX85" s="828" t="str">
        <f t="shared" ca="1" si="130"/>
        <v/>
      </c>
      <c r="AY85" s="828" t="str">
        <f t="shared" ca="1" si="131"/>
        <v/>
      </c>
      <c r="AZ85" s="828" t="str">
        <f t="shared" ca="1" si="132"/>
        <v/>
      </c>
      <c r="BA85" s="828" t="str">
        <f t="shared" ca="1" si="133"/>
        <v/>
      </c>
      <c r="BB85" s="828" t="str">
        <f t="shared" ca="1" si="134"/>
        <v/>
      </c>
      <c r="BC85" s="828" t="str">
        <f t="shared" ca="1" si="135"/>
        <v/>
      </c>
      <c r="BD85" s="828" t="str">
        <f t="shared" ca="1" si="136"/>
        <v/>
      </c>
      <c r="BE85" s="828" t="str">
        <f t="shared" ca="1" si="137"/>
        <v/>
      </c>
      <c r="BF85" s="828" t="str">
        <f t="shared" ca="1" si="138"/>
        <v/>
      </c>
      <c r="BG85" s="828" t="str">
        <f t="shared" ca="1" si="139"/>
        <v/>
      </c>
      <c r="BH85" s="828" t="str">
        <f t="shared" ca="1" si="140"/>
        <v/>
      </c>
      <c r="BI85" s="828" t="str">
        <f t="shared" ca="1" si="141"/>
        <v/>
      </c>
      <c r="BJ85" s="828" t="str">
        <f t="shared" ca="1" si="142"/>
        <v/>
      </c>
      <c r="BK85" s="828" t="str">
        <f t="shared" ca="1" si="143"/>
        <v/>
      </c>
      <c r="BL85" s="828" t="str">
        <f t="shared" ca="1" si="144"/>
        <v/>
      </c>
      <c r="BM85" s="828" t="str">
        <f t="shared" ca="1" si="145"/>
        <v/>
      </c>
      <c r="BN85" s="828" t="str">
        <f t="shared" ca="1" si="146"/>
        <v/>
      </c>
      <c r="BO85" s="828" t="str">
        <f t="shared" ca="1" si="147"/>
        <v/>
      </c>
      <c r="BP85" s="841"/>
    </row>
    <row r="86" spans="1:68" ht="20.100000000000001" customHeight="1">
      <c r="A86" s="823">
        <v>94</v>
      </c>
      <c r="B86" s="1870"/>
      <c r="C86" s="1872"/>
      <c r="D86" s="1893"/>
      <c r="E86" s="879"/>
      <c r="F86" s="880"/>
      <c r="G86" s="826" t="s">
        <v>4216</v>
      </c>
      <c r="H86" s="876"/>
      <c r="I86" s="876"/>
      <c r="J86" s="876"/>
      <c r="K86" s="876"/>
      <c r="L86" s="828">
        <f t="shared" ca="1" si="148"/>
        <v>0</v>
      </c>
      <c r="M86" s="828">
        <f t="shared" ca="1" si="148"/>
        <v>0</v>
      </c>
      <c r="N86" s="828">
        <f t="shared" ca="1" si="148"/>
        <v>0</v>
      </c>
      <c r="O86" s="828">
        <f t="shared" ca="1" si="148"/>
        <v>0</v>
      </c>
      <c r="P86" s="828">
        <f ca="1">SUM(SUMIFS(OFFSET(貼付け_2024実績,$A86,9,1,199),OFFSET(貼付け_2024実績,4,9,1,199),{"横浜*","川崎*"}))</f>
        <v>0</v>
      </c>
      <c r="Q86" s="828">
        <f ca="1">SUM(SUMIFS(OFFSET(貼付け_2025実績,$A86,9,1,199),OFFSET(貼付け_2025実績,4,9,1,199),{"横浜*","川崎*"}))</f>
        <v>0</v>
      </c>
      <c r="R86" s="828">
        <f ca="1">SUM(SUMIFS(OFFSET(貼付け_2026実績,$A86,9,1,199),OFFSET(貼付け_2026実績,4,9,1,199),{"横浜*","川崎*"}))</f>
        <v>0</v>
      </c>
      <c r="S86" s="828">
        <f ca="1">SUM(SUMIFS(OFFSET(貼付け_2027実績,$A86,9,1,199),OFFSET(貼付け_2027実績,4,9,1,199),{"横浜*","川崎*"}))</f>
        <v>0</v>
      </c>
      <c r="T86" s="828">
        <f t="shared" ca="1" si="149"/>
        <v>0</v>
      </c>
      <c r="U86" s="828">
        <f t="shared" ca="1" si="149"/>
        <v>0</v>
      </c>
      <c r="V86" s="828">
        <f t="shared" ca="1" si="149"/>
        <v>0</v>
      </c>
      <c r="W86" s="828">
        <f t="shared" ca="1" si="149"/>
        <v>0</v>
      </c>
      <c r="X86" s="828">
        <f t="shared" ca="1" si="100"/>
        <v>0</v>
      </c>
      <c r="Y86" s="828">
        <f t="shared" ca="1" si="101"/>
        <v>0</v>
      </c>
      <c r="Z86" s="828">
        <f t="shared" ca="1" si="102"/>
        <v>0</v>
      </c>
      <c r="AA86" s="828">
        <f t="shared" ca="1" si="103"/>
        <v>0</v>
      </c>
      <c r="AB86" s="828" t="str">
        <f t="shared" ca="1" si="108"/>
        <v/>
      </c>
      <c r="AC86" s="828" t="str">
        <f t="shared" ca="1" si="109"/>
        <v/>
      </c>
      <c r="AD86" s="828" t="str">
        <f t="shared" ca="1" si="110"/>
        <v/>
      </c>
      <c r="AE86" s="828" t="str">
        <f t="shared" ca="1" si="111"/>
        <v/>
      </c>
      <c r="AF86" s="828" t="str">
        <f t="shared" ca="1" si="112"/>
        <v/>
      </c>
      <c r="AG86" s="828" t="str">
        <f t="shared" ca="1" si="113"/>
        <v/>
      </c>
      <c r="AH86" s="828" t="str">
        <f t="shared" ca="1" si="114"/>
        <v/>
      </c>
      <c r="AI86" s="828" t="str">
        <f t="shared" ca="1" si="115"/>
        <v/>
      </c>
      <c r="AJ86" s="828" t="str">
        <f t="shared" ca="1" si="116"/>
        <v/>
      </c>
      <c r="AK86" s="828" t="str">
        <f t="shared" ca="1" si="117"/>
        <v/>
      </c>
      <c r="AL86" s="828" t="str">
        <f t="shared" ca="1" si="118"/>
        <v/>
      </c>
      <c r="AM86" s="828" t="str">
        <f t="shared" ca="1" si="119"/>
        <v/>
      </c>
      <c r="AN86" s="828" t="str">
        <f t="shared" ca="1" si="120"/>
        <v/>
      </c>
      <c r="AO86" s="828" t="str">
        <f t="shared" ca="1" si="121"/>
        <v/>
      </c>
      <c r="AP86" s="828" t="str">
        <f t="shared" ca="1" si="122"/>
        <v/>
      </c>
      <c r="AQ86" s="828" t="str">
        <f t="shared" ca="1" si="123"/>
        <v/>
      </c>
      <c r="AR86" s="828" t="str">
        <f t="shared" ca="1" si="124"/>
        <v/>
      </c>
      <c r="AS86" s="828" t="str">
        <f t="shared" ca="1" si="125"/>
        <v/>
      </c>
      <c r="AT86" s="828" t="str">
        <f t="shared" ca="1" si="126"/>
        <v/>
      </c>
      <c r="AU86" s="828" t="str">
        <f t="shared" ca="1" si="127"/>
        <v/>
      </c>
      <c r="AV86" s="828" t="str">
        <f t="shared" ca="1" si="128"/>
        <v/>
      </c>
      <c r="AW86" s="828" t="str">
        <f t="shared" ca="1" si="129"/>
        <v/>
      </c>
      <c r="AX86" s="828" t="str">
        <f t="shared" ca="1" si="130"/>
        <v/>
      </c>
      <c r="AY86" s="828" t="str">
        <f t="shared" ca="1" si="131"/>
        <v/>
      </c>
      <c r="AZ86" s="828" t="str">
        <f t="shared" ca="1" si="132"/>
        <v/>
      </c>
      <c r="BA86" s="828" t="str">
        <f t="shared" ca="1" si="133"/>
        <v/>
      </c>
      <c r="BB86" s="828" t="str">
        <f t="shared" ca="1" si="134"/>
        <v/>
      </c>
      <c r="BC86" s="828" t="str">
        <f t="shared" ca="1" si="135"/>
        <v/>
      </c>
      <c r="BD86" s="828" t="str">
        <f t="shared" ca="1" si="136"/>
        <v/>
      </c>
      <c r="BE86" s="828" t="str">
        <f t="shared" ca="1" si="137"/>
        <v/>
      </c>
      <c r="BF86" s="828" t="str">
        <f t="shared" ca="1" si="138"/>
        <v/>
      </c>
      <c r="BG86" s="828" t="str">
        <f t="shared" ca="1" si="139"/>
        <v/>
      </c>
      <c r="BH86" s="828" t="str">
        <f t="shared" ca="1" si="140"/>
        <v/>
      </c>
      <c r="BI86" s="828" t="str">
        <f t="shared" ca="1" si="141"/>
        <v/>
      </c>
      <c r="BJ86" s="828" t="str">
        <f t="shared" ca="1" si="142"/>
        <v/>
      </c>
      <c r="BK86" s="828" t="str">
        <f t="shared" ca="1" si="143"/>
        <v/>
      </c>
      <c r="BL86" s="828" t="str">
        <f t="shared" ca="1" si="144"/>
        <v/>
      </c>
      <c r="BM86" s="828" t="str">
        <f t="shared" ca="1" si="145"/>
        <v/>
      </c>
      <c r="BN86" s="828" t="str">
        <f t="shared" ca="1" si="146"/>
        <v/>
      </c>
      <c r="BO86" s="828" t="str">
        <f t="shared" ca="1" si="147"/>
        <v/>
      </c>
      <c r="BP86" s="841"/>
    </row>
    <row r="87" spans="1:68" ht="20.100000000000001" customHeight="1">
      <c r="A87" s="823">
        <v>95</v>
      </c>
      <c r="B87" s="1870"/>
      <c r="C87" s="1872"/>
      <c r="D87" s="853" t="s">
        <v>4254</v>
      </c>
      <c r="E87" s="879" t="str">
        <f ca="1">OFFSET(A1_その他欄集計,16,7)</f>
        <v/>
      </c>
      <c r="F87" s="825" t="s">
        <v>3732</v>
      </c>
      <c r="G87" s="826" t="s">
        <v>4594</v>
      </c>
      <c r="H87" s="827">
        <f t="shared" ca="1" si="104"/>
        <v>8.64</v>
      </c>
      <c r="I87" s="827">
        <f t="shared" ca="1" si="105"/>
        <v>8.64</v>
      </c>
      <c r="J87" s="827">
        <f t="shared" ca="1" si="106"/>
        <v>8.64</v>
      </c>
      <c r="K87" s="827">
        <f t="shared" ca="1" si="107"/>
        <v>8.64</v>
      </c>
      <c r="L87" s="828">
        <f t="shared" ca="1" si="148"/>
        <v>0</v>
      </c>
      <c r="M87" s="828">
        <f t="shared" ca="1" si="148"/>
        <v>0</v>
      </c>
      <c r="N87" s="828">
        <f t="shared" ca="1" si="148"/>
        <v>0</v>
      </c>
      <c r="O87" s="828">
        <f t="shared" ca="1" si="148"/>
        <v>0</v>
      </c>
      <c r="P87" s="828">
        <f ca="1">SUM(SUMIFS(OFFSET(貼付け_2024実績,$A87,9,1,199),OFFSET(貼付け_2024実績,4,9,1,199),{"横浜*","川崎*"}))</f>
        <v>0</v>
      </c>
      <c r="Q87" s="828">
        <f ca="1">SUM(SUMIFS(OFFSET(貼付け_2025実績,$A87,9,1,199),OFFSET(貼付け_2025実績,4,9,1,199),{"横浜*","川崎*"}))</f>
        <v>0</v>
      </c>
      <c r="R87" s="828">
        <f ca="1">SUM(SUMIFS(OFFSET(貼付け_2026実績,$A87,9,1,199),OFFSET(貼付け_2026実績,4,9,1,199),{"横浜*","川崎*"}))</f>
        <v>0</v>
      </c>
      <c r="S87" s="828">
        <f ca="1">SUM(SUMIFS(OFFSET(貼付け_2027実績,$A87,9,1,199),OFFSET(貼付け_2027実績,4,9,1,199),{"横浜*","川崎*"}))</f>
        <v>0</v>
      </c>
      <c r="T87" s="828">
        <f t="shared" ca="1" si="149"/>
        <v>0</v>
      </c>
      <c r="U87" s="828">
        <f t="shared" ca="1" si="149"/>
        <v>0</v>
      </c>
      <c r="V87" s="828">
        <f t="shared" ca="1" si="149"/>
        <v>0</v>
      </c>
      <c r="W87" s="828">
        <f t="shared" ca="1" si="149"/>
        <v>0</v>
      </c>
      <c r="X87" s="828">
        <f t="shared" ca="1" si="100"/>
        <v>0</v>
      </c>
      <c r="Y87" s="828">
        <f t="shared" ca="1" si="101"/>
        <v>0</v>
      </c>
      <c r="Z87" s="828">
        <f t="shared" ca="1" si="102"/>
        <v>0</v>
      </c>
      <c r="AA87" s="828">
        <f t="shared" ca="1" si="103"/>
        <v>0</v>
      </c>
      <c r="AB87" s="828" t="str">
        <f t="shared" ca="1" si="108"/>
        <v/>
      </c>
      <c r="AC87" s="828" t="str">
        <f t="shared" ca="1" si="109"/>
        <v/>
      </c>
      <c r="AD87" s="828" t="str">
        <f t="shared" ca="1" si="110"/>
        <v/>
      </c>
      <c r="AE87" s="828" t="str">
        <f t="shared" ca="1" si="111"/>
        <v/>
      </c>
      <c r="AF87" s="828" t="str">
        <f t="shared" ca="1" si="112"/>
        <v/>
      </c>
      <c r="AG87" s="828" t="str">
        <f t="shared" ca="1" si="113"/>
        <v/>
      </c>
      <c r="AH87" s="828" t="str">
        <f t="shared" ca="1" si="114"/>
        <v/>
      </c>
      <c r="AI87" s="828" t="str">
        <f t="shared" ca="1" si="115"/>
        <v/>
      </c>
      <c r="AJ87" s="828" t="str">
        <f t="shared" ca="1" si="116"/>
        <v/>
      </c>
      <c r="AK87" s="828" t="str">
        <f t="shared" ca="1" si="117"/>
        <v/>
      </c>
      <c r="AL87" s="828" t="str">
        <f t="shared" ca="1" si="118"/>
        <v/>
      </c>
      <c r="AM87" s="828" t="str">
        <f t="shared" ca="1" si="119"/>
        <v/>
      </c>
      <c r="AN87" s="828" t="str">
        <f t="shared" ca="1" si="120"/>
        <v/>
      </c>
      <c r="AO87" s="828" t="str">
        <f t="shared" ca="1" si="121"/>
        <v/>
      </c>
      <c r="AP87" s="828" t="str">
        <f t="shared" ca="1" si="122"/>
        <v/>
      </c>
      <c r="AQ87" s="828" t="str">
        <f t="shared" ca="1" si="123"/>
        <v/>
      </c>
      <c r="AR87" s="828" t="str">
        <f t="shared" ca="1" si="124"/>
        <v/>
      </c>
      <c r="AS87" s="828" t="str">
        <f t="shared" ca="1" si="125"/>
        <v/>
      </c>
      <c r="AT87" s="828" t="str">
        <f t="shared" ca="1" si="126"/>
        <v/>
      </c>
      <c r="AU87" s="828" t="str">
        <f t="shared" ca="1" si="127"/>
        <v/>
      </c>
      <c r="AV87" s="828" t="str">
        <f t="shared" ca="1" si="128"/>
        <v/>
      </c>
      <c r="AW87" s="828" t="str">
        <f t="shared" ca="1" si="129"/>
        <v/>
      </c>
      <c r="AX87" s="828" t="str">
        <f t="shared" ca="1" si="130"/>
        <v/>
      </c>
      <c r="AY87" s="828" t="str">
        <f t="shared" ca="1" si="131"/>
        <v/>
      </c>
      <c r="AZ87" s="828" t="str">
        <f t="shared" ca="1" si="132"/>
        <v/>
      </c>
      <c r="BA87" s="828" t="str">
        <f t="shared" ca="1" si="133"/>
        <v/>
      </c>
      <c r="BB87" s="828" t="str">
        <f t="shared" ca="1" si="134"/>
        <v/>
      </c>
      <c r="BC87" s="828" t="str">
        <f t="shared" ca="1" si="135"/>
        <v/>
      </c>
      <c r="BD87" s="828" t="str">
        <f t="shared" ca="1" si="136"/>
        <v/>
      </c>
      <c r="BE87" s="828" t="str">
        <f t="shared" ca="1" si="137"/>
        <v/>
      </c>
      <c r="BF87" s="828" t="str">
        <f t="shared" ca="1" si="138"/>
        <v/>
      </c>
      <c r="BG87" s="828" t="str">
        <f t="shared" ca="1" si="139"/>
        <v/>
      </c>
      <c r="BH87" s="828" t="str">
        <f t="shared" ca="1" si="140"/>
        <v/>
      </c>
      <c r="BI87" s="828" t="str">
        <f t="shared" ca="1" si="141"/>
        <v/>
      </c>
      <c r="BJ87" s="828" t="str">
        <f t="shared" ca="1" si="142"/>
        <v/>
      </c>
      <c r="BK87" s="828" t="str">
        <f t="shared" ca="1" si="143"/>
        <v/>
      </c>
      <c r="BL87" s="828" t="str">
        <f t="shared" ca="1" si="144"/>
        <v/>
      </c>
      <c r="BM87" s="828" t="str">
        <f t="shared" ca="1" si="145"/>
        <v/>
      </c>
      <c r="BN87" s="828" t="str">
        <f t="shared" ca="1" si="146"/>
        <v/>
      </c>
      <c r="BO87" s="828" t="str">
        <f t="shared" ca="1" si="147"/>
        <v/>
      </c>
      <c r="BP87" s="841"/>
    </row>
    <row r="88" spans="1:68" ht="20.100000000000001" customHeight="1">
      <c r="A88" s="823">
        <v>96</v>
      </c>
      <c r="B88" s="1870"/>
      <c r="C88" s="1872"/>
      <c r="D88" s="853" t="s">
        <v>4255</v>
      </c>
      <c r="E88" s="879" t="str">
        <f ca="1">OFFSET(A1_その他欄集計,17,7)</f>
        <v/>
      </c>
      <c r="F88" s="881" t="s">
        <v>3733</v>
      </c>
      <c r="G88" s="826" t="s">
        <v>4594</v>
      </c>
      <c r="H88" s="827">
        <f t="shared" ca="1" si="104"/>
        <v>8.64</v>
      </c>
      <c r="I88" s="827">
        <f t="shared" ca="1" si="105"/>
        <v>8.64</v>
      </c>
      <c r="J88" s="827">
        <f t="shared" ca="1" si="106"/>
        <v>8.64</v>
      </c>
      <c r="K88" s="827">
        <f t="shared" ca="1" si="107"/>
        <v>8.64</v>
      </c>
      <c r="L88" s="828">
        <f t="shared" ca="1" si="148"/>
        <v>0</v>
      </c>
      <c r="M88" s="828">
        <f t="shared" ca="1" si="148"/>
        <v>0</v>
      </c>
      <c r="N88" s="828">
        <f t="shared" ca="1" si="148"/>
        <v>0</v>
      </c>
      <c r="O88" s="828">
        <f t="shared" ca="1" si="148"/>
        <v>0</v>
      </c>
      <c r="P88" s="828">
        <f ca="1">SUM(SUMIFS(OFFSET(貼付け_2024実績,$A88,9,1,199),OFFSET(貼付け_2024実績,4,9,1,199),{"横浜*","川崎*"}))</f>
        <v>0</v>
      </c>
      <c r="Q88" s="828">
        <f ca="1">SUM(SUMIFS(OFFSET(貼付け_2025実績,$A88,9,1,199),OFFSET(貼付け_2025実績,4,9,1,199),{"横浜*","川崎*"}))</f>
        <v>0</v>
      </c>
      <c r="R88" s="828">
        <f ca="1">SUM(SUMIFS(OFFSET(貼付け_2026実績,$A88,9,1,199),OFFSET(貼付け_2026実績,4,9,1,199),{"横浜*","川崎*"}))</f>
        <v>0</v>
      </c>
      <c r="S88" s="828">
        <f ca="1">SUM(SUMIFS(OFFSET(貼付け_2027実績,$A88,9,1,199),OFFSET(貼付け_2027実績,4,9,1,199),{"横浜*","川崎*"}))</f>
        <v>0</v>
      </c>
      <c r="T88" s="828">
        <f t="shared" ca="1" si="149"/>
        <v>0</v>
      </c>
      <c r="U88" s="828">
        <f t="shared" ca="1" si="149"/>
        <v>0</v>
      </c>
      <c r="V88" s="828">
        <f t="shared" ca="1" si="149"/>
        <v>0</v>
      </c>
      <c r="W88" s="828">
        <f t="shared" ca="1" si="149"/>
        <v>0</v>
      </c>
      <c r="X88" s="828">
        <f t="shared" ca="1" si="100"/>
        <v>0</v>
      </c>
      <c r="Y88" s="828">
        <f t="shared" ca="1" si="101"/>
        <v>0</v>
      </c>
      <c r="Z88" s="828">
        <f t="shared" ca="1" si="102"/>
        <v>0</v>
      </c>
      <c r="AA88" s="828">
        <f t="shared" ca="1" si="103"/>
        <v>0</v>
      </c>
      <c r="AB88" s="828" t="str">
        <f t="shared" ca="1" si="108"/>
        <v/>
      </c>
      <c r="AC88" s="828" t="str">
        <f t="shared" ca="1" si="109"/>
        <v/>
      </c>
      <c r="AD88" s="828" t="str">
        <f t="shared" ca="1" si="110"/>
        <v/>
      </c>
      <c r="AE88" s="828" t="str">
        <f t="shared" ca="1" si="111"/>
        <v/>
      </c>
      <c r="AF88" s="828" t="str">
        <f t="shared" ca="1" si="112"/>
        <v/>
      </c>
      <c r="AG88" s="828" t="str">
        <f t="shared" ca="1" si="113"/>
        <v/>
      </c>
      <c r="AH88" s="828" t="str">
        <f t="shared" ca="1" si="114"/>
        <v/>
      </c>
      <c r="AI88" s="828" t="str">
        <f t="shared" ca="1" si="115"/>
        <v/>
      </c>
      <c r="AJ88" s="828" t="str">
        <f t="shared" ca="1" si="116"/>
        <v/>
      </c>
      <c r="AK88" s="828" t="str">
        <f t="shared" ca="1" si="117"/>
        <v/>
      </c>
      <c r="AL88" s="828" t="str">
        <f t="shared" ca="1" si="118"/>
        <v/>
      </c>
      <c r="AM88" s="828" t="str">
        <f t="shared" ca="1" si="119"/>
        <v/>
      </c>
      <c r="AN88" s="828" t="str">
        <f t="shared" ca="1" si="120"/>
        <v/>
      </c>
      <c r="AO88" s="828" t="str">
        <f t="shared" ca="1" si="121"/>
        <v/>
      </c>
      <c r="AP88" s="828" t="str">
        <f t="shared" ca="1" si="122"/>
        <v/>
      </c>
      <c r="AQ88" s="828" t="str">
        <f t="shared" ca="1" si="123"/>
        <v/>
      </c>
      <c r="AR88" s="828" t="str">
        <f t="shared" ca="1" si="124"/>
        <v/>
      </c>
      <c r="AS88" s="828" t="str">
        <f t="shared" ca="1" si="125"/>
        <v/>
      </c>
      <c r="AT88" s="828" t="str">
        <f t="shared" ca="1" si="126"/>
        <v/>
      </c>
      <c r="AU88" s="828" t="str">
        <f t="shared" ca="1" si="127"/>
        <v/>
      </c>
      <c r="AV88" s="828" t="str">
        <f t="shared" ca="1" si="128"/>
        <v/>
      </c>
      <c r="AW88" s="828" t="str">
        <f t="shared" ca="1" si="129"/>
        <v/>
      </c>
      <c r="AX88" s="828" t="str">
        <f t="shared" ca="1" si="130"/>
        <v/>
      </c>
      <c r="AY88" s="828" t="str">
        <f t="shared" ca="1" si="131"/>
        <v/>
      </c>
      <c r="AZ88" s="828" t="str">
        <f t="shared" ca="1" si="132"/>
        <v/>
      </c>
      <c r="BA88" s="828" t="str">
        <f t="shared" ca="1" si="133"/>
        <v/>
      </c>
      <c r="BB88" s="828" t="str">
        <f t="shared" ca="1" si="134"/>
        <v/>
      </c>
      <c r="BC88" s="828" t="str">
        <f t="shared" ca="1" si="135"/>
        <v/>
      </c>
      <c r="BD88" s="828" t="str">
        <f t="shared" ca="1" si="136"/>
        <v/>
      </c>
      <c r="BE88" s="828" t="str">
        <f t="shared" ca="1" si="137"/>
        <v/>
      </c>
      <c r="BF88" s="828" t="str">
        <f t="shared" ca="1" si="138"/>
        <v/>
      </c>
      <c r="BG88" s="828" t="str">
        <f t="shared" ca="1" si="139"/>
        <v/>
      </c>
      <c r="BH88" s="828" t="str">
        <f t="shared" ca="1" si="140"/>
        <v/>
      </c>
      <c r="BI88" s="828" t="str">
        <f t="shared" ca="1" si="141"/>
        <v/>
      </c>
      <c r="BJ88" s="828" t="str">
        <f t="shared" ca="1" si="142"/>
        <v/>
      </c>
      <c r="BK88" s="828" t="str">
        <f t="shared" ca="1" si="143"/>
        <v/>
      </c>
      <c r="BL88" s="828" t="str">
        <f t="shared" ca="1" si="144"/>
        <v/>
      </c>
      <c r="BM88" s="828" t="str">
        <f t="shared" ca="1" si="145"/>
        <v/>
      </c>
      <c r="BN88" s="828" t="str">
        <f t="shared" ca="1" si="146"/>
        <v/>
      </c>
      <c r="BO88" s="828" t="str">
        <f t="shared" ca="1" si="147"/>
        <v/>
      </c>
      <c r="BP88" s="841"/>
    </row>
    <row r="89" spans="1:68" ht="20.100000000000001" customHeight="1">
      <c r="A89" s="823">
        <v>97</v>
      </c>
      <c r="B89" s="1870"/>
      <c r="C89" s="1872"/>
      <c r="D89" s="853" t="s">
        <v>4256</v>
      </c>
      <c r="E89" s="879" t="str">
        <f ca="1">OFFSET(A1_その他欄集計,18,7)</f>
        <v/>
      </c>
      <c r="F89" s="881" t="s">
        <v>3734</v>
      </c>
      <c r="G89" s="826" t="s">
        <v>4594</v>
      </c>
      <c r="H89" s="827">
        <f t="shared" ca="1" si="104"/>
        <v>8.64</v>
      </c>
      <c r="I89" s="827">
        <f t="shared" ca="1" si="105"/>
        <v>8.64</v>
      </c>
      <c r="J89" s="827">
        <f t="shared" ca="1" si="106"/>
        <v>8.64</v>
      </c>
      <c r="K89" s="827">
        <f t="shared" ca="1" si="107"/>
        <v>8.64</v>
      </c>
      <c r="L89" s="828">
        <f t="shared" ca="1" si="148"/>
        <v>0</v>
      </c>
      <c r="M89" s="828">
        <f t="shared" ca="1" si="148"/>
        <v>0</v>
      </c>
      <c r="N89" s="828">
        <f t="shared" ca="1" si="148"/>
        <v>0</v>
      </c>
      <c r="O89" s="828">
        <f t="shared" ca="1" si="148"/>
        <v>0</v>
      </c>
      <c r="P89" s="828">
        <f ca="1">SUM(SUMIFS(OFFSET(貼付け_2024実績,$A89,9,1,199),OFFSET(貼付け_2024実績,4,9,1,199),{"横浜*","川崎*"}))</f>
        <v>0</v>
      </c>
      <c r="Q89" s="828">
        <f ca="1">SUM(SUMIFS(OFFSET(貼付け_2025実績,$A89,9,1,199),OFFSET(貼付け_2025実績,4,9,1,199),{"横浜*","川崎*"}))</f>
        <v>0</v>
      </c>
      <c r="R89" s="828">
        <f ca="1">SUM(SUMIFS(OFFSET(貼付け_2026実績,$A89,9,1,199),OFFSET(貼付け_2026実績,4,9,1,199),{"横浜*","川崎*"}))</f>
        <v>0</v>
      </c>
      <c r="S89" s="828">
        <f ca="1">SUM(SUMIFS(OFFSET(貼付け_2027実績,$A89,9,1,199),OFFSET(貼付け_2027実績,4,9,1,199),{"横浜*","川崎*"}))</f>
        <v>0</v>
      </c>
      <c r="T89" s="828">
        <f t="shared" ca="1" si="149"/>
        <v>0</v>
      </c>
      <c r="U89" s="828">
        <f t="shared" ca="1" si="149"/>
        <v>0</v>
      </c>
      <c r="V89" s="828">
        <f t="shared" ca="1" si="149"/>
        <v>0</v>
      </c>
      <c r="W89" s="828">
        <f t="shared" ca="1" si="149"/>
        <v>0</v>
      </c>
      <c r="X89" s="828">
        <f t="shared" ca="1" si="100"/>
        <v>0</v>
      </c>
      <c r="Y89" s="828">
        <f t="shared" ca="1" si="101"/>
        <v>0</v>
      </c>
      <c r="Z89" s="828">
        <f t="shared" ca="1" si="102"/>
        <v>0</v>
      </c>
      <c r="AA89" s="828">
        <f t="shared" ca="1" si="103"/>
        <v>0</v>
      </c>
      <c r="AB89" s="828" t="str">
        <f t="shared" ca="1" si="108"/>
        <v/>
      </c>
      <c r="AC89" s="828" t="str">
        <f t="shared" ca="1" si="109"/>
        <v/>
      </c>
      <c r="AD89" s="828" t="str">
        <f t="shared" ca="1" si="110"/>
        <v/>
      </c>
      <c r="AE89" s="828" t="str">
        <f t="shared" ca="1" si="111"/>
        <v/>
      </c>
      <c r="AF89" s="828" t="str">
        <f t="shared" ca="1" si="112"/>
        <v/>
      </c>
      <c r="AG89" s="828" t="str">
        <f t="shared" ca="1" si="113"/>
        <v/>
      </c>
      <c r="AH89" s="828" t="str">
        <f t="shared" ca="1" si="114"/>
        <v/>
      </c>
      <c r="AI89" s="828" t="str">
        <f t="shared" ca="1" si="115"/>
        <v/>
      </c>
      <c r="AJ89" s="828" t="str">
        <f t="shared" ca="1" si="116"/>
        <v/>
      </c>
      <c r="AK89" s="828" t="str">
        <f t="shared" ca="1" si="117"/>
        <v/>
      </c>
      <c r="AL89" s="828" t="str">
        <f t="shared" ca="1" si="118"/>
        <v/>
      </c>
      <c r="AM89" s="828" t="str">
        <f t="shared" ca="1" si="119"/>
        <v/>
      </c>
      <c r="AN89" s="828" t="str">
        <f t="shared" ca="1" si="120"/>
        <v/>
      </c>
      <c r="AO89" s="828" t="str">
        <f t="shared" ca="1" si="121"/>
        <v/>
      </c>
      <c r="AP89" s="828" t="str">
        <f t="shared" ca="1" si="122"/>
        <v/>
      </c>
      <c r="AQ89" s="828" t="str">
        <f t="shared" ca="1" si="123"/>
        <v/>
      </c>
      <c r="AR89" s="828" t="str">
        <f t="shared" ca="1" si="124"/>
        <v/>
      </c>
      <c r="AS89" s="828" t="str">
        <f t="shared" ca="1" si="125"/>
        <v/>
      </c>
      <c r="AT89" s="828" t="str">
        <f t="shared" ca="1" si="126"/>
        <v/>
      </c>
      <c r="AU89" s="828" t="str">
        <f t="shared" ca="1" si="127"/>
        <v/>
      </c>
      <c r="AV89" s="828" t="str">
        <f t="shared" ca="1" si="128"/>
        <v/>
      </c>
      <c r="AW89" s="828" t="str">
        <f t="shared" ca="1" si="129"/>
        <v/>
      </c>
      <c r="AX89" s="828" t="str">
        <f t="shared" ca="1" si="130"/>
        <v/>
      </c>
      <c r="AY89" s="828" t="str">
        <f t="shared" ca="1" si="131"/>
        <v/>
      </c>
      <c r="AZ89" s="828" t="str">
        <f t="shared" ca="1" si="132"/>
        <v/>
      </c>
      <c r="BA89" s="828" t="str">
        <f t="shared" ca="1" si="133"/>
        <v/>
      </c>
      <c r="BB89" s="828" t="str">
        <f t="shared" ca="1" si="134"/>
        <v/>
      </c>
      <c r="BC89" s="828" t="str">
        <f t="shared" ca="1" si="135"/>
        <v/>
      </c>
      <c r="BD89" s="828" t="str">
        <f t="shared" ca="1" si="136"/>
        <v/>
      </c>
      <c r="BE89" s="828" t="str">
        <f t="shared" ca="1" si="137"/>
        <v/>
      </c>
      <c r="BF89" s="828" t="str">
        <f t="shared" ca="1" si="138"/>
        <v/>
      </c>
      <c r="BG89" s="828" t="str">
        <f t="shared" ca="1" si="139"/>
        <v/>
      </c>
      <c r="BH89" s="828" t="str">
        <f t="shared" ca="1" si="140"/>
        <v/>
      </c>
      <c r="BI89" s="828" t="str">
        <f t="shared" ca="1" si="141"/>
        <v/>
      </c>
      <c r="BJ89" s="828" t="str">
        <f t="shared" ca="1" si="142"/>
        <v/>
      </c>
      <c r="BK89" s="828" t="str">
        <f t="shared" ca="1" si="143"/>
        <v/>
      </c>
      <c r="BL89" s="828" t="str">
        <f t="shared" ca="1" si="144"/>
        <v/>
      </c>
      <c r="BM89" s="828" t="str">
        <f t="shared" ca="1" si="145"/>
        <v/>
      </c>
      <c r="BN89" s="828" t="str">
        <f t="shared" ca="1" si="146"/>
        <v/>
      </c>
      <c r="BO89" s="828" t="str">
        <f t="shared" ca="1" si="147"/>
        <v/>
      </c>
      <c r="BP89" s="841"/>
    </row>
    <row r="90" spans="1:68" ht="20.100000000000001" customHeight="1">
      <c r="A90" s="823">
        <v>98</v>
      </c>
      <c r="B90" s="1870"/>
      <c r="C90" s="1872"/>
      <c r="D90" s="853" t="s">
        <v>4257</v>
      </c>
      <c r="E90" s="879" t="str">
        <f ca="1">OFFSET(A1_その他欄集計,19,7)</f>
        <v/>
      </c>
      <c r="F90" s="881" t="s">
        <v>3735</v>
      </c>
      <c r="G90" s="826" t="s">
        <v>4594</v>
      </c>
      <c r="H90" s="827">
        <f t="shared" ca="1" si="104"/>
        <v>8.64</v>
      </c>
      <c r="I90" s="827">
        <f t="shared" ca="1" si="105"/>
        <v>8.64</v>
      </c>
      <c r="J90" s="827">
        <f t="shared" ca="1" si="106"/>
        <v>8.64</v>
      </c>
      <c r="K90" s="827">
        <f t="shared" ca="1" si="107"/>
        <v>8.64</v>
      </c>
      <c r="L90" s="828">
        <f t="shared" ca="1" si="148"/>
        <v>0</v>
      </c>
      <c r="M90" s="828">
        <f t="shared" ca="1" si="148"/>
        <v>0</v>
      </c>
      <c r="N90" s="828">
        <f t="shared" ca="1" si="148"/>
        <v>0</v>
      </c>
      <c r="O90" s="828">
        <f t="shared" ca="1" si="148"/>
        <v>0</v>
      </c>
      <c r="P90" s="828">
        <f ca="1">SUM(SUMIFS(OFFSET(貼付け_2024実績,$A90,9,1,199),OFFSET(貼付け_2024実績,4,9,1,199),{"横浜*","川崎*"}))</f>
        <v>0</v>
      </c>
      <c r="Q90" s="828">
        <f ca="1">SUM(SUMIFS(OFFSET(貼付け_2025実績,$A90,9,1,199),OFFSET(貼付け_2025実績,4,9,1,199),{"横浜*","川崎*"}))</f>
        <v>0</v>
      </c>
      <c r="R90" s="828">
        <f ca="1">SUM(SUMIFS(OFFSET(貼付け_2026実績,$A90,9,1,199),OFFSET(貼付け_2026実績,4,9,1,199),{"横浜*","川崎*"}))</f>
        <v>0</v>
      </c>
      <c r="S90" s="828">
        <f ca="1">SUM(SUMIFS(OFFSET(貼付け_2027実績,$A90,9,1,199),OFFSET(貼付け_2027実績,4,9,1,199),{"横浜*","川崎*"}))</f>
        <v>0</v>
      </c>
      <c r="T90" s="828">
        <f t="shared" ca="1" si="149"/>
        <v>0</v>
      </c>
      <c r="U90" s="828">
        <f t="shared" ca="1" si="149"/>
        <v>0</v>
      </c>
      <c r="V90" s="828">
        <f t="shared" ca="1" si="149"/>
        <v>0</v>
      </c>
      <c r="W90" s="828">
        <f t="shared" ca="1" si="149"/>
        <v>0</v>
      </c>
      <c r="X90" s="828">
        <f t="shared" ca="1" si="100"/>
        <v>0</v>
      </c>
      <c r="Y90" s="828">
        <f t="shared" ca="1" si="101"/>
        <v>0</v>
      </c>
      <c r="Z90" s="828">
        <f t="shared" ca="1" si="102"/>
        <v>0</v>
      </c>
      <c r="AA90" s="828">
        <f t="shared" ca="1" si="103"/>
        <v>0</v>
      </c>
      <c r="AB90" s="828" t="str">
        <f ca="1">IFERROR(OFFSET(貼付け_2024実績,$A90,AB$1),"")</f>
        <v/>
      </c>
      <c r="AC90" s="828" t="str">
        <f t="shared" ca="1" si="109"/>
        <v/>
      </c>
      <c r="AD90" s="828" t="str">
        <f t="shared" ca="1" si="110"/>
        <v/>
      </c>
      <c r="AE90" s="828" t="str">
        <f t="shared" ca="1" si="111"/>
        <v/>
      </c>
      <c r="AF90" s="828" t="str">
        <f t="shared" ca="1" si="112"/>
        <v/>
      </c>
      <c r="AG90" s="828" t="str">
        <f t="shared" ca="1" si="113"/>
        <v/>
      </c>
      <c r="AH90" s="828" t="str">
        <f t="shared" ca="1" si="114"/>
        <v/>
      </c>
      <c r="AI90" s="828" t="str">
        <f t="shared" ca="1" si="115"/>
        <v/>
      </c>
      <c r="AJ90" s="828" t="str">
        <f t="shared" ca="1" si="116"/>
        <v/>
      </c>
      <c r="AK90" s="828" t="str">
        <f t="shared" ca="1" si="117"/>
        <v/>
      </c>
      <c r="AL90" s="828" t="str">
        <f t="shared" ca="1" si="118"/>
        <v/>
      </c>
      <c r="AM90" s="828" t="str">
        <f t="shared" ca="1" si="119"/>
        <v/>
      </c>
      <c r="AN90" s="828" t="str">
        <f t="shared" ca="1" si="120"/>
        <v/>
      </c>
      <c r="AO90" s="828" t="str">
        <f t="shared" ca="1" si="121"/>
        <v/>
      </c>
      <c r="AP90" s="828" t="str">
        <f t="shared" ca="1" si="122"/>
        <v/>
      </c>
      <c r="AQ90" s="828" t="str">
        <f t="shared" ca="1" si="123"/>
        <v/>
      </c>
      <c r="AR90" s="828" t="str">
        <f t="shared" ca="1" si="124"/>
        <v/>
      </c>
      <c r="AS90" s="828" t="str">
        <f t="shared" ca="1" si="125"/>
        <v/>
      </c>
      <c r="AT90" s="828" t="str">
        <f t="shared" ca="1" si="126"/>
        <v/>
      </c>
      <c r="AU90" s="828" t="str">
        <f t="shared" ca="1" si="127"/>
        <v/>
      </c>
      <c r="AV90" s="828" t="str">
        <f t="shared" ca="1" si="128"/>
        <v/>
      </c>
      <c r="AW90" s="828" t="str">
        <f t="shared" ca="1" si="129"/>
        <v/>
      </c>
      <c r="AX90" s="828" t="str">
        <f t="shared" ca="1" si="130"/>
        <v/>
      </c>
      <c r="AY90" s="828" t="str">
        <f t="shared" ca="1" si="131"/>
        <v/>
      </c>
      <c r="AZ90" s="828" t="str">
        <f t="shared" ca="1" si="132"/>
        <v/>
      </c>
      <c r="BA90" s="828" t="str">
        <f t="shared" ca="1" si="133"/>
        <v/>
      </c>
      <c r="BB90" s="828" t="str">
        <f t="shared" ca="1" si="134"/>
        <v/>
      </c>
      <c r="BC90" s="828" t="str">
        <f t="shared" ca="1" si="135"/>
        <v/>
      </c>
      <c r="BD90" s="828" t="str">
        <f t="shared" ca="1" si="136"/>
        <v/>
      </c>
      <c r="BE90" s="828" t="str">
        <f t="shared" ca="1" si="137"/>
        <v/>
      </c>
      <c r="BF90" s="828" t="str">
        <f t="shared" ca="1" si="138"/>
        <v/>
      </c>
      <c r="BG90" s="828" t="str">
        <f t="shared" ca="1" si="139"/>
        <v/>
      </c>
      <c r="BH90" s="828" t="str">
        <f t="shared" ca="1" si="140"/>
        <v/>
      </c>
      <c r="BI90" s="828" t="str">
        <f t="shared" ca="1" si="141"/>
        <v/>
      </c>
      <c r="BJ90" s="828" t="str">
        <f t="shared" ca="1" si="142"/>
        <v/>
      </c>
      <c r="BK90" s="828" t="str">
        <f t="shared" ca="1" si="143"/>
        <v/>
      </c>
      <c r="BL90" s="828" t="str">
        <f t="shared" ca="1" si="144"/>
        <v/>
      </c>
      <c r="BM90" s="828" t="str">
        <f t="shared" ca="1" si="145"/>
        <v/>
      </c>
      <c r="BN90" s="828" t="str">
        <f t="shared" ca="1" si="146"/>
        <v/>
      </c>
      <c r="BO90" s="828" t="str">
        <f t="shared" ca="1" si="147"/>
        <v/>
      </c>
      <c r="BP90" s="841"/>
    </row>
    <row r="91" spans="1:68" ht="20.100000000000001" customHeight="1">
      <c r="A91" s="823">
        <v>2</v>
      </c>
      <c r="B91" s="1872" t="s">
        <v>4596</v>
      </c>
      <c r="C91" s="1872"/>
      <c r="D91" s="824" t="s">
        <v>4597</v>
      </c>
      <c r="E91" s="824"/>
      <c r="F91" s="849" t="s">
        <v>4450</v>
      </c>
      <c r="G91" s="826" t="s">
        <v>4451</v>
      </c>
      <c r="H91" s="882"/>
      <c r="I91" s="882"/>
      <c r="J91" s="882"/>
      <c r="K91" s="882"/>
      <c r="L91" s="883">
        <f ca="1">SUMPRODUCT(ROUND(L9:L56*$H9:$H56,0))+ROUND(SUM(SUMIFS(OFFSET(A1_集計2024,$A91,9,1,199),OFFSET(貼付け_2024実績,4,9,1,199),{"横浜*","川崎*","県域*","エネルギー管理指定工場等*"})),0)</f>
        <v>0</v>
      </c>
      <c r="M91" s="883">
        <f ca="1">SUMPRODUCT(ROUND(M9:M56*$I9:$I56,0))+ROUND(SUM(SUMIFS(OFFSET(A1_集計2025,$A91,9,1,199),OFFSET(貼付け_2025実績,4,9,1,199),{"横浜*","川崎*","県域*","エネルギー管理指定工場等*"})),0)</f>
        <v>0</v>
      </c>
      <c r="N91" s="883">
        <f ca="1">SUMPRODUCT(ROUND(N9:N56*$J9:$J56,0))+ROUND(SUM(SUMIFS(OFFSET(A1_集計2025,$A91,9,1,199),OFFSET(貼付け_2026実績,4,9,1,199),{"横浜*","川崎*","県域*","エネルギー管理指定工場等*"})),0)</f>
        <v>0</v>
      </c>
      <c r="O91" s="883">
        <f ca="1">SUMPRODUCT(ROUND(O9:O56*$K9:$K56,0))+ROUND(SUM(SUMIFS(OFFSET(A1_集計2027,$A91,9,1,199),OFFSET(貼付け_2027実績,4,9,1,199),{"横浜*","川崎*","県域*","エネルギー管理指定工場等*"})),0)</f>
        <v>0</v>
      </c>
      <c r="P91" s="883">
        <f ca="1">SUMPRODUCT(ROUND(P9:P56*$H9:$H56,0))+ROUND(SUM(SUMIFS(OFFSET(A1_集計2024,$A91,9,1,199),OFFSET(貼付け_2024実績,4,9,1,199),{"横浜*","川崎*"})),0)</f>
        <v>0</v>
      </c>
      <c r="Q91" s="883">
        <f ca="1">SUMPRODUCT(ROUND(Q9:Q56*$I9:$I56,0))+ROUND(SUM(SUMIFS(OFFSET(A1_集計2025,$A91,9,1,199),OFFSET(貼付け_2025実績,4,9,1,199),{"横浜*","川崎*"})),0)</f>
        <v>0</v>
      </c>
      <c r="R91" s="883">
        <f ca="1">SUMPRODUCT(ROUND(R9:R56*$J9:$J56,0))+ROUND(SUM(SUMIFS(OFFSET(A1_集計2026,$A91,9,1,199),OFFSET(貼付け_2026実績,4,9,1,199),{"横浜*","川崎*"})),0)</f>
        <v>0</v>
      </c>
      <c r="S91" s="883">
        <f ca="1">SUMPRODUCT(ROUND(S9:S56*$K9:$K56,0))+ROUND(SUM(SUMIFS(OFFSET(A1_集計2027,$A91,9,1,199),OFFSET(貼付け_2027実績,4,9,1,199),{"横浜*","川崎*"})),0)</f>
        <v>0</v>
      </c>
      <c r="T91" s="883">
        <f ca="1">SUMPRODUCT(ROUND(T9:T56*$H9:$H56,0))+ROUND(SUM(SUMIFS(OFFSET(A1_集計2024,$A91,9,1,199),OFFSET(貼付け_2024実績,4,9,1,199),{"県域*","エネルギー管理指定工場等*"})),0)</f>
        <v>0</v>
      </c>
      <c r="U91" s="883">
        <f ca="1">SUMPRODUCT(ROUND(U9:U56*$I9:$I56,0))+ROUND(SUM(SUMIFS(OFFSET(A1_集計2025,$A91,9,1,199),OFFSET(貼付け_2025実績,4,9,1,199),{"県域*","エネルギー管理指定工場等*"})),0)</f>
        <v>0</v>
      </c>
      <c r="V91" s="883">
        <f ca="1">SUMPRODUCT(ROUND(V9:V56*$J9:$J56,0))+ROUND(SUM(SUMIFS(OFFSET(A1_集計2026,$A91,9,1,199),OFFSET(貼付け_2026実績,4,9,1,199),{"県域*","エネルギー管理指定工場等*"})),0)</f>
        <v>0</v>
      </c>
      <c r="W91" s="883">
        <f ca="1">SUMPRODUCT(ROUND(W9:W56*$K9:$K56,0))+ROUND(SUM(SUMIFS(OFFSET(A1_集計2027,$A91,9,1,199),OFFSET(貼付け_2027実績,4,9,1,199),{"県域*","エネルギー管理指定工場等*"})),0)</f>
        <v>0</v>
      </c>
      <c r="X91" s="883">
        <f ca="1">SUMPRODUCT(ROUND(X9:X56*$H9:$H56,0))+ROUND(SUMIFS(OFFSET(A1_集計2024,$A91,9,1,199),OFFSET(貼付け_2024実績,4,9,1,199),"県域*"),0)</f>
        <v>0</v>
      </c>
      <c r="Y91" s="883">
        <f ca="1">SUMPRODUCT(ROUND(Y9:Y56*$I9:$I56,0))+ROUND(SUMIFS(OFFSET(A1_集計2025,$A91,9,1,199),OFFSET(貼付け_2025実績,4,9,1,199),"県域*"),0)</f>
        <v>0</v>
      </c>
      <c r="Z91" s="883">
        <f ca="1">SUMPRODUCT(ROUND(Z9:Z56*$J9:$J56,0))+ROUND(SUMIFS(OFFSET(A1_集計2026,$A91,9,1,199),OFFSET(貼付け_2026実績,4,9,1,199),"県域*"),0)</f>
        <v>0</v>
      </c>
      <c r="AA91" s="883">
        <f ca="1">SUMPRODUCT(ROUND(AA9:AA56*$K9:$K56,0))+ROUND(SUMIFS(OFFSET(A1_集計2027,$A91,9,1,199),OFFSET(貼付け_2027実績,4,9,1,199),"県域*"),0)</f>
        <v>0</v>
      </c>
      <c r="AB91" s="883">
        <f ca="1">SUMPRODUCT(ROUND((0&amp;AB9:AB56)*$H9:$H56,0))+ROUND(IFERROR(OFFSET(A1_集計2024,$A91,AB$1),0),0)</f>
        <v>0</v>
      </c>
      <c r="AC91" s="883">
        <f ca="1">SUMPRODUCT(ROUND((0&amp;AC9:AC56)*$I9:$I56,0))+ROUND(IFERROR(OFFSET(A1_集計2025,$A91,AC$1),0),0)</f>
        <v>0</v>
      </c>
      <c r="AD91" s="883">
        <f ca="1">SUMPRODUCT(ROUND((0&amp;AD9:AD56)*$J9:$J56,0))+ROUND(IFERROR(OFFSET(A1_集計2026,$A91,AD$1),0),0)</f>
        <v>0</v>
      </c>
      <c r="AE91" s="883">
        <f ca="1">SUMPRODUCT(ROUND((0&amp;AE9:AE56)*$K9:$K56,0))+ROUND(IFERROR(OFFSET(A1_集計2027,$A91,AE$1),0),0)</f>
        <v>0</v>
      </c>
      <c r="AF91" s="883">
        <f ca="1">SUMPRODUCT(ROUND((0&amp;AF9:AF56)*$H9:$H56,0))+ROUND(IFERROR(OFFSET(A1_集計2024,$A91,AF$1),0),0)</f>
        <v>0</v>
      </c>
      <c r="AG91" s="883">
        <f ca="1">SUMPRODUCT(ROUND((0&amp;AG9:AG56)*$I9:$I56,0))+ROUND(IFERROR(OFFSET(A1_集計2025,$A91,AG$1),0),0)</f>
        <v>0</v>
      </c>
      <c r="AH91" s="883">
        <f ca="1">SUMPRODUCT(ROUND((0&amp;AH9:AH56)*$J9:$J56,0))+ROUND(IFERROR(OFFSET(A1_集計2026,$A91,AH$1),0),0)</f>
        <v>0</v>
      </c>
      <c r="AI91" s="883">
        <f ca="1">SUMPRODUCT(ROUND((0&amp;AI9:AI56)*$K9:$K56,0))+ROUND(IFERROR(OFFSET(A1_集計2027,$A91,AI$1),0),0)</f>
        <v>0</v>
      </c>
      <c r="AJ91" s="883">
        <f ca="1">SUMPRODUCT(ROUND((0&amp;AJ9:AJ56)*$H9:$H56,0))+ROUND(IFERROR(OFFSET(A1_集計2024,$A91,AJ$1),0),0)</f>
        <v>0</v>
      </c>
      <c r="AK91" s="883">
        <f ca="1">SUMPRODUCT(ROUND((0&amp;AK9:AK56)*$I9:$I56,0))+ROUND(IFERROR(OFFSET(A1_集計2025,$A91,AK$1),0),0)</f>
        <v>0</v>
      </c>
      <c r="AL91" s="883">
        <f ca="1">SUMPRODUCT(ROUND((0&amp;AL9:AL56)*$J9:$J56,0))+ROUND(IFERROR(OFFSET(A1_集計2026,$A91,AL$1),0),0)</f>
        <v>0</v>
      </c>
      <c r="AM91" s="883">
        <f ca="1">SUMPRODUCT(ROUND((0&amp;AM9:AM56)*$K9:$K56,0))+ROUND(IFERROR(OFFSET(A1_集計2027,$A91,AM$1),0),0)</f>
        <v>0</v>
      </c>
      <c r="AN91" s="883">
        <f ca="1">SUMPRODUCT(ROUND((0&amp;AN9:AN56)*$H9:$H56,0))+ROUND(IFERROR(OFFSET(A1_集計2024,$A91,AN$1),0),0)</f>
        <v>0</v>
      </c>
      <c r="AO91" s="883">
        <f ca="1">SUMPRODUCT(ROUND((0&amp;AO9:AO56)*$I9:$I56,0))+ROUND(IFERROR(OFFSET(A1_集計2025,$A91,AO$1),0),0)</f>
        <v>0</v>
      </c>
      <c r="AP91" s="883">
        <f ca="1">SUMPRODUCT(ROUND((0&amp;AP9:AP56)*$J9:$J56,0))+ROUND(IFERROR(OFFSET(A1_集計2026,$A91,AP$1),0),0)</f>
        <v>0</v>
      </c>
      <c r="AQ91" s="883">
        <f ca="1">SUMPRODUCT(ROUND((0&amp;AQ9:AQ56)*$K9:$K56,0))+ROUND(IFERROR(OFFSET(A1_集計2027,$A91,AQ$1),0),0)</f>
        <v>0</v>
      </c>
      <c r="AR91" s="883">
        <f ca="1">SUMPRODUCT(ROUND((0&amp;AR9:AR56)*$H9:$H56,0))+ROUND(IFERROR(OFFSET(A1_集計2024,$A91,AR$1),0),0)</f>
        <v>0</v>
      </c>
      <c r="AS91" s="883">
        <f ca="1">SUMPRODUCT(ROUND((0&amp;AS9:AS56)*$I9:$I56,0))+ROUND(IFERROR(OFFSET(A1_集計2025,$A91,AS$1),0),0)</f>
        <v>0</v>
      </c>
      <c r="AT91" s="883">
        <f ca="1">SUMPRODUCT(ROUND((0&amp;AT9:AT56)*$J9:$J56,0))+ROUND(IFERROR(OFFSET(A1_集計2026,$A91,AT$1),0),0)</f>
        <v>0</v>
      </c>
      <c r="AU91" s="883">
        <f ca="1">SUMPRODUCT(ROUND((0&amp;AU9:AU56)*$K9:$K56,0))+ROUND(IFERROR(OFFSET(A1_集計2027,$A91,AU$1),0),0)</f>
        <v>0</v>
      </c>
      <c r="AV91" s="883">
        <f ca="1">SUMPRODUCT(ROUND((0&amp;AV9:AV56)*$H9:$H56,0))+ROUND(IFERROR(OFFSET(A1_集計2024,$A91,AV$1),0),0)</f>
        <v>0</v>
      </c>
      <c r="AW91" s="883">
        <f ca="1">SUMPRODUCT(ROUND((0&amp;AW9:AW56)*$I9:$I56,0))+ROUND(IFERROR(OFFSET(A1_集計2025,$A91,AW$1),0),0)</f>
        <v>0</v>
      </c>
      <c r="AX91" s="883">
        <f ca="1">SUMPRODUCT(ROUND((0&amp;AX9:AX56)*$J9:$J56,0))+ROUND(IFERROR(OFFSET(A1_集計2026,$A91,AX$1),0),0)</f>
        <v>0</v>
      </c>
      <c r="AY91" s="883">
        <f ca="1">SUMPRODUCT(ROUND((0&amp;AY9:AY56)*$K9:$K56,0))+ROUND(IFERROR(OFFSET(A1_集計2027,$A91,AY$1),0),0)</f>
        <v>0</v>
      </c>
      <c r="AZ91" s="883">
        <f ca="1">SUMPRODUCT(ROUND((0&amp;AZ9:AZ56)*$H9:$H56,0))+ROUND(IFERROR(OFFSET(A1_集計2024,$A91,AZ$1),0),0)</f>
        <v>0</v>
      </c>
      <c r="BA91" s="883">
        <f ca="1">SUMPRODUCT(ROUND((0&amp;BA9:BA56)*$I9:$I56,0))+ROUND(IFERROR(OFFSET(A1_集計2025,$A91,BA$1),0),0)</f>
        <v>0</v>
      </c>
      <c r="BB91" s="883">
        <f ca="1">SUMPRODUCT(ROUND((0&amp;BB9:BB56)*$J9:$J56,0))+ROUND(IFERROR(OFFSET(A1_集計2026,$A91,BB$1),0),0)</f>
        <v>0</v>
      </c>
      <c r="BC91" s="883">
        <f ca="1">SUMPRODUCT(ROUND((0&amp;BC9:BC56)*$K9:$K56,0))+ROUND(IFERROR(OFFSET(A1_集計2027,$A91,BC$1),0),0)</f>
        <v>0</v>
      </c>
      <c r="BD91" s="883">
        <f ca="1">SUMPRODUCT(ROUND((0&amp;BD9:BD56)*$H9:$H56,0))+ROUND(IFERROR(OFFSET(A1_集計2024,$A91,BD$1),0),0)</f>
        <v>0</v>
      </c>
      <c r="BE91" s="883">
        <f ca="1">SUMPRODUCT(ROUND((0&amp;BE9:BE56)*$I9:$I56,0))+ROUND(IFERROR(OFFSET(A1_集計2025,$A91,BE$1),0),0)</f>
        <v>0</v>
      </c>
      <c r="BF91" s="883">
        <f ca="1">SUMPRODUCT(ROUND((0&amp;BF9:BF56)*$J9:$J56,0))+ROUND(IFERROR(OFFSET(A1_集計2026,$A91,BF$1),0),0)</f>
        <v>0</v>
      </c>
      <c r="BG91" s="883">
        <f ca="1">SUMPRODUCT(ROUND((0&amp;BG9:BG56)*$K9:$K56,0))+ROUND(IFERROR(OFFSET(A1_集計2027,$A91,BG$1),0),0)</f>
        <v>0</v>
      </c>
      <c r="BH91" s="883">
        <f ca="1">SUMPRODUCT(ROUND((0&amp;BH9:BH56)*$H9:$H56,0))+ROUND(IFERROR(OFFSET(A1_集計2024,$A91,BH$1),0),0)</f>
        <v>0</v>
      </c>
      <c r="BI91" s="883">
        <f ca="1">SUMPRODUCT(ROUND((0&amp;BI9:BI56)*$I9:$I56,0))+ROUND(IFERROR(OFFSET(A1_集計2025,$A91,BI$1),0),0)</f>
        <v>0</v>
      </c>
      <c r="BJ91" s="883">
        <f ca="1">SUMPRODUCT(ROUND((0&amp;BJ9:BJ56)*$J9:$J56,0))+ROUND(IFERROR(OFFSET(A1_集計2026,$A91,BJ$1),0),0)</f>
        <v>0</v>
      </c>
      <c r="BK91" s="883">
        <f ca="1">SUMPRODUCT(ROUND((0&amp;BK9:BK56)*$K9:$K56,0))+ROUND(IFERROR(OFFSET(A1_集計2027,$A91,BK$1),0),0)</f>
        <v>0</v>
      </c>
      <c r="BL91" s="883">
        <f ca="1">SUMPRODUCT(ROUND((0&amp;BL9:BL56)*$H9:$H56,0))+ROUND(IFERROR(OFFSET(A1_集計2024,$A91,BL$1),0),0)</f>
        <v>0</v>
      </c>
      <c r="BM91" s="883">
        <f ca="1">SUMPRODUCT(ROUND((0&amp;BM9:BM56)*$I9:$I56,0))+ROUND(IFERROR(OFFSET(A1_集計2025,$A91,BM$1),0),0)</f>
        <v>0</v>
      </c>
      <c r="BN91" s="883">
        <f ca="1">SUMPRODUCT(ROUND((0&amp;BN9:BN56)*$J9:$J56,0))+ROUND(IFERROR(OFFSET(A1_集計2026,$A91,BN$1),0),0)</f>
        <v>0</v>
      </c>
      <c r="BO91" s="883">
        <f ca="1">SUMPRODUCT(ROUND((0&amp;BO9:BO56)*$K9:$K56,0))+ROUND(IFERROR(OFFSET(A1_集計2027,$A91,BO$1),0),0)</f>
        <v>0</v>
      </c>
      <c r="BP91" s="841"/>
    </row>
    <row r="92" spans="1:68" ht="20.100000000000001" customHeight="1">
      <c r="A92" s="823"/>
      <c r="B92" s="1872"/>
      <c r="C92" s="1872"/>
      <c r="D92" s="824" t="s">
        <v>4598</v>
      </c>
      <c r="E92" s="824"/>
      <c r="F92" s="849" t="s">
        <v>4452</v>
      </c>
      <c r="G92" s="826" t="s">
        <v>4451</v>
      </c>
      <c r="H92" s="882"/>
      <c r="I92" s="882"/>
      <c r="J92" s="882"/>
      <c r="K92" s="882"/>
      <c r="L92" s="883">
        <f ca="1">SUMPRODUCT(ROUND(L57:L67*$H57:$H67,0))</f>
        <v>0</v>
      </c>
      <c r="M92" s="883">
        <f ca="1">SUMPRODUCT(ROUND(M57:M67*$I57:$I67,0))</f>
        <v>0</v>
      </c>
      <c r="N92" s="883">
        <f ca="1">SUMPRODUCT(ROUND(N57:N67*$J57:$J67,0))</f>
        <v>0</v>
      </c>
      <c r="O92" s="883">
        <f ca="1">SUMPRODUCT(ROUND(O57:O67*$K57:$K67,0))</f>
        <v>0</v>
      </c>
      <c r="P92" s="883">
        <f ca="1">SUMPRODUCT(ROUND(P57:P67*$H57:$H67,0))</f>
        <v>0</v>
      </c>
      <c r="Q92" s="883">
        <f ca="1">SUMPRODUCT(ROUND(Q57:Q67*$I57:$I67,0))</f>
        <v>0</v>
      </c>
      <c r="R92" s="883">
        <f ca="1">SUMPRODUCT(ROUND(R57:R67*$J57:$J67,0))</f>
        <v>0</v>
      </c>
      <c r="S92" s="883">
        <f ca="1">SUMPRODUCT(ROUND(S57:S67*$K57:$K67,0))</f>
        <v>0</v>
      </c>
      <c r="T92" s="883">
        <f ca="1">SUMPRODUCT(ROUND(T57:T67*$H57:$H67,0))</f>
        <v>0</v>
      </c>
      <c r="U92" s="883">
        <f ca="1">SUMPRODUCT(ROUND(U57:U67*$I57:$I67,0))</f>
        <v>0</v>
      </c>
      <c r="V92" s="883">
        <f ca="1">SUMPRODUCT(ROUND(V57:V67*$J57:$J67,0))</f>
        <v>0</v>
      </c>
      <c r="W92" s="883">
        <f ca="1">SUMPRODUCT(ROUND(W57:W67*$K57:$K67,0))</f>
        <v>0</v>
      </c>
      <c r="X92" s="883">
        <f ca="1">SUMPRODUCT(ROUND(X57:X67*$H57:$H67,0))</f>
        <v>0</v>
      </c>
      <c r="Y92" s="883">
        <f ca="1">SUMPRODUCT(ROUND(Y57:Y67*$I57:$I67,0))</f>
        <v>0</v>
      </c>
      <c r="Z92" s="883">
        <f ca="1">SUMPRODUCT(ROUND(Z57:Z67*$J57:$J67,0))</f>
        <v>0</v>
      </c>
      <c r="AA92" s="883">
        <f ca="1">SUMPRODUCT(ROUND(AA57:AA67*$K57:$K67,0))</f>
        <v>0</v>
      </c>
      <c r="AB92" s="883">
        <f ca="1">SUMPRODUCT(ROUND((0&amp;AB57:AB67)*$H57:$H67,0))</f>
        <v>0</v>
      </c>
      <c r="AC92" s="883">
        <f ca="1">SUMPRODUCT(ROUND((0&amp;AC57:AC67)*$I57:$I67,0))</f>
        <v>0</v>
      </c>
      <c r="AD92" s="883">
        <f ca="1">SUMPRODUCT(ROUND((0&amp;AD57:AD67)*$J57:$J67,0))</f>
        <v>0</v>
      </c>
      <c r="AE92" s="883">
        <f ca="1">SUMPRODUCT(ROUND((0&amp;AE57:AE67)*$K57:$K67,0))</f>
        <v>0</v>
      </c>
      <c r="AF92" s="883">
        <f ca="1">SUMPRODUCT(ROUND((0&amp;AF57:AF67)*$H57:$H67,0))</f>
        <v>0</v>
      </c>
      <c r="AG92" s="883">
        <f ca="1">SUMPRODUCT(ROUND((0&amp;AG57:AG67)*$I57:$I67,0))</f>
        <v>0</v>
      </c>
      <c r="AH92" s="883">
        <f ca="1">SUMPRODUCT(ROUND((0&amp;AH57:AH67)*$J57:$J67,0))</f>
        <v>0</v>
      </c>
      <c r="AI92" s="883">
        <f ca="1">SUMPRODUCT(ROUND((0&amp;AI57:AI67)*$K57:$K67,0))</f>
        <v>0</v>
      </c>
      <c r="AJ92" s="883">
        <f ca="1">SUMPRODUCT(ROUND((0&amp;AJ57:AJ67)*$H57:$H67,0))</f>
        <v>0</v>
      </c>
      <c r="AK92" s="883">
        <f ca="1">SUMPRODUCT(ROUND((0&amp;AK57:AK67)*$I57:$I67,0))</f>
        <v>0</v>
      </c>
      <c r="AL92" s="883">
        <f ca="1">SUMPRODUCT(ROUND((0&amp;AL57:AL67)*$J57:$J67,0))</f>
        <v>0</v>
      </c>
      <c r="AM92" s="883">
        <f ca="1">SUMPRODUCT(ROUND((0&amp;AM57:AM67)*$K57:$K67,0))</f>
        <v>0</v>
      </c>
      <c r="AN92" s="883">
        <f ca="1">SUMPRODUCT(ROUND((0&amp;AN57:AN67)*$H57:$H67,0))</f>
        <v>0</v>
      </c>
      <c r="AO92" s="883">
        <f ca="1">SUMPRODUCT(ROUND((0&amp;AO57:AO67)*$I57:$I67,0))</f>
        <v>0</v>
      </c>
      <c r="AP92" s="883">
        <f ca="1">SUMPRODUCT(ROUND((0&amp;AP57:AP67)*$J57:$J67,0))</f>
        <v>0</v>
      </c>
      <c r="AQ92" s="883">
        <f ca="1">SUMPRODUCT(ROUND((0&amp;AQ57:AQ67)*$K57:$K67,0))</f>
        <v>0</v>
      </c>
      <c r="AR92" s="883">
        <f ca="1">SUMPRODUCT(ROUND((0&amp;AR57:AR67)*$H57:$H67,0))</f>
        <v>0</v>
      </c>
      <c r="AS92" s="883">
        <f ca="1">SUMPRODUCT(ROUND((0&amp;AS57:AS67)*$I57:$I67,0))</f>
        <v>0</v>
      </c>
      <c r="AT92" s="883">
        <f ca="1">SUMPRODUCT(ROUND((0&amp;AT57:AT67)*$J57:$J67,0))</f>
        <v>0</v>
      </c>
      <c r="AU92" s="883">
        <f ca="1">SUMPRODUCT(ROUND((0&amp;AU57:AU67)*$K57:$K67,0))</f>
        <v>0</v>
      </c>
      <c r="AV92" s="883">
        <f ca="1">SUMPRODUCT(ROUND((0&amp;AV57:AV67)*$H57:$H67,0))</f>
        <v>0</v>
      </c>
      <c r="AW92" s="883">
        <f ca="1">SUMPRODUCT(ROUND((0&amp;AW57:AW67)*$I57:$I67,0))</f>
        <v>0</v>
      </c>
      <c r="AX92" s="883">
        <f ca="1">SUMPRODUCT(ROUND((0&amp;AX57:AX67)*$J57:$J67,0))</f>
        <v>0</v>
      </c>
      <c r="AY92" s="883">
        <f ca="1">SUMPRODUCT(ROUND((0&amp;AY57:AY67)*$K57:$K67,0))</f>
        <v>0</v>
      </c>
      <c r="AZ92" s="883">
        <f ca="1">SUMPRODUCT(ROUND((0&amp;AZ57:AZ67)*$H57:$H67,0))</f>
        <v>0</v>
      </c>
      <c r="BA92" s="883">
        <f ca="1">SUMPRODUCT(ROUND((0&amp;BA57:BA67)*$I57:$I67,0))</f>
        <v>0</v>
      </c>
      <c r="BB92" s="883">
        <f ca="1">SUMPRODUCT(ROUND((0&amp;BB57:BB67)*$J57:$J67,0))</f>
        <v>0</v>
      </c>
      <c r="BC92" s="883">
        <f ca="1">SUMPRODUCT(ROUND((0&amp;BC57:BC67)*$K57:$K67,0))</f>
        <v>0</v>
      </c>
      <c r="BD92" s="883">
        <f ca="1">SUMPRODUCT(ROUND((0&amp;BD57:BD67)*$H57:$H67,0))</f>
        <v>0</v>
      </c>
      <c r="BE92" s="883">
        <f ca="1">SUMPRODUCT(ROUND((0&amp;BE57:BE67)*$I57:$I67,0))</f>
        <v>0</v>
      </c>
      <c r="BF92" s="883">
        <f ca="1">SUMPRODUCT(ROUND((0&amp;BF57:BF67)*$J57:$J67,0))</f>
        <v>0</v>
      </c>
      <c r="BG92" s="883">
        <f ca="1">SUMPRODUCT(ROUND((0&amp;BG57:BG67)*$K57:$K67,0))</f>
        <v>0</v>
      </c>
      <c r="BH92" s="883">
        <f ca="1">SUMPRODUCT(ROUND((0&amp;BH57:BH67)*$H57:$H67,0))</f>
        <v>0</v>
      </c>
      <c r="BI92" s="883">
        <f ca="1">SUMPRODUCT(ROUND((0&amp;BI57:BI67)*$I57:$I67,0))</f>
        <v>0</v>
      </c>
      <c r="BJ92" s="883">
        <f ca="1">SUMPRODUCT(ROUND((0&amp;BJ57:BJ67)*$J57:$J67,0))</f>
        <v>0</v>
      </c>
      <c r="BK92" s="883">
        <f ca="1">SUMPRODUCT(ROUND((0&amp;BK57:BK67)*$K57:$K67,0))</f>
        <v>0</v>
      </c>
      <c r="BL92" s="883">
        <f ca="1">SUMPRODUCT(ROUND((0&amp;BL57:BL67)*$H57:$H67,0))</f>
        <v>0</v>
      </c>
      <c r="BM92" s="883">
        <f ca="1">SUMPRODUCT(ROUND((0&amp;BM57:BM67)*$I57:$I67,0))</f>
        <v>0</v>
      </c>
      <c r="BN92" s="883">
        <f ca="1">SUMPRODUCT(ROUND((0&amp;BN57:BN67)*$J57:$J67,0))</f>
        <v>0</v>
      </c>
      <c r="BO92" s="883">
        <f ca="1">SUMPRODUCT(ROUND((0&amp;BO57:BO67)*$K57:$K67,0))</f>
        <v>0</v>
      </c>
      <c r="BP92" s="841"/>
    </row>
    <row r="93" spans="1:68" ht="20.100000000000001" customHeight="1">
      <c r="A93" s="823"/>
      <c r="B93" s="1872"/>
      <c r="C93" s="1872"/>
      <c r="D93" s="824" t="s">
        <v>4599</v>
      </c>
      <c r="E93" s="824" t="s">
        <v>4600</v>
      </c>
      <c r="F93" s="849" t="s">
        <v>4453</v>
      </c>
      <c r="G93" s="826" t="s">
        <v>4451</v>
      </c>
      <c r="H93" s="882"/>
      <c r="I93" s="882"/>
      <c r="J93" s="882"/>
      <c r="K93" s="882"/>
      <c r="L93" s="883">
        <f ca="1">SUMPRODUCT(ROUND((0&amp;L68:L71)*$H68:$H71,0))+ROUND($H73*(0&amp;L73),0)+SUMPRODUCT(ROUND((0&amp;L75:L86)*$H75:$H86,0))</f>
        <v>0</v>
      </c>
      <c r="M93" s="883">
        <f ca="1">SUMPRODUCT(ROUND((0&amp;M68:M71)*$I68:$I71,0))+ROUND($I73*(0&amp;M73),0)+SUMPRODUCT(ROUND((0&amp;M75:M86)*$I75:$I86,0))</f>
        <v>0</v>
      </c>
      <c r="N93" s="883">
        <f ca="1">SUMPRODUCT(ROUND((0&amp;N68:N71)*$J68:$J71,0))+ROUND($J73*(0&amp;N73),0)+SUMPRODUCT(ROUND((0&amp;N75:N86)*$J75:$J86,0))</f>
        <v>0</v>
      </c>
      <c r="O93" s="883">
        <f ca="1">SUMPRODUCT(ROUND((0&amp;O68:O71)*$K68:$K71,0))+ROUND($K73*(0&amp;O73),0)+SUMPRODUCT(ROUND((0&amp;O75:O86)*$K75:$K86,0))</f>
        <v>0</v>
      </c>
      <c r="P93" s="883">
        <f t="shared" ref="P93" ca="1" si="150">SUMPRODUCT(ROUND((0&amp;P68:P71)*$H68:$H71,0))+ROUND($H73*(0&amp;P73),0)+SUMPRODUCT(ROUND((0&amp;P75:P86)*$H75:$H86,0))</f>
        <v>0</v>
      </c>
      <c r="Q93" s="883">
        <f t="shared" ref="Q93" ca="1" si="151">SUMPRODUCT(ROUND((0&amp;Q68:Q71)*$I68:$I71,0))+ROUND($I73*(0&amp;Q73),0)+SUMPRODUCT(ROUND((0&amp;Q75:Q86)*$I75:$I86,0))</f>
        <v>0</v>
      </c>
      <c r="R93" s="883">
        <f t="shared" ref="R93" ca="1" si="152">SUMPRODUCT(ROUND((0&amp;R68:R71)*$J68:$J71,0))+ROUND($J73*(0&amp;R73),0)+SUMPRODUCT(ROUND((0&amp;R75:R86)*$J75:$J86,0))</f>
        <v>0</v>
      </c>
      <c r="S93" s="883">
        <f t="shared" ref="S93" ca="1" si="153">SUMPRODUCT(ROUND((0&amp;S68:S71)*$K68:$K71,0))+ROUND($K73*(0&amp;S73),0)+SUMPRODUCT(ROUND((0&amp;S75:S86)*$K75:$K86,0))</f>
        <v>0</v>
      </c>
      <c r="T93" s="883">
        <f t="shared" ref="T93" ca="1" si="154">SUMPRODUCT(ROUND((0&amp;T68:T71)*$H68:$H71,0))+ROUND($H73*(0&amp;T73),0)+SUMPRODUCT(ROUND((0&amp;T75:T86)*$H75:$H86,0))</f>
        <v>0</v>
      </c>
      <c r="U93" s="883">
        <f t="shared" ref="U93" ca="1" si="155">SUMPRODUCT(ROUND((0&amp;U68:U71)*$I68:$I71,0))+ROUND($I73*(0&amp;U73),0)+SUMPRODUCT(ROUND((0&amp;U75:U86)*$I75:$I86,0))</f>
        <v>0</v>
      </c>
      <c r="V93" s="883">
        <f t="shared" ref="V93" ca="1" si="156">SUMPRODUCT(ROUND((0&amp;V68:V71)*$J68:$J71,0))+ROUND($J73*(0&amp;V73),0)+SUMPRODUCT(ROUND((0&amp;V75:V86)*$J75:$J86,0))</f>
        <v>0</v>
      </c>
      <c r="W93" s="883">
        <f t="shared" ref="W93" ca="1" si="157">SUMPRODUCT(ROUND((0&amp;W68:W71)*$K68:$K71,0))+ROUND($K73*(0&amp;W73),0)+SUMPRODUCT(ROUND((0&amp;W75:W86)*$K75:$K86,0))</f>
        <v>0</v>
      </c>
      <c r="X93" s="883">
        <f t="shared" ref="X93" ca="1" si="158">SUMPRODUCT(ROUND((0&amp;X68:X71)*$H68:$H71,0))+ROUND($H73*(0&amp;X73),0)+SUMPRODUCT(ROUND((0&amp;X75:X86)*$H75:$H86,0))</f>
        <v>0</v>
      </c>
      <c r="Y93" s="883">
        <f t="shared" ref="Y93" ca="1" si="159">SUMPRODUCT(ROUND((0&amp;Y68:Y71)*$I68:$I71,0))+ROUND($I73*(0&amp;Y73),0)+SUMPRODUCT(ROUND((0&amp;Y75:Y86)*$I75:$I86,0))</f>
        <v>0</v>
      </c>
      <c r="Z93" s="883">
        <f t="shared" ref="Z93" ca="1" si="160">SUMPRODUCT(ROUND((0&amp;Z68:Z71)*$J68:$J71,0))+ROUND($J73*(0&amp;Z73),0)+SUMPRODUCT(ROUND((0&amp;Z75:Z86)*$J75:$J86,0))</f>
        <v>0</v>
      </c>
      <c r="AA93" s="883">
        <f t="shared" ref="AA93" ca="1" si="161">SUMPRODUCT(ROUND((0&amp;AA68:AA71)*$K68:$K71,0))+ROUND($K73*(0&amp;AA73),0)+SUMPRODUCT(ROUND((0&amp;AA75:AA86)*$K75:$K86,0))</f>
        <v>0</v>
      </c>
      <c r="AB93" s="883">
        <f t="shared" ref="AB93" ca="1" si="162">SUMPRODUCT(ROUND((0&amp;AB68:AB71)*$H68:$H71,0))+ROUND($H73*(0&amp;AB73),0)+SUMPRODUCT(ROUND((0&amp;AB75:AB86)*$H75:$H86,0))</f>
        <v>0</v>
      </c>
      <c r="AC93" s="883">
        <f t="shared" ref="AC93" ca="1" si="163">SUMPRODUCT(ROUND((0&amp;AC68:AC71)*$I68:$I71,0))+ROUND($I73*(0&amp;AC73),0)+SUMPRODUCT(ROUND((0&amp;AC75:AC86)*$I75:$I86,0))</f>
        <v>0</v>
      </c>
      <c r="AD93" s="883">
        <f t="shared" ref="AD93" ca="1" si="164">SUMPRODUCT(ROUND((0&amp;AD68:AD71)*$J68:$J71,0))+ROUND($J73*(0&amp;AD73),0)+SUMPRODUCT(ROUND((0&amp;AD75:AD86)*$J75:$J86,0))</f>
        <v>0</v>
      </c>
      <c r="AE93" s="883">
        <f t="shared" ref="AE93" ca="1" si="165">SUMPRODUCT(ROUND((0&amp;AE68:AE71)*$K68:$K71,0))+ROUND($K73*(0&amp;AE73),0)+SUMPRODUCT(ROUND((0&amp;AE75:AE86)*$K75:$K86,0))</f>
        <v>0</v>
      </c>
      <c r="AF93" s="883">
        <f t="shared" ref="AF93" ca="1" si="166">SUMPRODUCT(ROUND((0&amp;AF68:AF71)*$H68:$H71,0))+ROUND($H73*(0&amp;AF73),0)+SUMPRODUCT(ROUND((0&amp;AF75:AF86)*$H75:$H86,0))</f>
        <v>0</v>
      </c>
      <c r="AG93" s="883">
        <f t="shared" ref="AG93" ca="1" si="167">SUMPRODUCT(ROUND((0&amp;AG68:AG71)*$I68:$I71,0))+ROUND($I73*(0&amp;AG73),0)+SUMPRODUCT(ROUND((0&amp;AG75:AG86)*$I75:$I86,0))</f>
        <v>0</v>
      </c>
      <c r="AH93" s="883">
        <f t="shared" ref="AH93" ca="1" si="168">SUMPRODUCT(ROUND((0&amp;AH68:AH71)*$J68:$J71,0))+ROUND($J73*(0&amp;AH73),0)+SUMPRODUCT(ROUND((0&amp;AH75:AH86)*$J75:$J86,0))</f>
        <v>0</v>
      </c>
      <c r="AI93" s="883">
        <f t="shared" ref="AI93" ca="1" si="169">SUMPRODUCT(ROUND((0&amp;AI68:AI71)*$K68:$K71,0))+ROUND($K73*(0&amp;AI73),0)+SUMPRODUCT(ROUND((0&amp;AI75:AI86)*$K75:$K86,0))</f>
        <v>0</v>
      </c>
      <c r="AJ93" s="883">
        <f t="shared" ref="AJ93" ca="1" si="170">SUMPRODUCT(ROUND((0&amp;AJ68:AJ71)*$H68:$H71,0))+ROUND($H73*(0&amp;AJ73),0)+SUMPRODUCT(ROUND((0&amp;AJ75:AJ86)*$H75:$H86,0))</f>
        <v>0</v>
      </c>
      <c r="AK93" s="883">
        <f t="shared" ref="AK93" ca="1" si="171">SUMPRODUCT(ROUND((0&amp;AK68:AK71)*$I68:$I71,0))+ROUND($I73*(0&amp;AK73),0)+SUMPRODUCT(ROUND((0&amp;AK75:AK86)*$I75:$I86,0))</f>
        <v>0</v>
      </c>
      <c r="AL93" s="883">
        <f t="shared" ref="AL93" ca="1" si="172">SUMPRODUCT(ROUND((0&amp;AL68:AL71)*$J68:$J71,0))+ROUND($J73*(0&amp;AL73),0)+SUMPRODUCT(ROUND((0&amp;AL75:AL86)*$J75:$J86,0))</f>
        <v>0</v>
      </c>
      <c r="AM93" s="883">
        <f t="shared" ref="AM93" ca="1" si="173">SUMPRODUCT(ROUND((0&amp;AM68:AM71)*$K68:$K71,0))+ROUND($K73*(0&amp;AM73),0)+SUMPRODUCT(ROUND((0&amp;AM75:AM86)*$K75:$K86,0))</f>
        <v>0</v>
      </c>
      <c r="AN93" s="883">
        <f t="shared" ref="AN93" ca="1" si="174">SUMPRODUCT(ROUND((0&amp;AN68:AN71)*$H68:$H71,0))+ROUND($H73*(0&amp;AN73),0)+SUMPRODUCT(ROUND((0&amp;AN75:AN86)*$H75:$H86,0))</f>
        <v>0</v>
      </c>
      <c r="AO93" s="883">
        <f t="shared" ref="AO93" ca="1" si="175">SUMPRODUCT(ROUND((0&amp;AO68:AO71)*$I68:$I71,0))+ROUND($I73*(0&amp;AO73),0)+SUMPRODUCT(ROUND((0&amp;AO75:AO86)*$I75:$I86,0))</f>
        <v>0</v>
      </c>
      <c r="AP93" s="883">
        <f t="shared" ref="AP93" ca="1" si="176">SUMPRODUCT(ROUND((0&amp;AP68:AP71)*$J68:$J71,0))+ROUND($J73*(0&amp;AP73),0)+SUMPRODUCT(ROUND((0&amp;AP75:AP86)*$J75:$J86,0))</f>
        <v>0</v>
      </c>
      <c r="AQ93" s="883">
        <f t="shared" ref="AQ93" ca="1" si="177">SUMPRODUCT(ROUND((0&amp;AQ68:AQ71)*$K68:$K71,0))+ROUND($K73*(0&amp;AQ73),0)+SUMPRODUCT(ROUND((0&amp;AQ75:AQ86)*$K75:$K86,0))</f>
        <v>0</v>
      </c>
      <c r="AR93" s="883">
        <f t="shared" ref="AR93" ca="1" si="178">SUMPRODUCT(ROUND((0&amp;AR68:AR71)*$H68:$H71,0))+ROUND($H73*(0&amp;AR73),0)+SUMPRODUCT(ROUND((0&amp;AR75:AR86)*$H75:$H86,0))</f>
        <v>0</v>
      </c>
      <c r="AS93" s="883">
        <f t="shared" ref="AS93" ca="1" si="179">SUMPRODUCT(ROUND((0&amp;AS68:AS71)*$I68:$I71,0))+ROUND($I73*(0&amp;AS73),0)+SUMPRODUCT(ROUND((0&amp;AS75:AS86)*$I75:$I86,0))</f>
        <v>0</v>
      </c>
      <c r="AT93" s="883">
        <f t="shared" ref="AT93" ca="1" si="180">SUMPRODUCT(ROUND((0&amp;AT68:AT71)*$J68:$J71,0))+ROUND($J73*(0&amp;AT73),0)+SUMPRODUCT(ROUND((0&amp;AT75:AT86)*$J75:$J86,0))</f>
        <v>0</v>
      </c>
      <c r="AU93" s="883">
        <f t="shared" ref="AU93" ca="1" si="181">SUMPRODUCT(ROUND((0&amp;AU68:AU71)*$K68:$K71,0))+ROUND($K73*(0&amp;AU73),0)+SUMPRODUCT(ROUND((0&amp;AU75:AU86)*$K75:$K86,0))</f>
        <v>0</v>
      </c>
      <c r="AV93" s="883">
        <f t="shared" ref="AV93" ca="1" si="182">SUMPRODUCT(ROUND((0&amp;AV68:AV71)*$H68:$H71,0))+ROUND($H73*(0&amp;AV73),0)+SUMPRODUCT(ROUND((0&amp;AV75:AV86)*$H75:$H86,0))</f>
        <v>0</v>
      </c>
      <c r="AW93" s="883">
        <f t="shared" ref="AW93" ca="1" si="183">SUMPRODUCT(ROUND((0&amp;AW68:AW71)*$I68:$I71,0))+ROUND($I73*(0&amp;AW73),0)+SUMPRODUCT(ROUND((0&amp;AW75:AW86)*$I75:$I86,0))</f>
        <v>0</v>
      </c>
      <c r="AX93" s="883">
        <f t="shared" ref="AX93" ca="1" si="184">SUMPRODUCT(ROUND((0&amp;AX68:AX71)*$J68:$J71,0))+ROUND($J73*(0&amp;AX73),0)+SUMPRODUCT(ROUND((0&amp;AX75:AX86)*$J75:$J86,0))</f>
        <v>0</v>
      </c>
      <c r="AY93" s="883">
        <f t="shared" ref="AY93" ca="1" si="185">SUMPRODUCT(ROUND((0&amp;AY68:AY71)*$K68:$K71,0))+ROUND($K73*(0&amp;AY73),0)+SUMPRODUCT(ROUND((0&amp;AY75:AY86)*$K75:$K86,0))</f>
        <v>0</v>
      </c>
      <c r="AZ93" s="883">
        <f t="shared" ref="AZ93" ca="1" si="186">SUMPRODUCT(ROUND((0&amp;AZ68:AZ71)*$H68:$H71,0))+ROUND($H73*(0&amp;AZ73),0)+SUMPRODUCT(ROUND((0&amp;AZ75:AZ86)*$H75:$H86,0))</f>
        <v>0</v>
      </c>
      <c r="BA93" s="883">
        <f t="shared" ref="BA93" ca="1" si="187">SUMPRODUCT(ROUND((0&amp;BA68:BA71)*$I68:$I71,0))+ROUND($I73*(0&amp;BA73),0)+SUMPRODUCT(ROUND((0&amp;BA75:BA86)*$I75:$I86,0))</f>
        <v>0</v>
      </c>
      <c r="BB93" s="883">
        <f t="shared" ref="BB93" ca="1" si="188">SUMPRODUCT(ROUND((0&amp;BB68:BB71)*$J68:$J71,0))+ROUND($J73*(0&amp;BB73),0)+SUMPRODUCT(ROUND((0&amp;BB75:BB86)*$J75:$J86,0))</f>
        <v>0</v>
      </c>
      <c r="BC93" s="883">
        <f t="shared" ref="BC93" ca="1" si="189">SUMPRODUCT(ROUND((0&amp;BC68:BC71)*$K68:$K71,0))+ROUND($K73*(0&amp;BC73),0)+SUMPRODUCT(ROUND((0&amp;BC75:BC86)*$K75:$K86,0))</f>
        <v>0</v>
      </c>
      <c r="BD93" s="883">
        <f t="shared" ref="BD93" ca="1" si="190">SUMPRODUCT(ROUND((0&amp;BD68:BD71)*$H68:$H71,0))+ROUND($H73*(0&amp;BD73),0)+SUMPRODUCT(ROUND((0&amp;BD75:BD86)*$H75:$H86,0))</f>
        <v>0</v>
      </c>
      <c r="BE93" s="883">
        <f t="shared" ref="BE93" ca="1" si="191">SUMPRODUCT(ROUND((0&amp;BE68:BE71)*$I68:$I71,0))+ROUND($I73*(0&amp;BE73),0)+SUMPRODUCT(ROUND((0&amp;BE75:BE86)*$I75:$I86,0))</f>
        <v>0</v>
      </c>
      <c r="BF93" s="883">
        <f t="shared" ref="BF93" ca="1" si="192">SUMPRODUCT(ROUND((0&amp;BF68:BF71)*$J68:$J71,0))+ROUND($J73*(0&amp;BF73),0)+SUMPRODUCT(ROUND((0&amp;BF75:BF86)*$J75:$J86,0))</f>
        <v>0</v>
      </c>
      <c r="BG93" s="883">
        <f t="shared" ref="BG93" ca="1" si="193">SUMPRODUCT(ROUND((0&amp;BG68:BG71)*$K68:$K71,0))+ROUND($K73*(0&amp;BG73),0)+SUMPRODUCT(ROUND((0&amp;BG75:BG86)*$K75:$K86,0))</f>
        <v>0</v>
      </c>
      <c r="BH93" s="883">
        <f t="shared" ref="BH93" ca="1" si="194">SUMPRODUCT(ROUND((0&amp;BH68:BH71)*$H68:$H71,0))+ROUND($H73*(0&amp;BH73),0)+SUMPRODUCT(ROUND((0&amp;BH75:BH86)*$H75:$H86,0))</f>
        <v>0</v>
      </c>
      <c r="BI93" s="883">
        <f t="shared" ref="BI93" ca="1" si="195">SUMPRODUCT(ROUND((0&amp;BI68:BI71)*$I68:$I71,0))+ROUND($I73*(0&amp;BI73),0)+SUMPRODUCT(ROUND((0&amp;BI75:BI86)*$I75:$I86,0))</f>
        <v>0</v>
      </c>
      <c r="BJ93" s="883">
        <f t="shared" ref="BJ93" ca="1" si="196">SUMPRODUCT(ROUND((0&amp;BJ68:BJ71)*$J68:$J71,0))+ROUND($J73*(0&amp;BJ73),0)+SUMPRODUCT(ROUND((0&amp;BJ75:BJ86)*$J75:$J86,0))</f>
        <v>0</v>
      </c>
      <c r="BK93" s="883">
        <f t="shared" ref="BK93" ca="1" si="197">SUMPRODUCT(ROUND((0&amp;BK68:BK71)*$K68:$K71,0))+ROUND($K73*(0&amp;BK73),0)+SUMPRODUCT(ROUND((0&amp;BK75:BK86)*$K75:$K86,0))</f>
        <v>0</v>
      </c>
      <c r="BL93" s="883">
        <f t="shared" ref="BL93" ca="1" si="198">SUMPRODUCT(ROUND((0&amp;BL68:BL71)*$H68:$H71,0))+ROUND($H73*(0&amp;BL73),0)+SUMPRODUCT(ROUND((0&amp;BL75:BL86)*$H75:$H86,0))</f>
        <v>0</v>
      </c>
      <c r="BM93" s="883">
        <f t="shared" ref="BM93" ca="1" si="199">SUMPRODUCT(ROUND((0&amp;BM68:BM71)*$I68:$I71,0))+ROUND($I73*(0&amp;BM73),0)+SUMPRODUCT(ROUND((0&amp;BM75:BM86)*$I75:$I86,0))</f>
        <v>0</v>
      </c>
      <c r="BN93" s="883">
        <f t="shared" ref="BN93" ca="1" si="200">SUMPRODUCT(ROUND((0&amp;BN68:BN71)*$J68:$J71,0))+ROUND($J73*(0&amp;BN73),0)+SUMPRODUCT(ROUND((0&amp;BN75:BN86)*$J75:$J86,0))</f>
        <v>0</v>
      </c>
      <c r="BO93" s="883">
        <f t="shared" ref="BO93" ca="1" si="201">SUMPRODUCT(ROUND((0&amp;BO68:BO71)*$K68:$K71,0))+ROUND($K73*(0&amp;BO73),0)+SUMPRODUCT(ROUND((0&amp;BO75:BO86)*$K75:$K86,0))</f>
        <v>0</v>
      </c>
      <c r="BP93" s="841"/>
    </row>
    <row r="94" spans="1:68" ht="20.100000000000001" customHeight="1">
      <c r="A94" s="823"/>
      <c r="B94" s="1872"/>
      <c r="C94" s="1872"/>
      <c r="D94" s="824" t="s">
        <v>4454</v>
      </c>
      <c r="E94" s="824" t="s">
        <v>4601</v>
      </c>
      <c r="F94" s="849" t="s">
        <v>4455</v>
      </c>
      <c r="G94" s="826" t="s">
        <v>4451</v>
      </c>
      <c r="H94" s="882"/>
      <c r="I94" s="882"/>
      <c r="J94" s="882"/>
      <c r="K94" s="882"/>
      <c r="L94" s="884">
        <f ca="1">SUM(L91:L93)</f>
        <v>0</v>
      </c>
      <c r="M94" s="884">
        <f t="shared" ref="M94:O94" ca="1" si="202">SUM(M91:M93)</f>
        <v>0</v>
      </c>
      <c r="N94" s="884">
        <f t="shared" ca="1" si="202"/>
        <v>0</v>
      </c>
      <c r="O94" s="884">
        <f t="shared" ca="1" si="202"/>
        <v>0</v>
      </c>
      <c r="P94" s="885">
        <f ca="1">SUM(P91:P93)</f>
        <v>0</v>
      </c>
      <c r="Q94" s="885">
        <f t="shared" ref="Q94:S94" ca="1" si="203">SUM(Q91:Q93)</f>
        <v>0</v>
      </c>
      <c r="R94" s="885">
        <f t="shared" ca="1" si="203"/>
        <v>0</v>
      </c>
      <c r="S94" s="885">
        <f t="shared" ca="1" si="203"/>
        <v>0</v>
      </c>
      <c r="T94" s="828">
        <f t="shared" ref="T94:W94" ca="1" si="204">SUM(X94,AB94,AF94,AJ94,AN94,AR94,AV94,AZ94,BD94,BH94,BL94)</f>
        <v>0</v>
      </c>
      <c r="U94" s="828">
        <f t="shared" ca="1" si="204"/>
        <v>0</v>
      </c>
      <c r="V94" s="828">
        <f t="shared" ca="1" si="204"/>
        <v>0</v>
      </c>
      <c r="W94" s="828">
        <f t="shared" ca="1" si="204"/>
        <v>0</v>
      </c>
      <c r="X94" s="885">
        <f ca="1">SUM(X91:X93)</f>
        <v>0</v>
      </c>
      <c r="Y94" s="885">
        <f t="shared" ref="Y94:AA94" ca="1" si="205">SUM(Y91:Y93)</f>
        <v>0</v>
      </c>
      <c r="Z94" s="885">
        <f t="shared" ca="1" si="205"/>
        <v>0</v>
      </c>
      <c r="AA94" s="885">
        <f t="shared" ca="1" si="205"/>
        <v>0</v>
      </c>
      <c r="AB94" s="885">
        <f ca="1">SUM(AB91:AB93)</f>
        <v>0</v>
      </c>
      <c r="AC94" s="885">
        <f t="shared" ref="AC94:AE94" ca="1" si="206">SUM(AC91:AC93)</f>
        <v>0</v>
      </c>
      <c r="AD94" s="885">
        <f t="shared" ca="1" si="206"/>
        <v>0</v>
      </c>
      <c r="AE94" s="885">
        <f t="shared" ca="1" si="206"/>
        <v>0</v>
      </c>
      <c r="AF94" s="885">
        <f ca="1">SUM(AF91:AF93)</f>
        <v>0</v>
      </c>
      <c r="AG94" s="885">
        <f t="shared" ref="AG94:AI94" ca="1" si="207">SUM(AG91:AG93)</f>
        <v>0</v>
      </c>
      <c r="AH94" s="885">
        <f t="shared" ca="1" si="207"/>
        <v>0</v>
      </c>
      <c r="AI94" s="885">
        <f t="shared" ca="1" si="207"/>
        <v>0</v>
      </c>
      <c r="AJ94" s="885">
        <f ca="1">SUM(AJ91:AJ93)</f>
        <v>0</v>
      </c>
      <c r="AK94" s="885">
        <f t="shared" ref="AK94:AM94" ca="1" si="208">SUM(AK91:AK93)</f>
        <v>0</v>
      </c>
      <c r="AL94" s="885">
        <f t="shared" ca="1" si="208"/>
        <v>0</v>
      </c>
      <c r="AM94" s="885">
        <f t="shared" ca="1" si="208"/>
        <v>0</v>
      </c>
      <c r="AN94" s="885">
        <f ca="1">SUM(AN91:AN93)</f>
        <v>0</v>
      </c>
      <c r="AO94" s="885">
        <f t="shared" ref="AO94:AQ94" ca="1" si="209">SUM(AO91:AO93)</f>
        <v>0</v>
      </c>
      <c r="AP94" s="885">
        <f t="shared" ca="1" si="209"/>
        <v>0</v>
      </c>
      <c r="AQ94" s="885">
        <f t="shared" ca="1" si="209"/>
        <v>0</v>
      </c>
      <c r="AR94" s="885">
        <f ca="1">SUM(AR91:AR93)</f>
        <v>0</v>
      </c>
      <c r="AS94" s="885">
        <f t="shared" ref="AS94:AU94" ca="1" si="210">SUM(AS91:AS93)</f>
        <v>0</v>
      </c>
      <c r="AT94" s="885">
        <f t="shared" ca="1" si="210"/>
        <v>0</v>
      </c>
      <c r="AU94" s="885">
        <f t="shared" ca="1" si="210"/>
        <v>0</v>
      </c>
      <c r="AV94" s="885">
        <f ca="1">SUM(AV91:AV93)</f>
        <v>0</v>
      </c>
      <c r="AW94" s="885">
        <f t="shared" ref="AW94:AY94" ca="1" si="211">SUM(AW91:AW93)</f>
        <v>0</v>
      </c>
      <c r="AX94" s="885">
        <f t="shared" ca="1" si="211"/>
        <v>0</v>
      </c>
      <c r="AY94" s="885">
        <f t="shared" ca="1" si="211"/>
        <v>0</v>
      </c>
      <c r="AZ94" s="885">
        <f ca="1">SUM(AZ91:AZ93)</f>
        <v>0</v>
      </c>
      <c r="BA94" s="885">
        <f t="shared" ref="BA94:BC94" ca="1" si="212">SUM(BA91:BA93)</f>
        <v>0</v>
      </c>
      <c r="BB94" s="885">
        <f t="shared" ca="1" si="212"/>
        <v>0</v>
      </c>
      <c r="BC94" s="885">
        <f t="shared" ca="1" si="212"/>
        <v>0</v>
      </c>
      <c r="BD94" s="885">
        <f ca="1">SUM(BD91:BD93)</f>
        <v>0</v>
      </c>
      <c r="BE94" s="885">
        <f t="shared" ref="BE94:BG94" ca="1" si="213">SUM(BE91:BE93)</f>
        <v>0</v>
      </c>
      <c r="BF94" s="885">
        <f t="shared" ca="1" si="213"/>
        <v>0</v>
      </c>
      <c r="BG94" s="885">
        <f t="shared" ca="1" si="213"/>
        <v>0</v>
      </c>
      <c r="BH94" s="885">
        <f ca="1">SUM(BH91:BH93)</f>
        <v>0</v>
      </c>
      <c r="BI94" s="885">
        <f t="shared" ref="BI94:BK94" ca="1" si="214">SUM(BI91:BI93)</f>
        <v>0</v>
      </c>
      <c r="BJ94" s="885">
        <f t="shared" ca="1" si="214"/>
        <v>0</v>
      </c>
      <c r="BK94" s="885">
        <f t="shared" ca="1" si="214"/>
        <v>0</v>
      </c>
      <c r="BL94" s="885">
        <f ca="1">SUM(BL91:BL93)</f>
        <v>0</v>
      </c>
      <c r="BM94" s="885">
        <f t="shared" ref="BM94:BO94" ca="1" si="215">SUM(BM91:BM93)</f>
        <v>0</v>
      </c>
      <c r="BN94" s="885">
        <f t="shared" ca="1" si="215"/>
        <v>0</v>
      </c>
      <c r="BO94" s="885">
        <f t="shared" ca="1" si="215"/>
        <v>0</v>
      </c>
      <c r="BP94" s="841"/>
    </row>
    <row r="95" spans="1:68" ht="20.100000000000001" customHeight="1">
      <c r="A95" s="823"/>
      <c r="B95" s="886" t="s">
        <v>4602</v>
      </c>
      <c r="C95" s="887"/>
      <c r="D95" s="824"/>
      <c r="E95" s="824" t="s">
        <v>4603</v>
      </c>
      <c r="F95" s="849" t="s">
        <v>4456</v>
      </c>
      <c r="G95" s="826" t="s">
        <v>4604</v>
      </c>
      <c r="H95" s="882"/>
      <c r="I95" s="882"/>
      <c r="J95" s="882"/>
      <c r="K95" s="882"/>
      <c r="L95" s="884">
        <f ca="1">ROUND(L94*0.0258,0)</f>
        <v>0</v>
      </c>
      <c r="M95" s="884">
        <f t="shared" ref="M95:BO95" ca="1" si="216">ROUND(M94*0.0258,0)</f>
        <v>0</v>
      </c>
      <c r="N95" s="884">
        <f t="shared" ca="1" si="216"/>
        <v>0</v>
      </c>
      <c r="O95" s="884">
        <f t="shared" ca="1" si="216"/>
        <v>0</v>
      </c>
      <c r="P95" s="884">
        <f t="shared" ca="1" si="216"/>
        <v>0</v>
      </c>
      <c r="Q95" s="884">
        <f t="shared" ca="1" si="216"/>
        <v>0</v>
      </c>
      <c r="R95" s="884">
        <f t="shared" ca="1" si="216"/>
        <v>0</v>
      </c>
      <c r="S95" s="884">
        <f t="shared" ca="1" si="216"/>
        <v>0</v>
      </c>
      <c r="T95" s="884">
        <f t="shared" ca="1" si="216"/>
        <v>0</v>
      </c>
      <c r="U95" s="884">
        <f t="shared" ca="1" si="216"/>
        <v>0</v>
      </c>
      <c r="V95" s="884">
        <f t="shared" ca="1" si="216"/>
        <v>0</v>
      </c>
      <c r="W95" s="884">
        <f t="shared" ca="1" si="216"/>
        <v>0</v>
      </c>
      <c r="X95" s="884">
        <f t="shared" ca="1" si="216"/>
        <v>0</v>
      </c>
      <c r="Y95" s="884">
        <f t="shared" ca="1" si="216"/>
        <v>0</v>
      </c>
      <c r="Z95" s="884">
        <f t="shared" ca="1" si="216"/>
        <v>0</v>
      </c>
      <c r="AA95" s="884">
        <f t="shared" ca="1" si="216"/>
        <v>0</v>
      </c>
      <c r="AB95" s="884">
        <f t="shared" ca="1" si="216"/>
        <v>0</v>
      </c>
      <c r="AC95" s="884">
        <f t="shared" ca="1" si="216"/>
        <v>0</v>
      </c>
      <c r="AD95" s="884">
        <f t="shared" ca="1" si="216"/>
        <v>0</v>
      </c>
      <c r="AE95" s="884">
        <f t="shared" ca="1" si="216"/>
        <v>0</v>
      </c>
      <c r="AF95" s="884">
        <f t="shared" ca="1" si="216"/>
        <v>0</v>
      </c>
      <c r="AG95" s="884">
        <f t="shared" ca="1" si="216"/>
        <v>0</v>
      </c>
      <c r="AH95" s="884">
        <f t="shared" ca="1" si="216"/>
        <v>0</v>
      </c>
      <c r="AI95" s="884">
        <f t="shared" ca="1" si="216"/>
        <v>0</v>
      </c>
      <c r="AJ95" s="884">
        <f t="shared" ca="1" si="216"/>
        <v>0</v>
      </c>
      <c r="AK95" s="884">
        <f t="shared" ca="1" si="216"/>
        <v>0</v>
      </c>
      <c r="AL95" s="884">
        <f t="shared" ca="1" si="216"/>
        <v>0</v>
      </c>
      <c r="AM95" s="884">
        <f t="shared" ca="1" si="216"/>
        <v>0</v>
      </c>
      <c r="AN95" s="884">
        <f t="shared" ca="1" si="216"/>
        <v>0</v>
      </c>
      <c r="AO95" s="884">
        <f t="shared" ca="1" si="216"/>
        <v>0</v>
      </c>
      <c r="AP95" s="884">
        <f t="shared" ca="1" si="216"/>
        <v>0</v>
      </c>
      <c r="AQ95" s="884">
        <f t="shared" ca="1" si="216"/>
        <v>0</v>
      </c>
      <c r="AR95" s="884">
        <f t="shared" ca="1" si="216"/>
        <v>0</v>
      </c>
      <c r="AS95" s="884">
        <f t="shared" ca="1" si="216"/>
        <v>0</v>
      </c>
      <c r="AT95" s="884">
        <f t="shared" ca="1" si="216"/>
        <v>0</v>
      </c>
      <c r="AU95" s="884">
        <f t="shared" ca="1" si="216"/>
        <v>0</v>
      </c>
      <c r="AV95" s="884">
        <f t="shared" ca="1" si="216"/>
        <v>0</v>
      </c>
      <c r="AW95" s="884">
        <f t="shared" ca="1" si="216"/>
        <v>0</v>
      </c>
      <c r="AX95" s="884">
        <f t="shared" ca="1" si="216"/>
        <v>0</v>
      </c>
      <c r="AY95" s="884">
        <f t="shared" ca="1" si="216"/>
        <v>0</v>
      </c>
      <c r="AZ95" s="884">
        <f t="shared" ca="1" si="216"/>
        <v>0</v>
      </c>
      <c r="BA95" s="884">
        <f t="shared" ca="1" si="216"/>
        <v>0</v>
      </c>
      <c r="BB95" s="884">
        <f t="shared" ca="1" si="216"/>
        <v>0</v>
      </c>
      <c r="BC95" s="884">
        <f t="shared" ca="1" si="216"/>
        <v>0</v>
      </c>
      <c r="BD95" s="884">
        <f t="shared" ca="1" si="216"/>
        <v>0</v>
      </c>
      <c r="BE95" s="884">
        <f t="shared" ca="1" si="216"/>
        <v>0</v>
      </c>
      <c r="BF95" s="884">
        <f t="shared" ca="1" si="216"/>
        <v>0</v>
      </c>
      <c r="BG95" s="884">
        <f t="shared" ca="1" si="216"/>
        <v>0</v>
      </c>
      <c r="BH95" s="884">
        <f t="shared" ca="1" si="216"/>
        <v>0</v>
      </c>
      <c r="BI95" s="884">
        <f t="shared" ca="1" si="216"/>
        <v>0</v>
      </c>
      <c r="BJ95" s="884">
        <f t="shared" ca="1" si="216"/>
        <v>0</v>
      </c>
      <c r="BK95" s="884">
        <f t="shared" ca="1" si="216"/>
        <v>0</v>
      </c>
      <c r="BL95" s="884">
        <f t="shared" ca="1" si="216"/>
        <v>0</v>
      </c>
      <c r="BM95" s="884">
        <f t="shared" ca="1" si="216"/>
        <v>0</v>
      </c>
      <c r="BN95" s="884">
        <f t="shared" ca="1" si="216"/>
        <v>0</v>
      </c>
      <c r="BO95" s="884">
        <f t="shared" ca="1" si="216"/>
        <v>0</v>
      </c>
      <c r="BP95" s="841"/>
    </row>
    <row r="96" spans="1:68" ht="20.100000000000001" customHeight="1">
      <c r="A96" s="823"/>
      <c r="B96" s="1894" t="s">
        <v>4605</v>
      </c>
      <c r="C96" s="1894"/>
      <c r="D96" s="852" t="s">
        <v>4606</v>
      </c>
      <c r="E96" s="824"/>
      <c r="F96" s="849" t="s">
        <v>4457</v>
      </c>
      <c r="G96" s="826" t="s">
        <v>4604</v>
      </c>
      <c r="H96" s="882"/>
      <c r="I96" s="882"/>
      <c r="J96" s="882"/>
      <c r="K96" s="882"/>
      <c r="L96" s="884">
        <f ca="1">ROUND((L94-SUMPRODUCT(ROUND((0&amp;L38:L56)*$H38:$H56,0))+SUMPRODUCT(ROUND((0&amp;L38:L56)*0.8*$H38:$H56,0)))*0.0258,0)</f>
        <v>0</v>
      </c>
      <c r="M96" s="884">
        <f ca="1">ROUND((M94-SUMPRODUCT(ROUND((0&amp;M38:M56)*$I38:$I56,0))+SUMPRODUCT(ROUND((0&amp;M38:M56)*0.8*$I38:$I56,0)))*0.0258,0)</f>
        <v>0</v>
      </c>
      <c r="N96" s="884">
        <f ca="1">ROUND((N94-SUMPRODUCT(ROUND((0&amp;N38:N56)*$J38:$J56,0))+SUMPRODUCT(ROUND((0&amp;N38:N56)*0.8*$J38:$J56,0)))*0.0258,0)</f>
        <v>0</v>
      </c>
      <c r="O96" s="884">
        <f ca="1">ROUND((O94-SUMPRODUCT(ROUND((0&amp;O38:O56)*$K38:$K56,0))+SUMPRODUCT(ROUND((0&amp;O38:O56)*0.8*$K38:$K56,0)))*0.0258,0)</f>
        <v>0</v>
      </c>
      <c r="P96" s="884">
        <f t="shared" ref="P96" ca="1" si="217">ROUND((P94-SUMPRODUCT(ROUND((0&amp;P38:P56)*$H38:$H56,0))+SUMPRODUCT(ROUND((0&amp;P38:P56)*0.8*$H38:$H56,0)))*0.0258,0)</f>
        <v>0</v>
      </c>
      <c r="Q96" s="884">
        <f t="shared" ref="Q96" ca="1" si="218">ROUND((Q94-SUMPRODUCT(ROUND((0&amp;Q38:Q56)*$I38:$I56,0))+SUMPRODUCT(ROUND((0&amp;Q38:Q56)*0.8*$I38:$I56,0)))*0.0258,0)</f>
        <v>0</v>
      </c>
      <c r="R96" s="884">
        <f t="shared" ref="R96" ca="1" si="219">ROUND((R94-SUMPRODUCT(ROUND((0&amp;R38:R56)*$J38:$J56,0))+SUMPRODUCT(ROUND((0&amp;R38:R56)*0.8*$J38:$J56,0)))*0.0258,0)</f>
        <v>0</v>
      </c>
      <c r="S96" s="884">
        <f t="shared" ref="S96" ca="1" si="220">ROUND((S94-SUMPRODUCT(ROUND((0&amp;S38:S56)*$K38:$K56,0))+SUMPRODUCT(ROUND((0&amp;S38:S56)*0.8*$K38:$K56,0)))*0.0258,0)</f>
        <v>0</v>
      </c>
      <c r="T96" s="884">
        <f t="shared" ref="T96" ca="1" si="221">ROUND((T94-SUMPRODUCT(ROUND((0&amp;T38:T56)*$H38:$H56,0))+SUMPRODUCT(ROUND((0&amp;T38:T56)*0.8*$H38:$H56,0)))*0.0258,0)</f>
        <v>0</v>
      </c>
      <c r="U96" s="884">
        <f t="shared" ref="U96" ca="1" si="222">ROUND((U94-SUMPRODUCT(ROUND((0&amp;U38:U56)*$I38:$I56,0))+SUMPRODUCT(ROUND((0&amp;U38:U56)*0.8*$I38:$I56,0)))*0.0258,0)</f>
        <v>0</v>
      </c>
      <c r="V96" s="884">
        <f t="shared" ref="V96" ca="1" si="223">ROUND((V94-SUMPRODUCT(ROUND((0&amp;V38:V56)*$J38:$J56,0))+SUMPRODUCT(ROUND((0&amp;V38:V56)*0.8*$J38:$J56,0)))*0.0258,0)</f>
        <v>0</v>
      </c>
      <c r="W96" s="884">
        <f t="shared" ref="W96" ca="1" si="224">ROUND((W94-SUMPRODUCT(ROUND((0&amp;W38:W56)*$K38:$K56,0))+SUMPRODUCT(ROUND((0&amp;W38:W56)*0.8*$K38:$K56,0)))*0.0258,0)</f>
        <v>0</v>
      </c>
      <c r="X96" s="884">
        <f t="shared" ref="X96" ca="1" si="225">ROUND((X94-SUMPRODUCT(ROUND((0&amp;X38:X56)*$H38:$H56,0))+SUMPRODUCT(ROUND((0&amp;X38:X56)*0.8*$H38:$H56,0)))*0.0258,0)</f>
        <v>0</v>
      </c>
      <c r="Y96" s="884">
        <f t="shared" ref="Y96" ca="1" si="226">ROUND((Y94-SUMPRODUCT(ROUND((0&amp;Y38:Y56)*$I38:$I56,0))+SUMPRODUCT(ROUND((0&amp;Y38:Y56)*0.8*$I38:$I56,0)))*0.0258,0)</f>
        <v>0</v>
      </c>
      <c r="Z96" s="884">
        <f t="shared" ref="Z96" ca="1" si="227">ROUND((Z94-SUMPRODUCT(ROUND((0&amp;Z38:Z56)*$J38:$J56,0))+SUMPRODUCT(ROUND((0&amp;Z38:Z56)*0.8*$J38:$J56,0)))*0.0258,0)</f>
        <v>0</v>
      </c>
      <c r="AA96" s="884">
        <f t="shared" ref="AA96" ca="1" si="228">ROUND((AA94-SUMPRODUCT(ROUND((0&amp;AA38:AA56)*$K38:$K56,0))+SUMPRODUCT(ROUND((0&amp;AA38:AA56)*0.8*$K38:$K56,0)))*0.0258,0)</f>
        <v>0</v>
      </c>
      <c r="AB96" s="884">
        <f t="shared" ref="AB96" ca="1" si="229">ROUND((AB94-SUMPRODUCT(ROUND((0&amp;AB38:AB56)*$H38:$H56,0))+SUMPRODUCT(ROUND((0&amp;AB38:AB56)*0.8*$H38:$H56,0)))*0.0258,0)</f>
        <v>0</v>
      </c>
      <c r="AC96" s="884">
        <f t="shared" ref="AC96" ca="1" si="230">ROUND((AC94-SUMPRODUCT(ROUND((0&amp;AC38:AC56)*$I38:$I56,0))+SUMPRODUCT(ROUND((0&amp;AC38:AC56)*0.8*$I38:$I56,0)))*0.0258,0)</f>
        <v>0</v>
      </c>
      <c r="AD96" s="884">
        <f t="shared" ref="AD96" ca="1" si="231">ROUND((AD94-SUMPRODUCT(ROUND((0&amp;AD38:AD56)*$J38:$J56,0))+SUMPRODUCT(ROUND((0&amp;AD38:AD56)*0.8*$J38:$J56,0)))*0.0258,0)</f>
        <v>0</v>
      </c>
      <c r="AE96" s="884">
        <f t="shared" ref="AE96" ca="1" si="232">ROUND((AE94-SUMPRODUCT(ROUND((0&amp;AE38:AE56)*$K38:$K56,0))+SUMPRODUCT(ROUND((0&amp;AE38:AE56)*0.8*$K38:$K56,0)))*0.0258,0)</f>
        <v>0</v>
      </c>
      <c r="AF96" s="884">
        <f t="shared" ref="AF96" ca="1" si="233">ROUND((AF94-SUMPRODUCT(ROUND((0&amp;AF38:AF56)*$H38:$H56,0))+SUMPRODUCT(ROUND((0&amp;AF38:AF56)*0.8*$H38:$H56,0)))*0.0258,0)</f>
        <v>0</v>
      </c>
      <c r="AG96" s="884">
        <f t="shared" ref="AG96" ca="1" si="234">ROUND((AG94-SUMPRODUCT(ROUND((0&amp;AG38:AG56)*$I38:$I56,0))+SUMPRODUCT(ROUND((0&amp;AG38:AG56)*0.8*$I38:$I56,0)))*0.0258,0)</f>
        <v>0</v>
      </c>
      <c r="AH96" s="884">
        <f t="shared" ref="AH96" ca="1" si="235">ROUND((AH94-SUMPRODUCT(ROUND((0&amp;AH38:AH56)*$J38:$J56,0))+SUMPRODUCT(ROUND((0&amp;AH38:AH56)*0.8*$J38:$J56,0)))*0.0258,0)</f>
        <v>0</v>
      </c>
      <c r="AI96" s="884">
        <f t="shared" ref="AI96" ca="1" si="236">ROUND((AI94-SUMPRODUCT(ROUND((0&amp;AI38:AI56)*$K38:$K56,0))+SUMPRODUCT(ROUND((0&amp;AI38:AI56)*0.8*$K38:$K56,0)))*0.0258,0)</f>
        <v>0</v>
      </c>
      <c r="AJ96" s="884">
        <f t="shared" ref="AJ96" ca="1" si="237">ROUND((AJ94-SUMPRODUCT(ROUND((0&amp;AJ38:AJ56)*$H38:$H56,0))+SUMPRODUCT(ROUND((0&amp;AJ38:AJ56)*0.8*$H38:$H56,0)))*0.0258,0)</f>
        <v>0</v>
      </c>
      <c r="AK96" s="884">
        <f t="shared" ref="AK96" ca="1" si="238">ROUND((AK94-SUMPRODUCT(ROUND((0&amp;AK38:AK56)*$I38:$I56,0))+SUMPRODUCT(ROUND((0&amp;AK38:AK56)*0.8*$I38:$I56,0)))*0.0258,0)</f>
        <v>0</v>
      </c>
      <c r="AL96" s="884">
        <f t="shared" ref="AL96" ca="1" si="239">ROUND((AL94-SUMPRODUCT(ROUND((0&amp;AL38:AL56)*$J38:$J56,0))+SUMPRODUCT(ROUND((0&amp;AL38:AL56)*0.8*$J38:$J56,0)))*0.0258,0)</f>
        <v>0</v>
      </c>
      <c r="AM96" s="884">
        <f t="shared" ref="AM96" ca="1" si="240">ROUND((AM94-SUMPRODUCT(ROUND((0&amp;AM38:AM56)*$K38:$K56,0))+SUMPRODUCT(ROUND((0&amp;AM38:AM56)*0.8*$K38:$K56,0)))*0.0258,0)</f>
        <v>0</v>
      </c>
      <c r="AN96" s="884">
        <f t="shared" ref="AN96" ca="1" si="241">ROUND((AN94-SUMPRODUCT(ROUND((0&amp;AN38:AN56)*$H38:$H56,0))+SUMPRODUCT(ROUND((0&amp;AN38:AN56)*0.8*$H38:$H56,0)))*0.0258,0)</f>
        <v>0</v>
      </c>
      <c r="AO96" s="884">
        <f t="shared" ref="AO96" ca="1" si="242">ROUND((AO94-SUMPRODUCT(ROUND((0&amp;AO38:AO56)*$I38:$I56,0))+SUMPRODUCT(ROUND((0&amp;AO38:AO56)*0.8*$I38:$I56,0)))*0.0258,0)</f>
        <v>0</v>
      </c>
      <c r="AP96" s="884">
        <f t="shared" ref="AP96" ca="1" si="243">ROUND((AP94-SUMPRODUCT(ROUND((0&amp;AP38:AP56)*$J38:$J56,0))+SUMPRODUCT(ROUND((0&amp;AP38:AP56)*0.8*$J38:$J56,0)))*0.0258,0)</f>
        <v>0</v>
      </c>
      <c r="AQ96" s="884">
        <f t="shared" ref="AQ96" ca="1" si="244">ROUND((AQ94-SUMPRODUCT(ROUND((0&amp;AQ38:AQ56)*$K38:$K56,0))+SUMPRODUCT(ROUND((0&amp;AQ38:AQ56)*0.8*$K38:$K56,0)))*0.0258,0)</f>
        <v>0</v>
      </c>
      <c r="AR96" s="884">
        <f t="shared" ref="AR96" ca="1" si="245">ROUND((AR94-SUMPRODUCT(ROUND((0&amp;AR38:AR56)*$H38:$H56,0))+SUMPRODUCT(ROUND((0&amp;AR38:AR56)*0.8*$H38:$H56,0)))*0.0258,0)</f>
        <v>0</v>
      </c>
      <c r="AS96" s="884">
        <f t="shared" ref="AS96" ca="1" si="246">ROUND((AS94-SUMPRODUCT(ROUND((0&amp;AS38:AS56)*$I38:$I56,0))+SUMPRODUCT(ROUND((0&amp;AS38:AS56)*0.8*$I38:$I56,0)))*0.0258,0)</f>
        <v>0</v>
      </c>
      <c r="AT96" s="884">
        <f t="shared" ref="AT96" ca="1" si="247">ROUND((AT94-SUMPRODUCT(ROUND((0&amp;AT38:AT56)*$J38:$J56,0))+SUMPRODUCT(ROUND((0&amp;AT38:AT56)*0.8*$J38:$J56,0)))*0.0258,0)</f>
        <v>0</v>
      </c>
      <c r="AU96" s="884">
        <f t="shared" ref="AU96" ca="1" si="248">ROUND((AU94-SUMPRODUCT(ROUND((0&amp;AU38:AU56)*$K38:$K56,0))+SUMPRODUCT(ROUND((0&amp;AU38:AU56)*0.8*$K38:$K56,0)))*0.0258,0)</f>
        <v>0</v>
      </c>
      <c r="AV96" s="884">
        <f t="shared" ref="AV96" ca="1" si="249">ROUND((AV94-SUMPRODUCT(ROUND((0&amp;AV38:AV56)*$H38:$H56,0))+SUMPRODUCT(ROUND((0&amp;AV38:AV56)*0.8*$H38:$H56,0)))*0.0258,0)</f>
        <v>0</v>
      </c>
      <c r="AW96" s="884">
        <f t="shared" ref="AW96" ca="1" si="250">ROUND((AW94-SUMPRODUCT(ROUND((0&amp;AW38:AW56)*$I38:$I56,0))+SUMPRODUCT(ROUND((0&amp;AW38:AW56)*0.8*$I38:$I56,0)))*0.0258,0)</f>
        <v>0</v>
      </c>
      <c r="AX96" s="884">
        <f t="shared" ref="AX96" ca="1" si="251">ROUND((AX94-SUMPRODUCT(ROUND((0&amp;AX38:AX56)*$J38:$J56,0))+SUMPRODUCT(ROUND((0&amp;AX38:AX56)*0.8*$J38:$J56,0)))*0.0258,0)</f>
        <v>0</v>
      </c>
      <c r="AY96" s="884">
        <f t="shared" ref="AY96" ca="1" si="252">ROUND((AY94-SUMPRODUCT(ROUND((0&amp;AY38:AY56)*$K38:$K56,0))+SUMPRODUCT(ROUND((0&amp;AY38:AY56)*0.8*$K38:$K56,0)))*0.0258,0)</f>
        <v>0</v>
      </c>
      <c r="AZ96" s="884">
        <f t="shared" ref="AZ96" ca="1" si="253">ROUND((AZ94-SUMPRODUCT(ROUND((0&amp;AZ38:AZ56)*$H38:$H56,0))+SUMPRODUCT(ROUND((0&amp;AZ38:AZ56)*0.8*$H38:$H56,0)))*0.0258,0)</f>
        <v>0</v>
      </c>
      <c r="BA96" s="884">
        <f t="shared" ref="BA96" ca="1" si="254">ROUND((BA94-SUMPRODUCT(ROUND((0&amp;BA38:BA56)*$I38:$I56,0))+SUMPRODUCT(ROUND((0&amp;BA38:BA56)*0.8*$I38:$I56,0)))*0.0258,0)</f>
        <v>0</v>
      </c>
      <c r="BB96" s="884">
        <f t="shared" ref="BB96" ca="1" si="255">ROUND((BB94-SUMPRODUCT(ROUND((0&amp;BB38:BB56)*$J38:$J56,0))+SUMPRODUCT(ROUND((0&amp;BB38:BB56)*0.8*$J38:$J56,0)))*0.0258,0)</f>
        <v>0</v>
      </c>
      <c r="BC96" s="884">
        <f t="shared" ref="BC96" ca="1" si="256">ROUND((BC94-SUMPRODUCT(ROUND((0&amp;BC38:BC56)*$K38:$K56,0))+SUMPRODUCT(ROUND((0&amp;BC38:BC56)*0.8*$K38:$K56,0)))*0.0258,0)</f>
        <v>0</v>
      </c>
      <c r="BD96" s="884">
        <f t="shared" ref="BD96" ca="1" si="257">ROUND((BD94-SUMPRODUCT(ROUND((0&amp;BD38:BD56)*$H38:$H56,0))+SUMPRODUCT(ROUND((0&amp;BD38:BD56)*0.8*$H38:$H56,0)))*0.0258,0)</f>
        <v>0</v>
      </c>
      <c r="BE96" s="884">
        <f t="shared" ref="BE96" ca="1" si="258">ROUND((BE94-SUMPRODUCT(ROUND((0&amp;BE38:BE56)*$I38:$I56,0))+SUMPRODUCT(ROUND((0&amp;BE38:BE56)*0.8*$I38:$I56,0)))*0.0258,0)</f>
        <v>0</v>
      </c>
      <c r="BF96" s="884">
        <f t="shared" ref="BF96" ca="1" si="259">ROUND((BF94-SUMPRODUCT(ROUND((0&amp;BF38:BF56)*$J38:$J56,0))+SUMPRODUCT(ROUND((0&amp;BF38:BF56)*0.8*$J38:$J56,0)))*0.0258,0)</f>
        <v>0</v>
      </c>
      <c r="BG96" s="884">
        <f t="shared" ref="BG96" ca="1" si="260">ROUND((BG94-SUMPRODUCT(ROUND((0&amp;BG38:BG56)*$K38:$K56,0))+SUMPRODUCT(ROUND((0&amp;BG38:BG56)*0.8*$K38:$K56,0)))*0.0258,0)</f>
        <v>0</v>
      </c>
      <c r="BH96" s="884">
        <f t="shared" ref="BH96" ca="1" si="261">ROUND((BH94-SUMPRODUCT(ROUND((0&amp;BH38:BH56)*$H38:$H56,0))+SUMPRODUCT(ROUND((0&amp;BH38:BH56)*0.8*$H38:$H56,0)))*0.0258,0)</f>
        <v>0</v>
      </c>
      <c r="BI96" s="884">
        <f t="shared" ref="BI96" ca="1" si="262">ROUND((BI94-SUMPRODUCT(ROUND((0&amp;BI38:BI56)*$I38:$I56,0))+SUMPRODUCT(ROUND((0&amp;BI38:BI56)*0.8*$I38:$I56,0)))*0.0258,0)</f>
        <v>0</v>
      </c>
      <c r="BJ96" s="884">
        <f t="shared" ref="BJ96" ca="1" si="263">ROUND((BJ94-SUMPRODUCT(ROUND((0&amp;BJ38:BJ56)*$J38:$J56,0))+SUMPRODUCT(ROUND((0&amp;BJ38:BJ56)*0.8*$J38:$J56,0)))*0.0258,0)</f>
        <v>0</v>
      </c>
      <c r="BK96" s="884">
        <f t="shared" ref="BK96" ca="1" si="264">ROUND((BK94-SUMPRODUCT(ROUND((0&amp;BK38:BK56)*$K38:$K56,0))+SUMPRODUCT(ROUND((0&amp;BK38:BK56)*0.8*$K38:$K56,0)))*0.0258,0)</f>
        <v>0</v>
      </c>
      <c r="BL96" s="884">
        <f t="shared" ref="BL96" ca="1" si="265">ROUND((BL94-SUMPRODUCT(ROUND((0&amp;BL38:BL56)*$H38:$H56,0))+SUMPRODUCT(ROUND((0&amp;BL38:BL56)*0.8*$H38:$H56,0)))*0.0258,0)</f>
        <v>0</v>
      </c>
      <c r="BM96" s="884">
        <f t="shared" ref="BM96" ca="1" si="266">ROUND((BM94-SUMPRODUCT(ROUND((0&amp;BM38:BM56)*$I38:$I56,0))+SUMPRODUCT(ROUND((0&amp;BM38:BM56)*0.8*$I38:$I56,0)))*0.0258,0)</f>
        <v>0</v>
      </c>
      <c r="BN96" s="884">
        <f t="shared" ref="BN96" ca="1" si="267">ROUND((BN94-SUMPRODUCT(ROUND((0&amp;BN38:BN56)*$J38:$J56,0))+SUMPRODUCT(ROUND((0&amp;BN38:BN56)*0.8*$J38:$J56,0)))*0.0258,0)</f>
        <v>0</v>
      </c>
      <c r="BO96" s="884">
        <f t="shared" ref="BO96" ca="1" si="268">ROUND((BO94-SUMPRODUCT(ROUND((0&amp;BO38:BO56)*$K38:$K56,0))+SUMPRODUCT(ROUND((0&amp;BO38:BO56)*0.8*$K38:$K56,0)))*0.0258,0)</f>
        <v>0</v>
      </c>
      <c r="BP96" s="841"/>
    </row>
    <row r="97" spans="1:68" ht="19.5" customHeight="1">
      <c r="A97" s="823"/>
      <c r="B97" s="1894"/>
      <c r="C97" s="1894"/>
      <c r="D97" s="888" t="s">
        <v>4607</v>
      </c>
      <c r="E97" s="889"/>
      <c r="F97" s="890" t="s">
        <v>4458</v>
      </c>
      <c r="G97" s="891" t="s">
        <v>4122</v>
      </c>
      <c r="H97" s="882"/>
      <c r="I97" s="882"/>
      <c r="J97" s="882"/>
      <c r="K97" s="882"/>
      <c r="L97" s="884">
        <f t="shared" ref="L97:O97" ca="1" si="269">L344</f>
        <v>0</v>
      </c>
      <c r="M97" s="884">
        <f t="shared" ca="1" si="269"/>
        <v>0</v>
      </c>
      <c r="N97" s="884">
        <f t="shared" ca="1" si="269"/>
        <v>0</v>
      </c>
      <c r="O97" s="884">
        <f t="shared" ca="1" si="269"/>
        <v>0</v>
      </c>
      <c r="P97" s="828">
        <f ca="1">P344</f>
        <v>0</v>
      </c>
      <c r="Q97" s="828">
        <f t="shared" ref="Q97:W97" ca="1" si="270">Q344</f>
        <v>0</v>
      </c>
      <c r="R97" s="828">
        <f t="shared" ca="1" si="270"/>
        <v>0</v>
      </c>
      <c r="S97" s="828">
        <f t="shared" ca="1" si="270"/>
        <v>0</v>
      </c>
      <c r="T97" s="884">
        <f t="shared" ca="1" si="270"/>
        <v>0</v>
      </c>
      <c r="U97" s="884">
        <f t="shared" ca="1" si="270"/>
        <v>0</v>
      </c>
      <c r="V97" s="884">
        <f t="shared" ca="1" si="270"/>
        <v>0</v>
      </c>
      <c r="W97" s="884">
        <f t="shared" ca="1" si="270"/>
        <v>0</v>
      </c>
      <c r="X97" s="828">
        <f ca="1">X344</f>
        <v>0</v>
      </c>
      <c r="Y97" s="828">
        <f t="shared" ref="Y97:BO97" ca="1" si="271">Y344</f>
        <v>0</v>
      </c>
      <c r="Z97" s="828">
        <f t="shared" ca="1" si="271"/>
        <v>0</v>
      </c>
      <c r="AA97" s="828">
        <f t="shared" ca="1" si="271"/>
        <v>0</v>
      </c>
      <c r="AB97" s="828">
        <f t="shared" ca="1" si="271"/>
        <v>0</v>
      </c>
      <c r="AC97" s="828">
        <f t="shared" ca="1" si="271"/>
        <v>0</v>
      </c>
      <c r="AD97" s="828">
        <f t="shared" ca="1" si="271"/>
        <v>0</v>
      </c>
      <c r="AE97" s="828">
        <f t="shared" ca="1" si="271"/>
        <v>0</v>
      </c>
      <c r="AF97" s="828">
        <f t="shared" ca="1" si="271"/>
        <v>0</v>
      </c>
      <c r="AG97" s="828">
        <f t="shared" ca="1" si="271"/>
        <v>0</v>
      </c>
      <c r="AH97" s="828">
        <f t="shared" ca="1" si="271"/>
        <v>0</v>
      </c>
      <c r="AI97" s="828">
        <f t="shared" ca="1" si="271"/>
        <v>0</v>
      </c>
      <c r="AJ97" s="828">
        <f t="shared" ca="1" si="271"/>
        <v>0</v>
      </c>
      <c r="AK97" s="828">
        <f t="shared" ca="1" si="271"/>
        <v>0</v>
      </c>
      <c r="AL97" s="828">
        <f t="shared" ca="1" si="271"/>
        <v>0</v>
      </c>
      <c r="AM97" s="828">
        <f t="shared" ca="1" si="271"/>
        <v>0</v>
      </c>
      <c r="AN97" s="828">
        <f t="shared" ca="1" si="271"/>
        <v>0</v>
      </c>
      <c r="AO97" s="828">
        <f t="shared" ca="1" si="271"/>
        <v>0</v>
      </c>
      <c r="AP97" s="828">
        <f t="shared" ca="1" si="271"/>
        <v>0</v>
      </c>
      <c r="AQ97" s="828">
        <f t="shared" ca="1" si="271"/>
        <v>0</v>
      </c>
      <c r="AR97" s="828">
        <f t="shared" ca="1" si="271"/>
        <v>0</v>
      </c>
      <c r="AS97" s="828">
        <f t="shared" ca="1" si="271"/>
        <v>0</v>
      </c>
      <c r="AT97" s="828">
        <f t="shared" ca="1" si="271"/>
        <v>0</v>
      </c>
      <c r="AU97" s="828">
        <f t="shared" ca="1" si="271"/>
        <v>0</v>
      </c>
      <c r="AV97" s="828">
        <f t="shared" ca="1" si="271"/>
        <v>0</v>
      </c>
      <c r="AW97" s="828">
        <f t="shared" ca="1" si="271"/>
        <v>0</v>
      </c>
      <c r="AX97" s="828">
        <f t="shared" ca="1" si="271"/>
        <v>0</v>
      </c>
      <c r="AY97" s="828">
        <f t="shared" ca="1" si="271"/>
        <v>0</v>
      </c>
      <c r="AZ97" s="828">
        <f t="shared" ca="1" si="271"/>
        <v>0</v>
      </c>
      <c r="BA97" s="828">
        <f t="shared" ca="1" si="271"/>
        <v>0</v>
      </c>
      <c r="BB97" s="828">
        <f t="shared" ca="1" si="271"/>
        <v>0</v>
      </c>
      <c r="BC97" s="828">
        <f t="shared" ca="1" si="271"/>
        <v>0</v>
      </c>
      <c r="BD97" s="828">
        <f t="shared" ca="1" si="271"/>
        <v>0</v>
      </c>
      <c r="BE97" s="828">
        <f t="shared" ca="1" si="271"/>
        <v>0</v>
      </c>
      <c r="BF97" s="828">
        <f t="shared" ca="1" si="271"/>
        <v>0</v>
      </c>
      <c r="BG97" s="828">
        <f t="shared" ca="1" si="271"/>
        <v>0</v>
      </c>
      <c r="BH97" s="828">
        <f t="shared" ca="1" si="271"/>
        <v>0</v>
      </c>
      <c r="BI97" s="828">
        <f t="shared" ca="1" si="271"/>
        <v>0</v>
      </c>
      <c r="BJ97" s="828">
        <f t="shared" ca="1" si="271"/>
        <v>0</v>
      </c>
      <c r="BK97" s="828">
        <f t="shared" ca="1" si="271"/>
        <v>0</v>
      </c>
      <c r="BL97" s="828">
        <f t="shared" ca="1" si="271"/>
        <v>0</v>
      </c>
      <c r="BM97" s="828">
        <f t="shared" ca="1" si="271"/>
        <v>0</v>
      </c>
      <c r="BN97" s="828">
        <f t="shared" ca="1" si="271"/>
        <v>0</v>
      </c>
      <c r="BO97" s="828">
        <f t="shared" ca="1" si="271"/>
        <v>0</v>
      </c>
      <c r="BP97" s="841"/>
    </row>
    <row r="98" spans="1:68">
      <c r="A98" s="823"/>
      <c r="B98" s="1894"/>
      <c r="C98" s="1894"/>
      <c r="D98" s="888" t="s">
        <v>4608</v>
      </c>
      <c r="E98" s="889"/>
      <c r="F98" s="890" t="s">
        <v>4459</v>
      </c>
      <c r="G98" s="891" t="s">
        <v>4122</v>
      </c>
      <c r="H98" s="882"/>
      <c r="I98" s="882"/>
      <c r="J98" s="882"/>
      <c r="K98" s="882"/>
      <c r="L98" s="884">
        <f t="shared" ref="L98:O98" ca="1" si="272">L431</f>
        <v>0</v>
      </c>
      <c r="M98" s="884">
        <f t="shared" ca="1" si="272"/>
        <v>0</v>
      </c>
      <c r="N98" s="884">
        <f t="shared" ca="1" si="272"/>
        <v>0</v>
      </c>
      <c r="O98" s="884">
        <f t="shared" ca="1" si="272"/>
        <v>0</v>
      </c>
      <c r="P98" s="828">
        <f ca="1">P431</f>
        <v>0</v>
      </c>
      <c r="Q98" s="828">
        <f t="shared" ref="Q98:W98" ca="1" si="273">Q431</f>
        <v>0</v>
      </c>
      <c r="R98" s="828">
        <f t="shared" ca="1" si="273"/>
        <v>0</v>
      </c>
      <c r="S98" s="828">
        <f t="shared" ca="1" si="273"/>
        <v>0</v>
      </c>
      <c r="T98" s="884">
        <f t="shared" ca="1" si="273"/>
        <v>0</v>
      </c>
      <c r="U98" s="884">
        <f t="shared" ca="1" si="273"/>
        <v>0</v>
      </c>
      <c r="V98" s="884">
        <f t="shared" ca="1" si="273"/>
        <v>0</v>
      </c>
      <c r="W98" s="884">
        <f t="shared" ca="1" si="273"/>
        <v>0</v>
      </c>
      <c r="X98" s="828">
        <f ca="1">X431</f>
        <v>0</v>
      </c>
      <c r="Y98" s="828">
        <f t="shared" ref="Y98:BO98" ca="1" si="274">Y431</f>
        <v>0</v>
      </c>
      <c r="Z98" s="828">
        <f t="shared" ca="1" si="274"/>
        <v>0</v>
      </c>
      <c r="AA98" s="828">
        <f t="shared" ca="1" si="274"/>
        <v>0</v>
      </c>
      <c r="AB98" s="828">
        <f t="shared" ca="1" si="274"/>
        <v>0</v>
      </c>
      <c r="AC98" s="828">
        <f t="shared" ca="1" si="274"/>
        <v>0</v>
      </c>
      <c r="AD98" s="828">
        <f t="shared" ca="1" si="274"/>
        <v>0</v>
      </c>
      <c r="AE98" s="828">
        <f t="shared" ca="1" si="274"/>
        <v>0</v>
      </c>
      <c r="AF98" s="828">
        <f t="shared" ca="1" si="274"/>
        <v>0</v>
      </c>
      <c r="AG98" s="828">
        <f t="shared" ca="1" si="274"/>
        <v>0</v>
      </c>
      <c r="AH98" s="828">
        <f t="shared" ca="1" si="274"/>
        <v>0</v>
      </c>
      <c r="AI98" s="828">
        <f t="shared" ca="1" si="274"/>
        <v>0</v>
      </c>
      <c r="AJ98" s="828">
        <f t="shared" ca="1" si="274"/>
        <v>0</v>
      </c>
      <c r="AK98" s="828">
        <f t="shared" ca="1" si="274"/>
        <v>0</v>
      </c>
      <c r="AL98" s="828">
        <f t="shared" ca="1" si="274"/>
        <v>0</v>
      </c>
      <c r="AM98" s="828">
        <f t="shared" ca="1" si="274"/>
        <v>0</v>
      </c>
      <c r="AN98" s="828">
        <f t="shared" ca="1" si="274"/>
        <v>0</v>
      </c>
      <c r="AO98" s="828">
        <f t="shared" ca="1" si="274"/>
        <v>0</v>
      </c>
      <c r="AP98" s="828">
        <f t="shared" ca="1" si="274"/>
        <v>0</v>
      </c>
      <c r="AQ98" s="828">
        <f t="shared" ca="1" si="274"/>
        <v>0</v>
      </c>
      <c r="AR98" s="828">
        <f t="shared" ca="1" si="274"/>
        <v>0</v>
      </c>
      <c r="AS98" s="828">
        <f t="shared" ca="1" si="274"/>
        <v>0</v>
      </c>
      <c r="AT98" s="828">
        <f t="shared" ca="1" si="274"/>
        <v>0</v>
      </c>
      <c r="AU98" s="828">
        <f t="shared" ca="1" si="274"/>
        <v>0</v>
      </c>
      <c r="AV98" s="828">
        <f t="shared" ca="1" si="274"/>
        <v>0</v>
      </c>
      <c r="AW98" s="828">
        <f t="shared" ca="1" si="274"/>
        <v>0</v>
      </c>
      <c r="AX98" s="828">
        <f t="shared" ca="1" si="274"/>
        <v>0</v>
      </c>
      <c r="AY98" s="828">
        <f t="shared" ca="1" si="274"/>
        <v>0</v>
      </c>
      <c r="AZ98" s="828">
        <f t="shared" ca="1" si="274"/>
        <v>0</v>
      </c>
      <c r="BA98" s="828">
        <f t="shared" ca="1" si="274"/>
        <v>0</v>
      </c>
      <c r="BB98" s="828">
        <f t="shared" ca="1" si="274"/>
        <v>0</v>
      </c>
      <c r="BC98" s="828">
        <f t="shared" ca="1" si="274"/>
        <v>0</v>
      </c>
      <c r="BD98" s="828">
        <f t="shared" ca="1" si="274"/>
        <v>0</v>
      </c>
      <c r="BE98" s="828">
        <f t="shared" ca="1" si="274"/>
        <v>0</v>
      </c>
      <c r="BF98" s="828">
        <f t="shared" ca="1" si="274"/>
        <v>0</v>
      </c>
      <c r="BG98" s="828">
        <f t="shared" ca="1" si="274"/>
        <v>0</v>
      </c>
      <c r="BH98" s="828">
        <f t="shared" ca="1" si="274"/>
        <v>0</v>
      </c>
      <c r="BI98" s="828">
        <f t="shared" ca="1" si="274"/>
        <v>0</v>
      </c>
      <c r="BJ98" s="828">
        <f t="shared" ca="1" si="274"/>
        <v>0</v>
      </c>
      <c r="BK98" s="828">
        <f t="shared" ca="1" si="274"/>
        <v>0</v>
      </c>
      <c r="BL98" s="828">
        <f t="shared" ca="1" si="274"/>
        <v>0</v>
      </c>
      <c r="BM98" s="828">
        <f t="shared" ca="1" si="274"/>
        <v>0</v>
      </c>
      <c r="BN98" s="828">
        <f t="shared" ca="1" si="274"/>
        <v>0</v>
      </c>
      <c r="BO98" s="828">
        <f t="shared" ca="1" si="274"/>
        <v>0</v>
      </c>
      <c r="BP98" s="841"/>
    </row>
    <row r="99" spans="1:68">
      <c r="A99" s="823"/>
      <c r="B99" s="1894"/>
      <c r="C99" s="1894"/>
      <c r="D99" s="888" t="s">
        <v>4609</v>
      </c>
      <c r="E99" s="892"/>
      <c r="F99" s="890" t="s">
        <v>4460</v>
      </c>
      <c r="G99" s="891" t="s">
        <v>4122</v>
      </c>
      <c r="H99" s="882"/>
      <c r="I99" s="882"/>
      <c r="J99" s="882"/>
      <c r="K99" s="882"/>
      <c r="L99" s="883">
        <f t="shared" ref="L99:O99" ca="1" si="275">L96-L97-L98</f>
        <v>0</v>
      </c>
      <c r="M99" s="883">
        <f t="shared" ca="1" si="275"/>
        <v>0</v>
      </c>
      <c r="N99" s="883">
        <f t="shared" ca="1" si="275"/>
        <v>0</v>
      </c>
      <c r="O99" s="883">
        <f t="shared" ca="1" si="275"/>
        <v>0</v>
      </c>
      <c r="P99" s="885">
        <f ca="1">P96-P97-P98</f>
        <v>0</v>
      </c>
      <c r="Q99" s="885">
        <f t="shared" ref="Q99:W99" ca="1" si="276">Q96-Q97-Q98</f>
        <v>0</v>
      </c>
      <c r="R99" s="885">
        <f t="shared" ca="1" si="276"/>
        <v>0</v>
      </c>
      <c r="S99" s="885">
        <f t="shared" ca="1" si="276"/>
        <v>0</v>
      </c>
      <c r="T99" s="883">
        <f t="shared" ca="1" si="276"/>
        <v>0</v>
      </c>
      <c r="U99" s="883">
        <f t="shared" ca="1" si="276"/>
        <v>0</v>
      </c>
      <c r="V99" s="883">
        <f t="shared" ca="1" si="276"/>
        <v>0</v>
      </c>
      <c r="W99" s="883">
        <f t="shared" ca="1" si="276"/>
        <v>0</v>
      </c>
      <c r="X99" s="885">
        <f ca="1">X96-X97-X98</f>
        <v>0</v>
      </c>
      <c r="Y99" s="885">
        <f t="shared" ref="Y99:BO99" ca="1" si="277">Y96-Y97-Y98</f>
        <v>0</v>
      </c>
      <c r="Z99" s="885">
        <f t="shared" ca="1" si="277"/>
        <v>0</v>
      </c>
      <c r="AA99" s="885">
        <f t="shared" ca="1" si="277"/>
        <v>0</v>
      </c>
      <c r="AB99" s="885">
        <f t="shared" ca="1" si="277"/>
        <v>0</v>
      </c>
      <c r="AC99" s="885">
        <f t="shared" ca="1" si="277"/>
        <v>0</v>
      </c>
      <c r="AD99" s="885">
        <f t="shared" ca="1" si="277"/>
        <v>0</v>
      </c>
      <c r="AE99" s="885">
        <f t="shared" ca="1" si="277"/>
        <v>0</v>
      </c>
      <c r="AF99" s="885">
        <f t="shared" ca="1" si="277"/>
        <v>0</v>
      </c>
      <c r="AG99" s="885">
        <f t="shared" ca="1" si="277"/>
        <v>0</v>
      </c>
      <c r="AH99" s="885">
        <f t="shared" ca="1" si="277"/>
        <v>0</v>
      </c>
      <c r="AI99" s="885">
        <f t="shared" ca="1" si="277"/>
        <v>0</v>
      </c>
      <c r="AJ99" s="885">
        <f t="shared" ca="1" si="277"/>
        <v>0</v>
      </c>
      <c r="AK99" s="885">
        <f t="shared" ca="1" si="277"/>
        <v>0</v>
      </c>
      <c r="AL99" s="885">
        <f t="shared" ca="1" si="277"/>
        <v>0</v>
      </c>
      <c r="AM99" s="885">
        <f t="shared" ca="1" si="277"/>
        <v>0</v>
      </c>
      <c r="AN99" s="885">
        <f t="shared" ca="1" si="277"/>
        <v>0</v>
      </c>
      <c r="AO99" s="885">
        <f t="shared" ca="1" si="277"/>
        <v>0</v>
      </c>
      <c r="AP99" s="885">
        <f t="shared" ca="1" si="277"/>
        <v>0</v>
      </c>
      <c r="AQ99" s="885">
        <f t="shared" ca="1" si="277"/>
        <v>0</v>
      </c>
      <c r="AR99" s="885">
        <f t="shared" ca="1" si="277"/>
        <v>0</v>
      </c>
      <c r="AS99" s="885">
        <f t="shared" ca="1" si="277"/>
        <v>0</v>
      </c>
      <c r="AT99" s="885">
        <f t="shared" ca="1" si="277"/>
        <v>0</v>
      </c>
      <c r="AU99" s="885">
        <f t="shared" ca="1" si="277"/>
        <v>0</v>
      </c>
      <c r="AV99" s="885">
        <f t="shared" ca="1" si="277"/>
        <v>0</v>
      </c>
      <c r="AW99" s="885">
        <f t="shared" ca="1" si="277"/>
        <v>0</v>
      </c>
      <c r="AX99" s="885">
        <f t="shared" ca="1" si="277"/>
        <v>0</v>
      </c>
      <c r="AY99" s="885">
        <f t="shared" ca="1" si="277"/>
        <v>0</v>
      </c>
      <c r="AZ99" s="885">
        <f t="shared" ca="1" si="277"/>
        <v>0</v>
      </c>
      <c r="BA99" s="885">
        <f t="shared" ca="1" si="277"/>
        <v>0</v>
      </c>
      <c r="BB99" s="885">
        <f t="shared" ca="1" si="277"/>
        <v>0</v>
      </c>
      <c r="BC99" s="885">
        <f t="shared" ca="1" si="277"/>
        <v>0</v>
      </c>
      <c r="BD99" s="885">
        <f t="shared" ca="1" si="277"/>
        <v>0</v>
      </c>
      <c r="BE99" s="885">
        <f t="shared" ca="1" si="277"/>
        <v>0</v>
      </c>
      <c r="BF99" s="885">
        <f t="shared" ca="1" si="277"/>
        <v>0</v>
      </c>
      <c r="BG99" s="885">
        <f t="shared" ca="1" si="277"/>
        <v>0</v>
      </c>
      <c r="BH99" s="885">
        <f t="shared" ca="1" si="277"/>
        <v>0</v>
      </c>
      <c r="BI99" s="885">
        <f t="shared" ca="1" si="277"/>
        <v>0</v>
      </c>
      <c r="BJ99" s="885">
        <f t="shared" ca="1" si="277"/>
        <v>0</v>
      </c>
      <c r="BK99" s="885">
        <f t="shared" ca="1" si="277"/>
        <v>0</v>
      </c>
      <c r="BL99" s="885">
        <f t="shared" ca="1" si="277"/>
        <v>0</v>
      </c>
      <c r="BM99" s="885">
        <f t="shared" ca="1" si="277"/>
        <v>0</v>
      </c>
      <c r="BN99" s="885">
        <f t="shared" ca="1" si="277"/>
        <v>0</v>
      </c>
      <c r="BO99" s="885">
        <f t="shared" ca="1" si="277"/>
        <v>0</v>
      </c>
      <c r="BP99" s="841"/>
    </row>
    <row r="100" spans="1:68">
      <c r="A100" s="823"/>
      <c r="B100" s="1894"/>
      <c r="C100" s="1894"/>
      <c r="D100" s="893"/>
      <c r="E100" s="894" t="s">
        <v>4610</v>
      </c>
      <c r="F100" s="890" t="s">
        <v>4461</v>
      </c>
      <c r="G100" s="895" t="s">
        <v>4376</v>
      </c>
      <c r="H100" s="882"/>
      <c r="I100" s="882"/>
      <c r="J100" s="882"/>
      <c r="K100" s="882"/>
      <c r="L100" s="882"/>
      <c r="M100" s="882"/>
      <c r="N100" s="882"/>
      <c r="O100" s="882"/>
      <c r="P100" s="882"/>
      <c r="Q100" s="882"/>
      <c r="R100" s="882"/>
      <c r="S100" s="882"/>
      <c r="T100" s="896">
        <f ca="1">IF($T$99=0,0,T99/$T$99*100)</f>
        <v>0</v>
      </c>
      <c r="U100" s="896">
        <f ca="1">IF($U$99=0,0,U99/$U$99*100)</f>
        <v>0</v>
      </c>
      <c r="V100" s="896">
        <f ca="1">IF($V$99=0,0,V99/$V$99*100)</f>
        <v>0</v>
      </c>
      <c r="W100" s="896">
        <f ca="1">IF($W$99=0,0,W99/$W$99*100)</f>
        <v>0</v>
      </c>
      <c r="X100" s="897">
        <f ca="1">IF($T$99=0,0,X99/$T$99*100)</f>
        <v>0</v>
      </c>
      <c r="Y100" s="897">
        <f ca="1">IF($U$99=0,0,Y99/$U$99*100)</f>
        <v>0</v>
      </c>
      <c r="Z100" s="897">
        <f ca="1">IF($V$99=0,0,Z99/$V$99*100)</f>
        <v>0</v>
      </c>
      <c r="AA100" s="897">
        <f ca="1">IF($W$99=0,0,AA99/$W$99*100)</f>
        <v>0</v>
      </c>
      <c r="AB100" s="897">
        <f ca="1">IF($T$99=0,0,AB99/$T$99*100)</f>
        <v>0</v>
      </c>
      <c r="AC100" s="897">
        <f ca="1">IF($U$99=0,0,AC99/$U$99*100)</f>
        <v>0</v>
      </c>
      <c r="AD100" s="897">
        <f ca="1">IF($V$99=0,0,AD99/$V$99*100)</f>
        <v>0</v>
      </c>
      <c r="AE100" s="897">
        <f ca="1">IF($W$99=0,0,AE99/$W$99*100)</f>
        <v>0</v>
      </c>
      <c r="AF100" s="897">
        <f ca="1">IF($T$99=0,0,AF99/$T$99*100)</f>
        <v>0</v>
      </c>
      <c r="AG100" s="897">
        <f ca="1">IF($U$99=0,0,AG99/$U$99*100)</f>
        <v>0</v>
      </c>
      <c r="AH100" s="897">
        <f ca="1">IF($V$99=0,0,AH99/$V$99*100)</f>
        <v>0</v>
      </c>
      <c r="AI100" s="897">
        <f ca="1">IF($W$99=0,0,AI99/$W$99*100)</f>
        <v>0</v>
      </c>
      <c r="AJ100" s="897">
        <f ca="1">IF($T$99=0,0,AJ99/$T$99*100)</f>
        <v>0</v>
      </c>
      <c r="AK100" s="897">
        <f ca="1">IF($U$99=0,0,AK99/$U$99*100)</f>
        <v>0</v>
      </c>
      <c r="AL100" s="897">
        <f ca="1">IF($V$99=0,0,AL99/$V$99*100)</f>
        <v>0</v>
      </c>
      <c r="AM100" s="897">
        <f ca="1">IF($W$99=0,0,AM99/$W$99*100)</f>
        <v>0</v>
      </c>
      <c r="AN100" s="897">
        <f ca="1">IF($T$99=0,0,AN99/$T$99*100)</f>
        <v>0</v>
      </c>
      <c r="AO100" s="897">
        <f ca="1">IF($U$99=0,0,AO99/$U$99*100)</f>
        <v>0</v>
      </c>
      <c r="AP100" s="897">
        <f ca="1">IF($V$99=0,0,AP99/$V$99*100)</f>
        <v>0</v>
      </c>
      <c r="AQ100" s="897">
        <f ca="1">IF($W$99=0,0,AQ99/$W$99*100)</f>
        <v>0</v>
      </c>
      <c r="AR100" s="897">
        <f ca="1">IF($T$99=0,0,AR99/$T$99*100)</f>
        <v>0</v>
      </c>
      <c r="AS100" s="897">
        <f ca="1">IF($U$99=0,0,AS99/$U$99*100)</f>
        <v>0</v>
      </c>
      <c r="AT100" s="897">
        <f ca="1">IF($V$99=0,0,AT99/$V$99*100)</f>
        <v>0</v>
      </c>
      <c r="AU100" s="897">
        <f ca="1">IF($W$99=0,0,AU99/$W$99*100)</f>
        <v>0</v>
      </c>
      <c r="AV100" s="897">
        <f ca="1">IF($T$99=0,0,AV99/$T$99*100)</f>
        <v>0</v>
      </c>
      <c r="AW100" s="897">
        <f ca="1">IF($U$99=0,0,AW99/$U$99*100)</f>
        <v>0</v>
      </c>
      <c r="AX100" s="897">
        <f ca="1">IF($V$99=0,0,AX99/$V$99*100)</f>
        <v>0</v>
      </c>
      <c r="AY100" s="897">
        <f ca="1">IF($W$99=0,0,AY99/$W$99*100)</f>
        <v>0</v>
      </c>
      <c r="AZ100" s="897">
        <f ca="1">IF($T$99=0,0,AZ99/$T$99*100)</f>
        <v>0</v>
      </c>
      <c r="BA100" s="897">
        <f ca="1">IF($U$99=0,0,BA99/$U$99*100)</f>
        <v>0</v>
      </c>
      <c r="BB100" s="897">
        <f ca="1">IF($V$99=0,0,BB99/$V$99*100)</f>
        <v>0</v>
      </c>
      <c r="BC100" s="897">
        <f ca="1">IF($W$99=0,0,BC99/$W$99*100)</f>
        <v>0</v>
      </c>
      <c r="BD100" s="897">
        <f ca="1">IF($T$99=0,0,BD99/$T$99*100)</f>
        <v>0</v>
      </c>
      <c r="BE100" s="897">
        <f ca="1">IF($U$99=0,0,BE99/$U$99*100)</f>
        <v>0</v>
      </c>
      <c r="BF100" s="897">
        <f ca="1">IF($V$99=0,0,BF99/$V$99*100)</f>
        <v>0</v>
      </c>
      <c r="BG100" s="897">
        <f ca="1">IF($W$99=0,0,BG99/$W$99*100)</f>
        <v>0</v>
      </c>
      <c r="BH100" s="897">
        <f ca="1">IF($T$99=0,0,BH99/$T$99*100)</f>
        <v>0</v>
      </c>
      <c r="BI100" s="897">
        <f ca="1">IF($U$99=0,0,BI99/$U$99*100)</f>
        <v>0</v>
      </c>
      <c r="BJ100" s="897">
        <f ca="1">IF($V$99=0,0,BJ99/$V$99*100)</f>
        <v>0</v>
      </c>
      <c r="BK100" s="897">
        <f ca="1">IF($W$99=0,0,BK99/$W$99*100)</f>
        <v>0</v>
      </c>
      <c r="BL100" s="897">
        <f ca="1">IF($T$99=0,0,BL99/$T$99*100)</f>
        <v>0</v>
      </c>
      <c r="BM100" s="897">
        <f ca="1">IF($U$99=0,0,BM99/$U$99*100)</f>
        <v>0</v>
      </c>
      <c r="BN100" s="897">
        <f ca="1">IF($V$99=0,0,BN99/$V$99*100)</f>
        <v>0</v>
      </c>
      <c r="BO100" s="897">
        <f ca="1">IF($W$99=0,0,BO99/$W$99*100)</f>
        <v>0</v>
      </c>
      <c r="BP100" s="841"/>
    </row>
    <row r="101" spans="1:68">
      <c r="A101" s="823"/>
      <c r="B101" s="1894"/>
      <c r="C101" s="1894"/>
      <c r="D101" s="898"/>
      <c r="E101" s="899" t="s">
        <v>4611</v>
      </c>
      <c r="F101" s="890" t="s">
        <v>4462</v>
      </c>
      <c r="G101" s="895" t="s">
        <v>4376</v>
      </c>
      <c r="H101" s="882"/>
      <c r="I101" s="882"/>
      <c r="J101" s="882"/>
      <c r="K101" s="882"/>
      <c r="L101" s="896">
        <f ca="1">IF($L$99=0,0,L99/$L$99*100)</f>
        <v>0</v>
      </c>
      <c r="M101" s="896">
        <f ca="1">IF($M$99=0,0,M99/$M$99*100)</f>
        <v>0</v>
      </c>
      <c r="N101" s="896">
        <f ca="1">IF($N$99=0,0,N99/$N$99*100)</f>
        <v>0</v>
      </c>
      <c r="O101" s="896">
        <f ca="1">IF($O$99=0,0,O99/$O$99*100)</f>
        <v>0</v>
      </c>
      <c r="P101" s="897">
        <f ca="1">IF($L$99=0,0,P99/$L$99*100)</f>
        <v>0</v>
      </c>
      <c r="Q101" s="897">
        <f ca="1">IF($M$99=0,0,Q99/$M$99*100)</f>
        <v>0</v>
      </c>
      <c r="R101" s="897">
        <f ca="1">IF($N$99=0,0,R99/$N$99*100)</f>
        <v>0</v>
      </c>
      <c r="S101" s="897">
        <f ca="1">IF($O$99=0,0,S99/$O$99*100)</f>
        <v>0</v>
      </c>
      <c r="T101" s="896">
        <f ca="1">IF($L$99=0,0,T99/$L$99*100)</f>
        <v>0</v>
      </c>
      <c r="U101" s="896">
        <f t="shared" ref="U101:W101" ca="1" si="278">IF($L$99=0,0,U99/$L$99*100)</f>
        <v>0</v>
      </c>
      <c r="V101" s="896">
        <f t="shared" ca="1" si="278"/>
        <v>0</v>
      </c>
      <c r="W101" s="896">
        <f t="shared" ca="1" si="278"/>
        <v>0</v>
      </c>
      <c r="X101" s="897">
        <f ca="1">IF($L$99=0,0,X99/$L$99*100)</f>
        <v>0</v>
      </c>
      <c r="Y101" s="897">
        <f ca="1">IF($M$99=0,0,Y99/$M$99*100)</f>
        <v>0</v>
      </c>
      <c r="Z101" s="897">
        <f ca="1">IF($N$99=0,0,Z99/$N$99*100)</f>
        <v>0</v>
      </c>
      <c r="AA101" s="897">
        <f ca="1">IF($O$99=0,0,AA99/$O$99*100)</f>
        <v>0</v>
      </c>
      <c r="AB101" s="897">
        <f t="shared" ref="AB101" ca="1" si="279">IF($L$99=0,0,AB99/$L$99*100)</f>
        <v>0</v>
      </c>
      <c r="AC101" s="897">
        <f t="shared" ref="AC101" ca="1" si="280">IF($M$99=0,0,AC99/$M$99*100)</f>
        <v>0</v>
      </c>
      <c r="AD101" s="897">
        <f t="shared" ref="AD101" ca="1" si="281">IF($N$99=0,0,AD99/$N$99*100)</f>
        <v>0</v>
      </c>
      <c r="AE101" s="897">
        <f t="shared" ref="AE101" ca="1" si="282">IF($O$99=0,0,AE99/$O$99*100)</f>
        <v>0</v>
      </c>
      <c r="AF101" s="897">
        <f t="shared" ref="AF101" ca="1" si="283">IF($L$99=0,0,AF99/$L$99*100)</f>
        <v>0</v>
      </c>
      <c r="AG101" s="897">
        <f t="shared" ref="AG101" ca="1" si="284">IF($M$99=0,0,AG99/$M$99*100)</f>
        <v>0</v>
      </c>
      <c r="AH101" s="897">
        <f t="shared" ref="AH101" ca="1" si="285">IF($N$99=0,0,AH99/$N$99*100)</f>
        <v>0</v>
      </c>
      <c r="AI101" s="897">
        <f t="shared" ref="AI101" ca="1" si="286">IF($O$99=0,0,AI99/$O$99*100)</f>
        <v>0</v>
      </c>
      <c r="AJ101" s="897">
        <f t="shared" ref="AJ101" ca="1" si="287">IF($L$99=0,0,AJ99/$L$99*100)</f>
        <v>0</v>
      </c>
      <c r="AK101" s="897">
        <f t="shared" ref="AK101" ca="1" si="288">IF($M$99=0,0,AK99/$M$99*100)</f>
        <v>0</v>
      </c>
      <c r="AL101" s="897">
        <f t="shared" ref="AL101" ca="1" si="289">IF($N$99=0,0,AL99/$N$99*100)</f>
        <v>0</v>
      </c>
      <c r="AM101" s="897">
        <f t="shared" ref="AM101" ca="1" si="290">IF($O$99=0,0,AM99/$O$99*100)</f>
        <v>0</v>
      </c>
      <c r="AN101" s="897">
        <f t="shared" ref="AN101" ca="1" si="291">IF($L$99=0,0,AN99/$L$99*100)</f>
        <v>0</v>
      </c>
      <c r="AO101" s="897">
        <f t="shared" ref="AO101" ca="1" si="292">IF($M$99=0,0,AO99/$M$99*100)</f>
        <v>0</v>
      </c>
      <c r="AP101" s="897">
        <f t="shared" ref="AP101" ca="1" si="293">IF($N$99=0,0,AP99/$N$99*100)</f>
        <v>0</v>
      </c>
      <c r="AQ101" s="897">
        <f t="shared" ref="AQ101" ca="1" si="294">IF($O$99=0,0,AQ99/$O$99*100)</f>
        <v>0</v>
      </c>
      <c r="AR101" s="897">
        <f t="shared" ref="AR101" ca="1" si="295">IF($L$99=0,0,AR99/$L$99*100)</f>
        <v>0</v>
      </c>
      <c r="AS101" s="897">
        <f t="shared" ref="AS101" ca="1" si="296">IF($M$99=0,0,AS99/$M$99*100)</f>
        <v>0</v>
      </c>
      <c r="AT101" s="897">
        <f t="shared" ref="AT101" ca="1" si="297">IF($N$99=0,0,AT99/$N$99*100)</f>
        <v>0</v>
      </c>
      <c r="AU101" s="897">
        <f t="shared" ref="AU101" ca="1" si="298">IF($O$99=0,0,AU99/$O$99*100)</f>
        <v>0</v>
      </c>
      <c r="AV101" s="897">
        <f t="shared" ref="AV101" ca="1" si="299">IF($L$99=0,0,AV99/$L$99*100)</f>
        <v>0</v>
      </c>
      <c r="AW101" s="897">
        <f t="shared" ref="AW101" ca="1" si="300">IF($M$99=0,0,AW99/$M$99*100)</f>
        <v>0</v>
      </c>
      <c r="AX101" s="897">
        <f t="shared" ref="AX101" ca="1" si="301">IF($N$99=0,0,AX99/$N$99*100)</f>
        <v>0</v>
      </c>
      <c r="AY101" s="897">
        <f t="shared" ref="AY101" ca="1" si="302">IF($O$99=0,0,AY99/$O$99*100)</f>
        <v>0</v>
      </c>
      <c r="AZ101" s="897">
        <f t="shared" ref="AZ101" ca="1" si="303">IF($L$99=0,0,AZ99/$L$99*100)</f>
        <v>0</v>
      </c>
      <c r="BA101" s="897">
        <f t="shared" ref="BA101" ca="1" si="304">IF($M$99=0,0,BA99/$M$99*100)</f>
        <v>0</v>
      </c>
      <c r="BB101" s="897">
        <f t="shared" ref="BB101" ca="1" si="305">IF($N$99=0,0,BB99/$N$99*100)</f>
        <v>0</v>
      </c>
      <c r="BC101" s="897">
        <f t="shared" ref="BC101" ca="1" si="306">IF($O$99=0,0,BC99/$O$99*100)</f>
        <v>0</v>
      </c>
      <c r="BD101" s="897">
        <f t="shared" ref="BD101" ca="1" si="307">IF($L$99=0,0,BD99/$L$99*100)</f>
        <v>0</v>
      </c>
      <c r="BE101" s="897">
        <f t="shared" ref="BE101" ca="1" si="308">IF($M$99=0,0,BE99/$M$99*100)</f>
        <v>0</v>
      </c>
      <c r="BF101" s="897">
        <f t="shared" ref="BF101" ca="1" si="309">IF($N$99=0,0,BF99/$N$99*100)</f>
        <v>0</v>
      </c>
      <c r="BG101" s="897">
        <f t="shared" ref="BG101" ca="1" si="310">IF($O$99=0,0,BG99/$O$99*100)</f>
        <v>0</v>
      </c>
      <c r="BH101" s="897">
        <f t="shared" ref="BH101" ca="1" si="311">IF($L$99=0,0,BH99/$L$99*100)</f>
        <v>0</v>
      </c>
      <c r="BI101" s="897">
        <f t="shared" ref="BI101" ca="1" si="312">IF($M$99=0,0,BI99/$M$99*100)</f>
        <v>0</v>
      </c>
      <c r="BJ101" s="897">
        <f t="shared" ref="BJ101" ca="1" si="313">IF($N$99=0,0,BJ99/$N$99*100)</f>
        <v>0</v>
      </c>
      <c r="BK101" s="897">
        <f t="shared" ref="BK101" ca="1" si="314">IF($O$99=0,0,BK99/$O$99*100)</f>
        <v>0</v>
      </c>
      <c r="BL101" s="897">
        <f t="shared" ref="BL101" ca="1" si="315">IF($L$99=0,0,BL99/$L$99*100)</f>
        <v>0</v>
      </c>
      <c r="BM101" s="897">
        <f t="shared" ref="BM101" ca="1" si="316">IF($M$99=0,0,BM99/$M$99*100)</f>
        <v>0</v>
      </c>
      <c r="BN101" s="897">
        <f t="shared" ref="BN101" ca="1" si="317">IF($N$99=0,0,BN99/$N$99*100)</f>
        <v>0</v>
      </c>
      <c r="BO101" s="897">
        <f t="shared" ref="BO101" ca="1" si="318">IF($O$99=0,0,BO99/$O$99*100)</f>
        <v>0</v>
      </c>
      <c r="BP101" s="841"/>
    </row>
    <row r="102" spans="1:68">
      <c r="A102" s="823">
        <v>99</v>
      </c>
      <c r="B102" s="1894"/>
      <c r="C102" s="1894"/>
      <c r="D102" s="899" t="s">
        <v>4612</v>
      </c>
      <c r="E102" s="900"/>
      <c r="F102" s="901"/>
      <c r="G102" s="895"/>
      <c r="H102" s="882"/>
      <c r="I102" s="882"/>
      <c r="J102" s="882"/>
      <c r="K102" s="882"/>
      <c r="L102" s="827" t="str">
        <f ca="1">IF(L$6&lt;$D$5,"-",IF(L$6=$D$5,IF(OFFSET(貼付け_2024実績,1,211)="","複数指標を設定",OFFSET(貼付け_2024実績,1,211))))</f>
        <v>複数指標を設定</v>
      </c>
      <c r="M102" s="827" t="str">
        <f ca="1">IF(M$6&lt;$D$5,"-",IF(M$6=$D$5,IF(OFFSET(貼付け_2025実績,1,211)="","複数指標を設定",OFFSET(貼付け_2025実績,1,211)),IF(AND(OFFSET(貼付け_2025実績,1,211)="",L102="複数指標を設定"),"複数指標を設定",OFFSET(貼付け_2025実績,1,211))))</f>
        <v>複数指標を設定</v>
      </c>
      <c r="N102" s="827" t="str">
        <f ca="1">IF(N$6&lt;$D$5,"-",IF(N$6=$D$5,IF(OFFSET(貼付け_2026実績,1,211)="","複数指標を設定",OFFSET(貼付け_2026実績,1,211)),IF(AND(OFFSET(貼付け_2026実績,1,211)="",M102="複数指標を設定"),"複数指標を設定",OFFSET(貼付け_2026実績,1,211))))</f>
        <v>複数指標を設定</v>
      </c>
      <c r="O102" s="827" t="str">
        <f ca="1">IF(O$6&lt;$D$5,"-",IF(O$6=$D$5,IF(OFFSET(貼付け_2027実績,1,211)="","複数指標を設定",OFFSET(貼付け_2027実績,1,211)),IF(AND(OFFSET(貼付け_2027実績,1,211)="",N102="複数指標を設定"),"複数指標を設定",OFFSET(貼付け_2027実績,1,211))))</f>
        <v>複数指標を設定</v>
      </c>
      <c r="P102" s="897" t="str">
        <f ca="1">OFFSET(A1_原単位2024,50,5)</f>
        <v>-</v>
      </c>
      <c r="Q102" s="897" t="str">
        <f ca="1">OFFSET(A1_原単位2025,50,5)</f>
        <v>-</v>
      </c>
      <c r="R102" s="897" t="str">
        <f ca="1">OFFSET(A1_原単位2026,50,5)</f>
        <v>-</v>
      </c>
      <c r="S102" s="897" t="str">
        <f ca="1">OFFSET(A1_原単位2027,50,5)</f>
        <v>-</v>
      </c>
      <c r="T102" s="827" t="str">
        <f ca="1">IF(T$6&lt;$D$5,"-",IF(T$6=$D$5,IF(OFFSET(貼付け_2024実績,1,213)="","複数指標を設定",OFFSET(貼付け_2024実績,1,213))))</f>
        <v>複数指標を設定</v>
      </c>
      <c r="U102" s="827" t="str">
        <f ca="1">IF(U$6&lt;$D$5,"-",IF(U$6=$D$5,IF(OFFSET(貼付け_2025実績,1,213)="","複数指標を設定",OFFSET(貼付け_2025実績,1,213)),IF(AND(OFFSET(貼付け_2025実績,1,213)="",T102="複数指標を設定"),"複数指標を設定",OFFSET(貼付け_2025実績,1,213))))</f>
        <v>複数指標を設定</v>
      </c>
      <c r="V102" s="827" t="str">
        <f ca="1">IF(V$6&lt;$D$5,"-",IF(V$6=$D$5,IF(OFFSET(貼付け_2026実績,1,213)="","複数指標を設定",OFFSET(貼付け_2026実績,1,213)),IF(AND(OFFSET(貼付け_2026実績,1,213)="",U102="複数指標を設定"),"複数指標を設定",OFFSET(貼付け_2026実績,1,213))))</f>
        <v>複数指標を設定</v>
      </c>
      <c r="W102" s="827" t="str">
        <f ca="1">IF(W$6&lt;$D$5,"-",IF(W$6=$D$5,IF(OFFSET(貼付け_2027実績,1,213)="","複数指標を設定",OFFSET(貼付け_2027実績,1,213)),IF(AND(OFFSET(貼付け_2027実績,1,213)="",V102="複数指標を設定"),"複数指標を設定",OFFSET(貼付け_2027実績,1,213))))</f>
        <v>複数指標を設定</v>
      </c>
      <c r="X102" s="897" t="str">
        <f ca="1">OFFSET(A1_原単位2024,51,5)</f>
        <v>-</v>
      </c>
      <c r="Y102" s="897" t="str">
        <f ca="1">OFFSET(A1_原単位2025,51,5)</f>
        <v>-</v>
      </c>
      <c r="Z102" s="897" t="str">
        <f ca="1">OFFSET(A1_原単位2026,51,5)</f>
        <v>-</v>
      </c>
      <c r="AA102" s="897" t="str">
        <f ca="1">OFFSET(A1_原単位2027,51,5)</f>
        <v>-</v>
      </c>
      <c r="AB102" s="827" t="str">
        <f ca="1">IFERROR(OFFSET(貼付け_2024実績,$A102,AB$1),"")</f>
        <v/>
      </c>
      <c r="AC102" s="827" t="str">
        <f t="shared" ref="AC102:AC104" ca="1" si="319">IFERROR(OFFSET(貼付け_2025実績,$A102,AC$1),"")</f>
        <v/>
      </c>
      <c r="AD102" s="827" t="str">
        <f t="shared" ref="AD102:AD104" ca="1" si="320">IFERROR(OFFSET(貼付け_2026実績,$A102,AD$1),"")</f>
        <v/>
      </c>
      <c r="AE102" s="827" t="str">
        <f t="shared" ref="AE102:AE104" ca="1" si="321">IFERROR(OFFSET(貼付け_2027実績,$A102,AE$1),"")</f>
        <v/>
      </c>
      <c r="AF102" s="827" t="str">
        <f ca="1">IFERROR(OFFSET(貼付け_2024実績,$A102,AF$1),"")</f>
        <v/>
      </c>
      <c r="AG102" s="827" t="str">
        <f t="shared" ref="AG102:BM103" ca="1" si="322">IFERROR(OFFSET(貼付け_2025実績,$A102,AG$1),"")</f>
        <v/>
      </c>
      <c r="AH102" s="827" t="str">
        <f t="shared" ref="AH102:BN103" ca="1" si="323">IFERROR(OFFSET(貼付け_2026実績,$A102,AH$1),"")</f>
        <v/>
      </c>
      <c r="AI102" s="827" t="str">
        <f t="shared" ref="AI102:BO103" ca="1" si="324">IFERROR(OFFSET(貼付け_2027実績,$A102,AI$1),"")</f>
        <v/>
      </c>
      <c r="AJ102" s="827" t="str">
        <f ca="1">IFERROR(OFFSET(貼付け_2024実績,$A102,AJ$1),"")</f>
        <v/>
      </c>
      <c r="AK102" s="827" t="str">
        <f t="shared" ca="1" si="322"/>
        <v/>
      </c>
      <c r="AL102" s="827" t="str">
        <f t="shared" ca="1" si="323"/>
        <v/>
      </c>
      <c r="AM102" s="827" t="str">
        <f t="shared" ca="1" si="324"/>
        <v/>
      </c>
      <c r="AN102" s="827" t="str">
        <f ca="1">IFERROR(OFFSET(貼付け_2024実績,$A102,AN$1),"")</f>
        <v/>
      </c>
      <c r="AO102" s="827" t="str">
        <f t="shared" ca="1" si="322"/>
        <v/>
      </c>
      <c r="AP102" s="827" t="str">
        <f t="shared" ca="1" si="323"/>
        <v/>
      </c>
      <c r="AQ102" s="827" t="str">
        <f t="shared" ca="1" si="324"/>
        <v/>
      </c>
      <c r="AR102" s="827" t="str">
        <f ca="1">IFERROR(OFFSET(貼付け_2024実績,$A102,AR$1),"")</f>
        <v/>
      </c>
      <c r="AS102" s="827" t="str">
        <f t="shared" ca="1" si="322"/>
        <v/>
      </c>
      <c r="AT102" s="827" t="str">
        <f t="shared" ca="1" si="323"/>
        <v/>
      </c>
      <c r="AU102" s="827" t="str">
        <f t="shared" ca="1" si="324"/>
        <v/>
      </c>
      <c r="AV102" s="827" t="str">
        <f ca="1">IFERROR(OFFSET(貼付け_2024実績,$A102,AV$1),"")</f>
        <v/>
      </c>
      <c r="AW102" s="827" t="str">
        <f t="shared" ca="1" si="322"/>
        <v/>
      </c>
      <c r="AX102" s="827" t="str">
        <f t="shared" ca="1" si="323"/>
        <v/>
      </c>
      <c r="AY102" s="827" t="str">
        <f t="shared" ca="1" si="324"/>
        <v/>
      </c>
      <c r="AZ102" s="827" t="str">
        <f ca="1">IFERROR(OFFSET(貼付け_2024実績,$A102,AZ$1),"")</f>
        <v/>
      </c>
      <c r="BA102" s="827" t="str">
        <f t="shared" ca="1" si="322"/>
        <v/>
      </c>
      <c r="BB102" s="827" t="str">
        <f t="shared" ca="1" si="323"/>
        <v/>
      </c>
      <c r="BC102" s="827" t="str">
        <f t="shared" ca="1" si="324"/>
        <v/>
      </c>
      <c r="BD102" s="827" t="str">
        <f ca="1">IFERROR(OFFSET(貼付け_2024実績,$A102,BD$1),"")</f>
        <v/>
      </c>
      <c r="BE102" s="827" t="str">
        <f t="shared" ca="1" si="322"/>
        <v/>
      </c>
      <c r="BF102" s="827" t="str">
        <f t="shared" ca="1" si="323"/>
        <v/>
      </c>
      <c r="BG102" s="827" t="str">
        <f t="shared" ca="1" si="324"/>
        <v/>
      </c>
      <c r="BH102" s="827" t="str">
        <f ca="1">IFERROR(OFFSET(貼付け_2024実績,$A102,BH$1),"")</f>
        <v/>
      </c>
      <c r="BI102" s="827" t="str">
        <f t="shared" ca="1" si="322"/>
        <v/>
      </c>
      <c r="BJ102" s="827" t="str">
        <f t="shared" ca="1" si="323"/>
        <v/>
      </c>
      <c r="BK102" s="827" t="str">
        <f t="shared" ca="1" si="324"/>
        <v/>
      </c>
      <c r="BL102" s="827" t="str">
        <f ca="1">IFERROR(OFFSET(貼付け_2024実績,$A102,BL$1),"")</f>
        <v/>
      </c>
      <c r="BM102" s="827" t="str">
        <f t="shared" ca="1" si="322"/>
        <v/>
      </c>
      <c r="BN102" s="827" t="str">
        <f t="shared" ca="1" si="323"/>
        <v/>
      </c>
      <c r="BO102" s="827" t="str">
        <f t="shared" ca="1" si="324"/>
        <v/>
      </c>
      <c r="BP102" s="841"/>
    </row>
    <row r="103" spans="1:68">
      <c r="A103" s="823">
        <v>100</v>
      </c>
      <c r="B103" s="1894"/>
      <c r="C103" s="1894"/>
      <c r="D103" s="899" t="s">
        <v>4613</v>
      </c>
      <c r="E103" s="900"/>
      <c r="F103" s="901"/>
      <c r="G103" s="895"/>
      <c r="H103" s="882"/>
      <c r="I103" s="882"/>
      <c r="J103" s="882"/>
      <c r="K103" s="882"/>
      <c r="L103" s="827" t="str">
        <f ca="1">IF(L$6&lt;$D$5,"-",IF(L$6=$D$5,IF(OFFSET(貼付け_2024実績,2,211)="","-",OFFSET(貼付け_2024実績,2,211))))</f>
        <v>-</v>
      </c>
      <c r="M103" s="827" t="str">
        <f ca="1">IF(M$6&lt;$D$5,"-",IF(M$6=$D$5,IF(OFFSET(貼付け_2025実績,2,211)="","-",OFFSET(貼付け_2025実績,2,211)),IF(AND(OFFSET(貼付け_2025実績,2,211)="",L103="-"),"-",OFFSET(貼付け_2025実績,2,211))))</f>
        <v>-</v>
      </c>
      <c r="N103" s="827" t="str">
        <f ca="1">IF(N$6&lt;$D$5,"-",IF(N$6=$D$5,IF(OFFSET(貼付け_2026実績,2,211)="","-",OFFSET(貼付け_2026実績,2,211)),IF(AND(OFFSET(貼付け_2026実績,2,211)="",M103="-"),"-",OFFSET(貼付け_2026実績,2,211))))</f>
        <v>-</v>
      </c>
      <c r="O103" s="827" t="str">
        <f ca="1">IF(O$6&lt;$D$5,"-",IF(O$6=$D$5,IF(OFFSET(貼付け_2027実績,2,211)="","-",OFFSET(貼付け_2027実績,2,211)),IF(AND(OFFSET(貼付け_2027実績,2,211)="",N103="-"),"-",OFFSET(貼付け_2027実績,2,211))))</f>
        <v>-</v>
      </c>
      <c r="P103" s="897" t="str">
        <f ca="1">OFFSET(A1_原単位2024,50,7)</f>
        <v>-</v>
      </c>
      <c r="Q103" s="897" t="str">
        <f ca="1">OFFSET(A1_原単位2025,50,7)</f>
        <v>-</v>
      </c>
      <c r="R103" s="897" t="str">
        <f ca="1">OFFSET(A1_原単位2026,50,7)</f>
        <v>-</v>
      </c>
      <c r="S103" s="897" t="str">
        <f ca="1">OFFSET(A1_原単位2027,50,7)</f>
        <v>-</v>
      </c>
      <c r="T103" s="827" t="str">
        <f ca="1">IF(T$6&lt;$D$5,"-",IF(T$6=$D$5,IF(OFFSET(貼付け_2024実績,2,213)="","-",OFFSET(貼付け_2024実績,2,213))))</f>
        <v>-</v>
      </c>
      <c r="U103" s="827" t="str">
        <f ca="1">IF(U$6&lt;$D$5,"-",IF(U$6=$D$5,IF(OFFSET(貼付け_2025実績,2,213)="","-",OFFSET(貼付け_2025実績,2,213)),IF(AND(OFFSET(貼付け_2025実績,2,213)="",T103="-"),"-",OFFSET(貼付け_2025実績,2,213))))</f>
        <v>-</v>
      </c>
      <c r="V103" s="827" t="str">
        <f ca="1">IF(V$6&lt;$D$5,"-",IF(V$6=$D$5,IF(OFFSET(貼付け_2026実績,2,213)="","-",OFFSET(貼付け_2026実績,2,213)),IF(AND(OFFSET(貼付け_2026実績,2,213)="",U103="-"),"-",OFFSET(貼付け_2026実績,2,213))))</f>
        <v>-</v>
      </c>
      <c r="W103" s="827" t="str">
        <f ca="1">IF(W$6&lt;$D$5,"-",IF(W$6=$D$5,IF(OFFSET(貼付け_2027実績,2,213)="","-",OFFSET(貼付け_2027実績,2,213)),IF(AND(OFFSET(貼付け_2027実績,2,213)="",V103="-"),"-",OFFSET(貼付け_2027実績,2,213))))</f>
        <v>-</v>
      </c>
      <c r="X103" s="897" t="str">
        <f ca="1">OFFSET(A1_原単位2024,51,7)</f>
        <v>-</v>
      </c>
      <c r="Y103" s="897" t="str">
        <f ca="1">OFFSET(A1_原単位2025,51,7)</f>
        <v>-</v>
      </c>
      <c r="Z103" s="897" t="str">
        <f ca="1">OFFSET(A1_原単位2026,51,7)</f>
        <v>-</v>
      </c>
      <c r="AA103" s="897" t="str">
        <f ca="1">OFFSET(A1_原単位2027,51,7)</f>
        <v>-</v>
      </c>
      <c r="AB103" s="827" t="str">
        <f ca="1">IFERROR(OFFSET(貼付け_2024実績,$A103,AB$1),"")</f>
        <v/>
      </c>
      <c r="AC103" s="827" t="str">
        <f t="shared" ca="1" si="319"/>
        <v/>
      </c>
      <c r="AD103" s="827" t="str">
        <f t="shared" ca="1" si="320"/>
        <v/>
      </c>
      <c r="AE103" s="827" t="str">
        <f t="shared" ca="1" si="321"/>
        <v/>
      </c>
      <c r="AF103" s="827" t="str">
        <f ca="1">IFERROR(OFFSET(貼付け_2024実績,$A103,AF$1),"")</f>
        <v/>
      </c>
      <c r="AG103" s="827" t="str">
        <f t="shared" ca="1" si="322"/>
        <v/>
      </c>
      <c r="AH103" s="827" t="str">
        <f t="shared" ca="1" si="323"/>
        <v/>
      </c>
      <c r="AI103" s="827" t="str">
        <f t="shared" ca="1" si="324"/>
        <v/>
      </c>
      <c r="AJ103" s="827" t="str">
        <f ca="1">IFERROR(OFFSET(貼付け_2024実績,$A103,AJ$1),"")</f>
        <v/>
      </c>
      <c r="AK103" s="827" t="str">
        <f t="shared" ca="1" si="322"/>
        <v/>
      </c>
      <c r="AL103" s="827" t="str">
        <f t="shared" ca="1" si="323"/>
        <v/>
      </c>
      <c r="AM103" s="827" t="str">
        <f t="shared" ca="1" si="324"/>
        <v/>
      </c>
      <c r="AN103" s="827" t="str">
        <f ca="1">IFERROR(OFFSET(貼付け_2024実績,$A103,AN$1),"")</f>
        <v/>
      </c>
      <c r="AO103" s="827" t="str">
        <f t="shared" ca="1" si="322"/>
        <v/>
      </c>
      <c r="AP103" s="827" t="str">
        <f t="shared" ca="1" si="323"/>
        <v/>
      </c>
      <c r="AQ103" s="827" t="str">
        <f t="shared" ca="1" si="324"/>
        <v/>
      </c>
      <c r="AR103" s="827" t="str">
        <f ca="1">IFERROR(OFFSET(貼付け_2024実績,$A103,AR$1),"")</f>
        <v/>
      </c>
      <c r="AS103" s="827" t="str">
        <f t="shared" ca="1" si="322"/>
        <v/>
      </c>
      <c r="AT103" s="827" t="str">
        <f t="shared" ca="1" si="323"/>
        <v/>
      </c>
      <c r="AU103" s="827" t="str">
        <f t="shared" ca="1" si="324"/>
        <v/>
      </c>
      <c r="AV103" s="827" t="str">
        <f ca="1">IFERROR(OFFSET(貼付け_2024実績,$A103,AV$1),"")</f>
        <v/>
      </c>
      <c r="AW103" s="827" t="str">
        <f t="shared" ca="1" si="322"/>
        <v/>
      </c>
      <c r="AX103" s="827" t="str">
        <f t="shared" ca="1" si="323"/>
        <v/>
      </c>
      <c r="AY103" s="827" t="str">
        <f t="shared" ca="1" si="324"/>
        <v/>
      </c>
      <c r="AZ103" s="827" t="str">
        <f ca="1">IFERROR(OFFSET(貼付け_2024実績,$A103,AZ$1),"")</f>
        <v/>
      </c>
      <c r="BA103" s="827" t="str">
        <f t="shared" ca="1" si="322"/>
        <v/>
      </c>
      <c r="BB103" s="827" t="str">
        <f t="shared" ca="1" si="323"/>
        <v/>
      </c>
      <c r="BC103" s="827" t="str">
        <f t="shared" ca="1" si="324"/>
        <v/>
      </c>
      <c r="BD103" s="827" t="str">
        <f ca="1">IFERROR(OFFSET(貼付け_2024実績,$A103,BD$1),"")</f>
        <v/>
      </c>
      <c r="BE103" s="827" t="str">
        <f t="shared" ca="1" si="322"/>
        <v/>
      </c>
      <c r="BF103" s="827" t="str">
        <f t="shared" ca="1" si="323"/>
        <v/>
      </c>
      <c r="BG103" s="827" t="str">
        <f t="shared" ca="1" si="324"/>
        <v/>
      </c>
      <c r="BH103" s="827" t="str">
        <f ca="1">IFERROR(OFFSET(貼付け_2024実績,$A103,BH$1),"")</f>
        <v/>
      </c>
      <c r="BI103" s="827" t="str">
        <f t="shared" ca="1" si="322"/>
        <v/>
      </c>
      <c r="BJ103" s="827" t="str">
        <f t="shared" ca="1" si="323"/>
        <v/>
      </c>
      <c r="BK103" s="827" t="str">
        <f t="shared" ca="1" si="324"/>
        <v/>
      </c>
      <c r="BL103" s="827" t="str">
        <f ca="1">IFERROR(OFFSET(貼付け_2024実績,$A103,BL$1),"")</f>
        <v/>
      </c>
      <c r="BM103" s="827" t="str">
        <f t="shared" ca="1" si="322"/>
        <v/>
      </c>
      <c r="BN103" s="827" t="str">
        <f t="shared" ca="1" si="323"/>
        <v/>
      </c>
      <c r="BO103" s="827" t="str">
        <f t="shared" ca="1" si="324"/>
        <v/>
      </c>
      <c r="BP103" s="841"/>
    </row>
    <row r="104" spans="1:68">
      <c r="A104" s="822">
        <v>101</v>
      </c>
      <c r="B104" s="1894"/>
      <c r="C104" s="1894"/>
      <c r="D104" s="902" t="s">
        <v>4614</v>
      </c>
      <c r="E104" s="903"/>
      <c r="F104" s="904" t="s">
        <v>4463</v>
      </c>
      <c r="G104" s="905"/>
      <c r="H104" s="882"/>
      <c r="I104" s="882"/>
      <c r="J104" s="882"/>
      <c r="K104" s="882"/>
      <c r="L104" s="827" t="str">
        <f ca="1">OFFSET(貼付け_2024実績,3,211)</f>
        <v/>
      </c>
      <c r="M104" s="827" t="str">
        <f ca="1">OFFSET(貼付け_2025実績,3,211)</f>
        <v/>
      </c>
      <c r="N104" s="827" t="str">
        <f ca="1">OFFSET(貼付け_2026実績,3,211)</f>
        <v/>
      </c>
      <c r="O104" s="827" t="str">
        <f ca="1">OFFSET(貼付け_2027実績,3,211)</f>
        <v/>
      </c>
      <c r="P104" s="897" t="str">
        <f ca="1">OFFSET(A1_原単位2024,50,9)</f>
        <v>-</v>
      </c>
      <c r="Q104" s="897" t="str">
        <f ca="1">OFFSET(A1_原単位2025,50,9)</f>
        <v>-</v>
      </c>
      <c r="R104" s="897" t="str">
        <f ca="1">OFFSET(A1_原単位2026,50,9)</f>
        <v>-</v>
      </c>
      <c r="S104" s="897" t="str">
        <f ca="1">OFFSET(A1_原単位2027,50,9)</f>
        <v>-</v>
      </c>
      <c r="T104" s="827" t="str">
        <f ca="1">OFFSET(貼付け_2024実績,3,213)</f>
        <v/>
      </c>
      <c r="U104" s="827" t="str">
        <f ca="1">OFFSET(貼付け_2025実績,3,213)</f>
        <v/>
      </c>
      <c r="V104" s="827" t="str">
        <f ca="1">OFFSET(貼付け_2026実績,3,213)</f>
        <v/>
      </c>
      <c r="W104" s="827" t="str">
        <f ca="1">OFFSET(貼付け_2027実績,3,213)</f>
        <v/>
      </c>
      <c r="X104" s="897" t="str">
        <f ca="1">OFFSET(A1_原単位2024,51,9)</f>
        <v>-</v>
      </c>
      <c r="Y104" s="897" t="str">
        <f ca="1">OFFSET(A1_原単位2025,51,9)</f>
        <v>-</v>
      </c>
      <c r="Z104" s="897" t="str">
        <f ca="1">OFFSET(A1_原単位2026,51,9)</f>
        <v>-</v>
      </c>
      <c r="AA104" s="897" t="str">
        <f ca="1">OFFSET(A1_原単位2027,51,9)</f>
        <v>-</v>
      </c>
      <c r="AB104" s="827" t="str">
        <f ca="1">IFERROR(OFFSET(貼付け_2024実績,$A104,AB$1),"")</f>
        <v/>
      </c>
      <c r="AC104" s="827" t="str">
        <f t="shared" ca="1" si="319"/>
        <v/>
      </c>
      <c r="AD104" s="827" t="str">
        <f t="shared" ca="1" si="320"/>
        <v/>
      </c>
      <c r="AE104" s="827" t="str">
        <f t="shared" ca="1" si="321"/>
        <v/>
      </c>
      <c r="AF104" s="827" t="str">
        <f ca="1">IFERROR(OFFSET(貼付け_2024実績,$A104,AF$1),"")</f>
        <v/>
      </c>
      <c r="AG104" s="827" t="str">
        <f t="shared" ref="AG104" ca="1" si="325">IFERROR(OFFSET(貼付け_2025実績,$A104,AG$1),"")</f>
        <v/>
      </c>
      <c r="AH104" s="827" t="str">
        <f t="shared" ref="AH104" ca="1" si="326">IFERROR(OFFSET(貼付け_2026実績,$A104,AH$1),"")</f>
        <v/>
      </c>
      <c r="AI104" s="827" t="str">
        <f t="shared" ref="AI104" ca="1" si="327">IFERROR(OFFSET(貼付け_2027実績,$A104,AI$1),"")</f>
        <v/>
      </c>
      <c r="AJ104" s="827" t="str">
        <f ca="1">IFERROR(OFFSET(貼付け_2024実績,$A104,AJ$1),"")</f>
        <v/>
      </c>
      <c r="AK104" s="827" t="str">
        <f t="shared" ref="AK104" ca="1" si="328">IFERROR(OFFSET(貼付け_2025実績,$A104,AK$1),"")</f>
        <v/>
      </c>
      <c r="AL104" s="827" t="str">
        <f t="shared" ref="AL104" ca="1" si="329">IFERROR(OFFSET(貼付け_2026実績,$A104,AL$1),"")</f>
        <v/>
      </c>
      <c r="AM104" s="827" t="str">
        <f t="shared" ref="AM104" ca="1" si="330">IFERROR(OFFSET(貼付け_2027実績,$A104,AM$1),"")</f>
        <v/>
      </c>
      <c r="AN104" s="827" t="str">
        <f ca="1">IFERROR(OFFSET(貼付け_2024実績,$A104,AN$1),"")</f>
        <v/>
      </c>
      <c r="AO104" s="827" t="str">
        <f t="shared" ref="AO104:BM104" ca="1" si="331">IFERROR(OFFSET(貼付け_2025実績,$A104,AO$1),"")</f>
        <v/>
      </c>
      <c r="AP104" s="827" t="str">
        <f t="shared" ref="AP104:BN104" ca="1" si="332">IFERROR(OFFSET(貼付け_2026実績,$A104,AP$1),"")</f>
        <v/>
      </c>
      <c r="AQ104" s="827" t="str">
        <f t="shared" ref="AQ104:BO104" ca="1" si="333">IFERROR(OFFSET(貼付け_2027実績,$A104,AQ$1),"")</f>
        <v/>
      </c>
      <c r="AR104" s="827" t="str">
        <f ca="1">IFERROR(OFFSET(貼付け_2024実績,$A104,AR$1),"")</f>
        <v/>
      </c>
      <c r="AS104" s="827" t="str">
        <f t="shared" ca="1" si="331"/>
        <v/>
      </c>
      <c r="AT104" s="827" t="str">
        <f t="shared" ca="1" si="332"/>
        <v/>
      </c>
      <c r="AU104" s="827" t="str">
        <f t="shared" ca="1" si="333"/>
        <v/>
      </c>
      <c r="AV104" s="827" t="str">
        <f ca="1">IFERROR(OFFSET(貼付け_2024実績,$A104,AV$1),"")</f>
        <v/>
      </c>
      <c r="AW104" s="827" t="str">
        <f t="shared" ca="1" si="331"/>
        <v/>
      </c>
      <c r="AX104" s="827" t="str">
        <f t="shared" ca="1" si="332"/>
        <v/>
      </c>
      <c r="AY104" s="827" t="str">
        <f t="shared" ca="1" si="333"/>
        <v/>
      </c>
      <c r="AZ104" s="827" t="str">
        <f ca="1">IFERROR(OFFSET(貼付け_2024実績,$A104,AZ$1),"")</f>
        <v/>
      </c>
      <c r="BA104" s="827" t="str">
        <f t="shared" ca="1" si="331"/>
        <v/>
      </c>
      <c r="BB104" s="827" t="str">
        <f t="shared" ca="1" si="332"/>
        <v/>
      </c>
      <c r="BC104" s="827" t="str">
        <f t="shared" ca="1" si="333"/>
        <v/>
      </c>
      <c r="BD104" s="827" t="str">
        <f ca="1">IFERROR(OFFSET(貼付け_2024実績,$A104,BD$1),"")</f>
        <v/>
      </c>
      <c r="BE104" s="827" t="str">
        <f t="shared" ca="1" si="331"/>
        <v/>
      </c>
      <c r="BF104" s="827" t="str">
        <f t="shared" ca="1" si="332"/>
        <v/>
      </c>
      <c r="BG104" s="827" t="str">
        <f t="shared" ca="1" si="333"/>
        <v/>
      </c>
      <c r="BH104" s="827" t="str">
        <f ca="1">IFERROR(OFFSET(貼付け_2024実績,$A104,BH$1),"")</f>
        <v/>
      </c>
      <c r="BI104" s="827" t="str">
        <f t="shared" ca="1" si="331"/>
        <v/>
      </c>
      <c r="BJ104" s="827" t="str">
        <f t="shared" ca="1" si="332"/>
        <v/>
      </c>
      <c r="BK104" s="827" t="str">
        <f t="shared" ca="1" si="333"/>
        <v/>
      </c>
      <c r="BL104" s="827" t="str">
        <f ca="1">IFERROR(OFFSET(貼付け_2024実績,$A104,BL$1),"")</f>
        <v/>
      </c>
      <c r="BM104" s="827" t="str">
        <f t="shared" ca="1" si="331"/>
        <v/>
      </c>
      <c r="BN104" s="827" t="str">
        <f t="shared" ca="1" si="332"/>
        <v/>
      </c>
      <c r="BO104" s="827" t="str">
        <f t="shared" ca="1" si="333"/>
        <v/>
      </c>
      <c r="BP104" s="841"/>
    </row>
    <row r="105" spans="1:68">
      <c r="A105" s="822"/>
      <c r="B105" s="1894"/>
      <c r="C105" s="1894"/>
      <c r="D105" s="906" t="s">
        <v>4679</v>
      </c>
      <c r="E105" s="900"/>
      <c r="F105" s="890" t="s">
        <v>4464</v>
      </c>
      <c r="G105" s="907"/>
      <c r="H105" s="882"/>
      <c r="I105" s="882"/>
      <c r="J105" s="882"/>
      <c r="K105" s="882"/>
      <c r="L105" s="908">
        <f ca="1">IF(L6=$D$5,IFERROR(L99/L104,IF(L102="複数指標を設定",100,"")),"-")</f>
        <v>100</v>
      </c>
      <c r="M105" s="908" t="e">
        <f ca="1">IF(M6=$D$5,IFERROR(M99/M104,IF(M102="複数指標を設定",100,"")),IF(M6&gt;$D$5,IFERROR(M99/M104,IF(M102="複数指標を設定",L105*(1-M109/100),"")),"-"))</f>
        <v>#VALUE!</v>
      </c>
      <c r="N105" s="908" t="e">
        <f ca="1">IF(N6=$D$5,IFERROR(N99/N104,IF(N102="複数指標を設定",100,"")),IF(N6&gt;$D$5,IFERROR(N99/N104,IF(N102="複数指標を設定",M105*(1-N109/100),"")),"-"))</f>
        <v>#VALUE!</v>
      </c>
      <c r="O105" s="908" t="e">
        <f ca="1">IF(O6=$D$5,IFERROR(O99/O104,IF(O102="複数指標を設定",100,"")),IF(O6&gt;$D$5,IFERROR(O99/O104,IF(O102="複数指標を設定",N105*(1-O109/100),"")),"-"))</f>
        <v>#VALUE!</v>
      </c>
      <c r="P105" s="908" t="str">
        <f ca="1">IFERROR(P99/P104,"-")</f>
        <v>-</v>
      </c>
      <c r="Q105" s="908" t="str">
        <f ca="1">IFERROR(Q99/Q104,"-")</f>
        <v>-</v>
      </c>
      <c r="R105" s="908" t="str">
        <f ca="1">IFERROR(R99/R104,"-")</f>
        <v>-</v>
      </c>
      <c r="S105" s="908" t="str">
        <f t="shared" ref="S105:BO105" ca="1" si="334">IFERROR(S99/S104,"-")</f>
        <v>-</v>
      </c>
      <c r="T105" s="908">
        <f ca="1">IF(T6=$D$5,IFERROR(T99/T104,IF(T102="複数指標を設定",100,"")),"-")</f>
        <v>100</v>
      </c>
      <c r="U105" s="908" t="e">
        <f ca="1">IF(U6=$D$5,IFERROR(U99/U104,IF(U102="複数指標を設定",100,"")),IF(U6&gt;$D$5,IFERROR(U99/U104,IF(U102="複数指標を設定",T105*(1-U108/100),"")),"-"))</f>
        <v>#VALUE!</v>
      </c>
      <c r="V105" s="908" t="e">
        <f t="shared" ref="V105:W105" ca="1" si="335">IF(V6=$D$5,IFERROR(V99/V104,IF(V102="複数指標を設定",100,"")),IF(V6&gt;$D$5,IFERROR(V99/V104,IF(V102="複数指標を設定",U105*(1-V108/100),"")),"-"))</f>
        <v>#VALUE!</v>
      </c>
      <c r="W105" s="908" t="e">
        <f t="shared" ca="1" si="335"/>
        <v>#VALUE!</v>
      </c>
      <c r="X105" s="908" t="str">
        <f ca="1">IFERROR(X99/X104,"-")</f>
        <v>-</v>
      </c>
      <c r="Y105" s="908" t="str">
        <f ca="1">IFERROR(Y99/Y104,"-")</f>
        <v>-</v>
      </c>
      <c r="Z105" s="908" t="str">
        <f ca="1">IFERROR(Z99/Z104,"-")</f>
        <v>-</v>
      </c>
      <c r="AA105" s="908" t="str">
        <f t="shared" ca="1" si="334"/>
        <v>-</v>
      </c>
      <c r="AB105" s="908" t="str">
        <f t="shared" ca="1" si="334"/>
        <v>-</v>
      </c>
      <c r="AC105" s="908" t="str">
        <f t="shared" ca="1" si="334"/>
        <v>-</v>
      </c>
      <c r="AD105" s="908" t="str">
        <f t="shared" ca="1" si="334"/>
        <v>-</v>
      </c>
      <c r="AE105" s="908" t="str">
        <f t="shared" ca="1" si="334"/>
        <v>-</v>
      </c>
      <c r="AF105" s="908" t="str">
        <f t="shared" ca="1" si="334"/>
        <v>-</v>
      </c>
      <c r="AG105" s="908" t="str">
        <f t="shared" ca="1" si="334"/>
        <v>-</v>
      </c>
      <c r="AH105" s="908" t="str">
        <f t="shared" ca="1" si="334"/>
        <v>-</v>
      </c>
      <c r="AI105" s="908" t="str">
        <f t="shared" ca="1" si="334"/>
        <v>-</v>
      </c>
      <c r="AJ105" s="908" t="str">
        <f t="shared" ca="1" si="334"/>
        <v>-</v>
      </c>
      <c r="AK105" s="908" t="str">
        <f t="shared" ca="1" si="334"/>
        <v>-</v>
      </c>
      <c r="AL105" s="908" t="str">
        <f t="shared" ca="1" si="334"/>
        <v>-</v>
      </c>
      <c r="AM105" s="908" t="str">
        <f t="shared" ca="1" si="334"/>
        <v>-</v>
      </c>
      <c r="AN105" s="908" t="str">
        <f t="shared" ca="1" si="334"/>
        <v>-</v>
      </c>
      <c r="AO105" s="908" t="str">
        <f t="shared" ca="1" si="334"/>
        <v>-</v>
      </c>
      <c r="AP105" s="908" t="str">
        <f t="shared" ca="1" si="334"/>
        <v>-</v>
      </c>
      <c r="AQ105" s="908" t="str">
        <f t="shared" ca="1" si="334"/>
        <v>-</v>
      </c>
      <c r="AR105" s="908" t="str">
        <f t="shared" ca="1" si="334"/>
        <v>-</v>
      </c>
      <c r="AS105" s="908" t="str">
        <f t="shared" ca="1" si="334"/>
        <v>-</v>
      </c>
      <c r="AT105" s="908" t="str">
        <f t="shared" ca="1" si="334"/>
        <v>-</v>
      </c>
      <c r="AU105" s="908" t="str">
        <f t="shared" ca="1" si="334"/>
        <v>-</v>
      </c>
      <c r="AV105" s="908" t="str">
        <f t="shared" ca="1" si="334"/>
        <v>-</v>
      </c>
      <c r="AW105" s="908" t="str">
        <f t="shared" ca="1" si="334"/>
        <v>-</v>
      </c>
      <c r="AX105" s="908" t="str">
        <f t="shared" ca="1" si="334"/>
        <v>-</v>
      </c>
      <c r="AY105" s="908" t="str">
        <f t="shared" ca="1" si="334"/>
        <v>-</v>
      </c>
      <c r="AZ105" s="908" t="str">
        <f t="shared" ca="1" si="334"/>
        <v>-</v>
      </c>
      <c r="BA105" s="908" t="str">
        <f t="shared" ca="1" si="334"/>
        <v>-</v>
      </c>
      <c r="BB105" s="908" t="str">
        <f t="shared" ca="1" si="334"/>
        <v>-</v>
      </c>
      <c r="BC105" s="908" t="str">
        <f t="shared" ca="1" si="334"/>
        <v>-</v>
      </c>
      <c r="BD105" s="908" t="str">
        <f t="shared" ca="1" si="334"/>
        <v>-</v>
      </c>
      <c r="BE105" s="908" t="str">
        <f t="shared" ca="1" si="334"/>
        <v>-</v>
      </c>
      <c r="BF105" s="908" t="str">
        <f t="shared" ca="1" si="334"/>
        <v>-</v>
      </c>
      <c r="BG105" s="908" t="str">
        <f t="shared" ca="1" si="334"/>
        <v>-</v>
      </c>
      <c r="BH105" s="908" t="str">
        <f t="shared" ca="1" si="334"/>
        <v>-</v>
      </c>
      <c r="BI105" s="908" t="str">
        <f t="shared" ca="1" si="334"/>
        <v>-</v>
      </c>
      <c r="BJ105" s="908" t="str">
        <f t="shared" ca="1" si="334"/>
        <v>-</v>
      </c>
      <c r="BK105" s="908" t="str">
        <f t="shared" ca="1" si="334"/>
        <v>-</v>
      </c>
      <c r="BL105" s="908" t="str">
        <f t="shared" ca="1" si="334"/>
        <v>-</v>
      </c>
      <c r="BM105" s="908" t="str">
        <f t="shared" ca="1" si="334"/>
        <v>-</v>
      </c>
      <c r="BN105" s="908" t="str">
        <f t="shared" ca="1" si="334"/>
        <v>-</v>
      </c>
      <c r="BO105" s="908" t="str">
        <f t="shared" ca="1" si="334"/>
        <v>-</v>
      </c>
      <c r="BP105" s="841"/>
    </row>
    <row r="106" spans="1:68">
      <c r="A106" s="822"/>
      <c r="B106" s="1894"/>
      <c r="C106" s="1894"/>
      <c r="D106" s="900" t="s">
        <v>4615</v>
      </c>
      <c r="E106" s="900"/>
      <c r="F106" s="890" t="s">
        <v>4465</v>
      </c>
      <c r="G106" s="907"/>
      <c r="H106" s="882"/>
      <c r="I106" s="882"/>
      <c r="J106" s="882"/>
      <c r="K106" s="882"/>
      <c r="L106" s="882"/>
      <c r="M106" s="827">
        <f ca="1">L105</f>
        <v>100</v>
      </c>
      <c r="N106" s="827" t="e">
        <f t="shared" ref="N106:O106" ca="1" si="336">M105</f>
        <v>#VALUE!</v>
      </c>
      <c r="O106" s="827" t="e">
        <f t="shared" ca="1" si="336"/>
        <v>#VALUE!</v>
      </c>
      <c r="P106" s="882"/>
      <c r="Q106" s="882"/>
      <c r="R106" s="882"/>
      <c r="S106" s="882"/>
      <c r="T106" s="882"/>
      <c r="U106" s="827">
        <f ca="1">T105</f>
        <v>100</v>
      </c>
      <c r="V106" s="827" t="e">
        <f t="shared" ref="V106:W106" ca="1" si="337">U105</f>
        <v>#VALUE!</v>
      </c>
      <c r="W106" s="827" t="e">
        <f t="shared" ca="1" si="337"/>
        <v>#VALUE!</v>
      </c>
      <c r="X106" s="882"/>
      <c r="Y106" s="882"/>
      <c r="Z106" s="882"/>
      <c r="AA106" s="882"/>
      <c r="AB106" s="882"/>
      <c r="AC106" s="827" t="str">
        <f ca="1">AB105</f>
        <v>-</v>
      </c>
      <c r="AD106" s="827" t="str">
        <f t="shared" ref="AD106:AE106" ca="1" si="338">AC105</f>
        <v>-</v>
      </c>
      <c r="AE106" s="827" t="str">
        <f t="shared" ca="1" si="338"/>
        <v>-</v>
      </c>
      <c r="AF106" s="882"/>
      <c r="AG106" s="827" t="str">
        <f t="shared" ref="AG106:BO106" ca="1" si="339">AF105</f>
        <v>-</v>
      </c>
      <c r="AH106" s="827" t="str">
        <f t="shared" ca="1" si="339"/>
        <v>-</v>
      </c>
      <c r="AI106" s="827" t="str">
        <f t="shared" ca="1" si="339"/>
        <v>-</v>
      </c>
      <c r="AJ106" s="882"/>
      <c r="AK106" s="827" t="str">
        <f t="shared" ref="AK106" ca="1" si="340">AJ105</f>
        <v>-</v>
      </c>
      <c r="AL106" s="827" t="str">
        <f t="shared" ca="1" si="339"/>
        <v>-</v>
      </c>
      <c r="AM106" s="827" t="str">
        <f t="shared" ca="1" si="339"/>
        <v>-</v>
      </c>
      <c r="AN106" s="882"/>
      <c r="AO106" s="827" t="str">
        <f t="shared" ref="AO106" ca="1" si="341">AN105</f>
        <v>-</v>
      </c>
      <c r="AP106" s="827" t="str">
        <f t="shared" ca="1" si="339"/>
        <v>-</v>
      </c>
      <c r="AQ106" s="827" t="str">
        <f t="shared" ca="1" si="339"/>
        <v>-</v>
      </c>
      <c r="AR106" s="882"/>
      <c r="AS106" s="827" t="str">
        <f t="shared" ref="AS106" ca="1" si="342">AR105</f>
        <v>-</v>
      </c>
      <c r="AT106" s="827" t="str">
        <f t="shared" ca="1" si="339"/>
        <v>-</v>
      </c>
      <c r="AU106" s="827" t="str">
        <f t="shared" ca="1" si="339"/>
        <v>-</v>
      </c>
      <c r="AV106" s="882"/>
      <c r="AW106" s="827" t="str">
        <f t="shared" ref="AW106" ca="1" si="343">AV105</f>
        <v>-</v>
      </c>
      <c r="AX106" s="827" t="str">
        <f t="shared" ca="1" si="339"/>
        <v>-</v>
      </c>
      <c r="AY106" s="827" t="str">
        <f t="shared" ca="1" si="339"/>
        <v>-</v>
      </c>
      <c r="AZ106" s="882"/>
      <c r="BA106" s="827" t="str">
        <f t="shared" ref="BA106" ca="1" si="344">AZ105</f>
        <v>-</v>
      </c>
      <c r="BB106" s="827" t="str">
        <f t="shared" ca="1" si="339"/>
        <v>-</v>
      </c>
      <c r="BC106" s="827" t="str">
        <f t="shared" ca="1" si="339"/>
        <v>-</v>
      </c>
      <c r="BD106" s="882"/>
      <c r="BE106" s="827" t="str">
        <f t="shared" ref="BE106" ca="1" si="345">BD105</f>
        <v>-</v>
      </c>
      <c r="BF106" s="827" t="str">
        <f t="shared" ca="1" si="339"/>
        <v>-</v>
      </c>
      <c r="BG106" s="827" t="str">
        <f t="shared" ca="1" si="339"/>
        <v>-</v>
      </c>
      <c r="BH106" s="882"/>
      <c r="BI106" s="827" t="str">
        <f t="shared" ref="BI106" ca="1" si="346">BH105</f>
        <v>-</v>
      </c>
      <c r="BJ106" s="827" t="str">
        <f t="shared" ca="1" si="339"/>
        <v>-</v>
      </c>
      <c r="BK106" s="827" t="str">
        <f t="shared" ca="1" si="339"/>
        <v>-</v>
      </c>
      <c r="BL106" s="882"/>
      <c r="BM106" s="827" t="str">
        <f t="shared" ref="BM106" ca="1" si="347">BL105</f>
        <v>-</v>
      </c>
      <c r="BN106" s="827" t="str">
        <f t="shared" ca="1" si="339"/>
        <v>-</v>
      </c>
      <c r="BO106" s="827" t="str">
        <f t="shared" ca="1" si="339"/>
        <v>-</v>
      </c>
      <c r="BP106" s="841"/>
    </row>
    <row r="107" spans="1:68">
      <c r="A107" s="822"/>
      <c r="B107" s="1894"/>
      <c r="C107" s="1894"/>
      <c r="D107" s="892" t="s">
        <v>4680</v>
      </c>
      <c r="E107" s="906"/>
      <c r="F107" s="890" t="s">
        <v>4466</v>
      </c>
      <c r="G107" s="895" t="s">
        <v>4376</v>
      </c>
      <c r="H107" s="882"/>
      <c r="I107" s="882"/>
      <c r="J107" s="882"/>
      <c r="K107" s="882"/>
      <c r="L107" s="882"/>
      <c r="M107" s="909" t="str">
        <f ca="1">IFERROR(ROUND((1-M105/M106)*100,1),"-")</f>
        <v>-</v>
      </c>
      <c r="N107" s="909" t="str">
        <f ca="1">IFERROR(ROUND((1-N105/N106)*100,1),"-")</f>
        <v>-</v>
      </c>
      <c r="O107" s="909" t="str">
        <f ca="1">IFERROR(ROUND((1-O105/O106)*100,1),"-")</f>
        <v>-</v>
      </c>
      <c r="P107" s="882"/>
      <c r="Q107" s="909" t="str">
        <f ca="1">IFERROR(ROUND(OFFSET(A1_原単位2025,50,3),1),"")</f>
        <v/>
      </c>
      <c r="R107" s="909" t="str">
        <f ca="1">IFERROR(ROUND(OFFSET(A1_原単位2026,50,3),1),"")</f>
        <v/>
      </c>
      <c r="S107" s="909" t="str">
        <f ca="1">IFERROR(ROUND(OFFSET(A1_原単位2027,50,3),1),"")</f>
        <v/>
      </c>
      <c r="T107" s="882"/>
      <c r="U107" s="909" t="str">
        <f ca="1">IFERROR(ROUND((1-U105/U106)*100,1),"-")</f>
        <v>-</v>
      </c>
      <c r="V107" s="909" t="str">
        <f ca="1">IFERROR(ROUND((1-V105/V106)*100,1),"-")</f>
        <v>-</v>
      </c>
      <c r="W107" s="909" t="str">
        <f ca="1">IFERROR(ROUND((1-W105/W106)*100,1),"-")</f>
        <v>-</v>
      </c>
      <c r="X107" s="882"/>
      <c r="Y107" s="909" t="str">
        <f ca="1">IFERROR(ROUND(OFFSET(A1_原単位2025,51,3),1),"")</f>
        <v/>
      </c>
      <c r="Z107" s="909" t="str">
        <f ca="1">IFERROR(ROUND(OFFSET(A1_原単位2026,51,3),1),"")</f>
        <v/>
      </c>
      <c r="AA107" s="909" t="str">
        <f ca="1">IFERROR(ROUND(OFFSET(A1_原単位2027,51,3),1),"")</f>
        <v/>
      </c>
      <c r="AB107" s="882"/>
      <c r="AC107" s="909" t="str">
        <f t="shared" ref="AC107:AE107" ca="1" si="348">IFERROR(ROUND((1-AC105/AC106)*100,1),"-")</f>
        <v>-</v>
      </c>
      <c r="AD107" s="909" t="str">
        <f t="shared" ca="1" si="348"/>
        <v>-</v>
      </c>
      <c r="AE107" s="909" t="str">
        <f t="shared" ca="1" si="348"/>
        <v>-</v>
      </c>
      <c r="AF107" s="882"/>
      <c r="AG107" s="909" t="str">
        <f t="shared" ref="AG107:AI107" ca="1" si="349">IFERROR(ROUND((1-AG105/AG106)*100,1),"-")</f>
        <v>-</v>
      </c>
      <c r="AH107" s="909" t="str">
        <f t="shared" ca="1" si="349"/>
        <v>-</v>
      </c>
      <c r="AI107" s="909" t="str">
        <f t="shared" ca="1" si="349"/>
        <v>-</v>
      </c>
      <c r="AJ107" s="882"/>
      <c r="AK107" s="909" t="str">
        <f t="shared" ref="AK107:AM107" ca="1" si="350">IFERROR(ROUND((1-AK105/AK106)*100,1),"-")</f>
        <v>-</v>
      </c>
      <c r="AL107" s="909" t="str">
        <f t="shared" ca="1" si="350"/>
        <v>-</v>
      </c>
      <c r="AM107" s="909" t="str">
        <f t="shared" ca="1" si="350"/>
        <v>-</v>
      </c>
      <c r="AN107" s="882"/>
      <c r="AO107" s="909" t="str">
        <f t="shared" ref="AO107:AQ107" ca="1" si="351">IFERROR(ROUND((1-AO105/AO106)*100,1),"-")</f>
        <v>-</v>
      </c>
      <c r="AP107" s="909" t="str">
        <f t="shared" ca="1" si="351"/>
        <v>-</v>
      </c>
      <c r="AQ107" s="909" t="str">
        <f t="shared" ca="1" si="351"/>
        <v>-</v>
      </c>
      <c r="AR107" s="882"/>
      <c r="AS107" s="909" t="str">
        <f t="shared" ref="AS107:AU107" ca="1" si="352">IFERROR(ROUND((1-AS105/AS106)*100,1),"-")</f>
        <v>-</v>
      </c>
      <c r="AT107" s="909" t="str">
        <f t="shared" ca="1" si="352"/>
        <v>-</v>
      </c>
      <c r="AU107" s="909" t="str">
        <f t="shared" ca="1" si="352"/>
        <v>-</v>
      </c>
      <c r="AV107" s="882"/>
      <c r="AW107" s="909" t="str">
        <f t="shared" ref="AW107:AY107" ca="1" si="353">IFERROR(ROUND((1-AW105/AW106)*100,1),"-")</f>
        <v>-</v>
      </c>
      <c r="AX107" s="909" t="str">
        <f t="shared" ca="1" si="353"/>
        <v>-</v>
      </c>
      <c r="AY107" s="909" t="str">
        <f t="shared" ca="1" si="353"/>
        <v>-</v>
      </c>
      <c r="AZ107" s="882"/>
      <c r="BA107" s="909" t="str">
        <f t="shared" ref="BA107:BC107" ca="1" si="354">IFERROR(ROUND((1-BA105/BA106)*100,1),"-")</f>
        <v>-</v>
      </c>
      <c r="BB107" s="909" t="str">
        <f t="shared" ca="1" si="354"/>
        <v>-</v>
      </c>
      <c r="BC107" s="909" t="str">
        <f t="shared" ca="1" si="354"/>
        <v>-</v>
      </c>
      <c r="BD107" s="882"/>
      <c r="BE107" s="909" t="str">
        <f t="shared" ref="BE107:BG107" ca="1" si="355">IFERROR(ROUND((1-BE105/BE106)*100,1),"-")</f>
        <v>-</v>
      </c>
      <c r="BF107" s="909" t="str">
        <f t="shared" ca="1" si="355"/>
        <v>-</v>
      </c>
      <c r="BG107" s="909" t="str">
        <f t="shared" ca="1" si="355"/>
        <v>-</v>
      </c>
      <c r="BH107" s="882"/>
      <c r="BI107" s="909" t="str">
        <f t="shared" ref="BI107:BK107" ca="1" si="356">IFERROR(ROUND((1-BI105/BI106)*100,1),"-")</f>
        <v>-</v>
      </c>
      <c r="BJ107" s="909" t="str">
        <f t="shared" ca="1" si="356"/>
        <v>-</v>
      </c>
      <c r="BK107" s="909" t="str">
        <f t="shared" ca="1" si="356"/>
        <v>-</v>
      </c>
      <c r="BL107" s="882"/>
      <c r="BM107" s="909" t="str">
        <f t="shared" ref="BM107:BO107" ca="1" si="357">IFERROR(ROUND((1-BM105/BM106)*100,1),"-")</f>
        <v>-</v>
      </c>
      <c r="BN107" s="909" t="str">
        <f t="shared" ca="1" si="357"/>
        <v>-</v>
      </c>
      <c r="BO107" s="909" t="str">
        <f t="shared" ca="1" si="357"/>
        <v>-</v>
      </c>
      <c r="BP107" s="841"/>
    </row>
    <row r="108" spans="1:68">
      <c r="A108" s="822"/>
      <c r="B108" s="1894"/>
      <c r="C108" s="1894"/>
      <c r="D108" s="910" t="s">
        <v>4681</v>
      </c>
      <c r="E108" s="906"/>
      <c r="F108" s="890" t="s">
        <v>4616</v>
      </c>
      <c r="G108" s="895" t="s">
        <v>4376</v>
      </c>
      <c r="H108" s="882"/>
      <c r="I108" s="882"/>
      <c r="J108" s="882"/>
      <c r="K108" s="882"/>
      <c r="L108" s="882"/>
      <c r="M108" s="882"/>
      <c r="N108" s="882"/>
      <c r="O108" s="882"/>
      <c r="P108" s="882"/>
      <c r="Q108" s="882"/>
      <c r="R108" s="882"/>
      <c r="S108" s="882"/>
      <c r="T108" s="882"/>
      <c r="U108" s="909" t="str">
        <f ca="1">IF(T102="-","-",OFFSET(A1_原単位2025,51,11))</f>
        <v/>
      </c>
      <c r="V108" s="909" t="str">
        <f ca="1">IF(U102="-","-",OFFSET(A1_原単位2026,51,11))</f>
        <v/>
      </c>
      <c r="W108" s="909" t="str">
        <f ca="1">IF(V102="-","-",OFFSET(A1_原単位2027,51,11))</f>
        <v/>
      </c>
      <c r="X108" s="882"/>
      <c r="Y108" s="827" t="str">
        <f ca="1">IFERROR(Y100/100*Y107/100*100,"")</f>
        <v/>
      </c>
      <c r="Z108" s="827" t="str">
        <f ca="1">IFERROR(Z100/100*Z107/100*100,"")</f>
        <v/>
      </c>
      <c r="AA108" s="827" t="str">
        <f ca="1">IFERROR(AA100/100*AA107/100*100,"")</f>
        <v/>
      </c>
      <c r="AB108" s="882"/>
      <c r="AC108" s="827" t="str">
        <f ca="1">IFERROR(AC100/100*AC107/100*100,"")</f>
        <v/>
      </c>
      <c r="AD108" s="827" t="str">
        <f t="shared" ref="AD108:AE108" ca="1" si="358">IFERROR(AD100/100*AD107/100*100,"")</f>
        <v/>
      </c>
      <c r="AE108" s="827" t="str">
        <f t="shared" ca="1" si="358"/>
        <v/>
      </c>
      <c r="AF108" s="882"/>
      <c r="AG108" s="827" t="str">
        <f ca="1">IFERROR(AG100/100*AG107/100*100,"")</f>
        <v/>
      </c>
      <c r="AH108" s="827" t="str">
        <f t="shared" ref="AH108:AI108" ca="1" si="359">IFERROR(AH100/100*AH107/100*100,"")</f>
        <v/>
      </c>
      <c r="AI108" s="827" t="str">
        <f t="shared" ca="1" si="359"/>
        <v/>
      </c>
      <c r="AJ108" s="882"/>
      <c r="AK108" s="827" t="str">
        <f ca="1">IFERROR(AK100/100*AK107/100*100,"")</f>
        <v/>
      </c>
      <c r="AL108" s="827" t="str">
        <f t="shared" ref="AL108:AM108" ca="1" si="360">IFERROR(AL100/100*AL107/100*100,"")</f>
        <v/>
      </c>
      <c r="AM108" s="827" t="str">
        <f t="shared" ca="1" si="360"/>
        <v/>
      </c>
      <c r="AN108" s="882"/>
      <c r="AO108" s="827" t="str">
        <f ca="1">IFERROR(AO100/100*AO107/100*100,"")</f>
        <v/>
      </c>
      <c r="AP108" s="827" t="str">
        <f t="shared" ref="AP108:AQ108" ca="1" si="361">IFERROR(AP100/100*AP107/100*100,"")</f>
        <v/>
      </c>
      <c r="AQ108" s="827" t="str">
        <f t="shared" ca="1" si="361"/>
        <v/>
      </c>
      <c r="AR108" s="882"/>
      <c r="AS108" s="827" t="str">
        <f t="shared" ref="AS108:AU108" ca="1" si="362">IFERROR(AS100/100*AS107/100*100,"")</f>
        <v/>
      </c>
      <c r="AT108" s="827" t="str">
        <f t="shared" ca="1" si="362"/>
        <v/>
      </c>
      <c r="AU108" s="827" t="str">
        <f t="shared" ca="1" si="362"/>
        <v/>
      </c>
      <c r="AV108" s="882"/>
      <c r="AW108" s="827" t="str">
        <f t="shared" ref="AW108:AY108" ca="1" si="363">IFERROR(AW100/100*AW107/100*100,"")</f>
        <v/>
      </c>
      <c r="AX108" s="827" t="str">
        <f t="shared" ca="1" si="363"/>
        <v/>
      </c>
      <c r="AY108" s="827" t="str">
        <f t="shared" ca="1" si="363"/>
        <v/>
      </c>
      <c r="AZ108" s="882"/>
      <c r="BA108" s="827" t="str">
        <f t="shared" ref="BA108:BC108" ca="1" si="364">IFERROR(BA100/100*BA107/100*100,"")</f>
        <v/>
      </c>
      <c r="BB108" s="827" t="str">
        <f t="shared" ca="1" si="364"/>
        <v/>
      </c>
      <c r="BC108" s="827" t="str">
        <f t="shared" ca="1" si="364"/>
        <v/>
      </c>
      <c r="BD108" s="882"/>
      <c r="BE108" s="827" t="str">
        <f t="shared" ref="BE108:BG108" ca="1" si="365">IFERROR(BE100/100*BE107/100*100,"")</f>
        <v/>
      </c>
      <c r="BF108" s="827" t="str">
        <f t="shared" ca="1" si="365"/>
        <v/>
      </c>
      <c r="BG108" s="827" t="str">
        <f t="shared" ca="1" si="365"/>
        <v/>
      </c>
      <c r="BH108" s="882"/>
      <c r="BI108" s="827" t="str">
        <f t="shared" ref="BI108:BK108" ca="1" si="366">IFERROR(BI100/100*BI107/100*100,"")</f>
        <v/>
      </c>
      <c r="BJ108" s="827" t="str">
        <f t="shared" ca="1" si="366"/>
        <v/>
      </c>
      <c r="BK108" s="827" t="str">
        <f t="shared" ca="1" si="366"/>
        <v/>
      </c>
      <c r="BL108" s="882"/>
      <c r="BM108" s="827" t="str">
        <f t="shared" ref="BM108:BO108" ca="1" si="367">IFERROR(BM100/100*BM107/100*100,"")</f>
        <v/>
      </c>
      <c r="BN108" s="827" t="str">
        <f t="shared" ca="1" si="367"/>
        <v/>
      </c>
      <c r="BO108" s="827" t="str">
        <f t="shared" ca="1" si="367"/>
        <v/>
      </c>
      <c r="BP108" s="841"/>
    </row>
    <row r="109" spans="1:68">
      <c r="A109" s="822"/>
      <c r="B109" s="1894"/>
      <c r="C109" s="1894"/>
      <c r="D109" s="910" t="s">
        <v>4682</v>
      </c>
      <c r="E109" s="906"/>
      <c r="F109" s="890" t="s">
        <v>4617</v>
      </c>
      <c r="G109" s="895" t="s">
        <v>4376</v>
      </c>
      <c r="H109" s="882"/>
      <c r="I109" s="882"/>
      <c r="J109" s="882"/>
      <c r="K109" s="882"/>
      <c r="L109" s="882"/>
      <c r="M109" s="909" t="str">
        <f ca="1">IF(L102="-","-",OFFSET(A1_原単位2025,50,11))</f>
        <v/>
      </c>
      <c r="N109" s="909" t="str">
        <f ca="1">IF(M102="-","-",OFFSET(A1_原単位2026,50,11))</f>
        <v/>
      </c>
      <c r="O109" s="909" t="str">
        <f ca="1">IF(N102="-","-",OFFSET(A1_原単位2027,50,11))</f>
        <v/>
      </c>
      <c r="P109" s="882"/>
      <c r="Q109" s="827" t="str">
        <f ca="1">IFERROR(Q101/100*Q107/100*100,"")</f>
        <v/>
      </c>
      <c r="R109" s="827" t="str">
        <f t="shared" ref="R109:S109" ca="1" si="368">IFERROR(R101/100*R107/100*100,"")</f>
        <v/>
      </c>
      <c r="S109" s="827" t="str">
        <f t="shared" ca="1" si="368"/>
        <v/>
      </c>
      <c r="T109" s="882"/>
      <c r="U109" s="827" t="str">
        <f ca="1">IFERROR(U101/100*U107/100*100,"")</f>
        <v/>
      </c>
      <c r="V109" s="827" t="str">
        <f t="shared" ref="V109:W109" ca="1" si="369">IFERROR(V101/100*V107/100*100,"")</f>
        <v/>
      </c>
      <c r="W109" s="827" t="str">
        <f t="shared" ca="1" si="369"/>
        <v/>
      </c>
      <c r="X109" s="882"/>
      <c r="Y109" s="827" t="str">
        <f ca="1">IFERROR(Y101/100*Y107/100*100,"")</f>
        <v/>
      </c>
      <c r="Z109" s="827" t="str">
        <f ca="1">IFERROR(Z101/100*Z107/100*100,"")</f>
        <v/>
      </c>
      <c r="AA109" s="827" t="str">
        <f ca="1">IFERROR(AA101/100*AA107/100*100,"")</f>
        <v/>
      </c>
      <c r="AB109" s="882"/>
      <c r="AC109" s="827" t="str">
        <f ca="1">IFERROR(AC101/100*AC107/100*100,"")</f>
        <v/>
      </c>
      <c r="AD109" s="827" t="str">
        <f t="shared" ref="AD109:AE109" ca="1" si="370">IFERROR(AD101/100*AD107/100*100,"")</f>
        <v/>
      </c>
      <c r="AE109" s="827" t="str">
        <f t="shared" ca="1" si="370"/>
        <v/>
      </c>
      <c r="AF109" s="882"/>
      <c r="AG109" s="827" t="str">
        <f ca="1">IFERROR(AG101/100*AG107/100*100,"")</f>
        <v/>
      </c>
      <c r="AH109" s="827" t="str">
        <f t="shared" ref="AH109:AI109" ca="1" si="371">IFERROR(AH101/100*AH107/100*100,"")</f>
        <v/>
      </c>
      <c r="AI109" s="827" t="str">
        <f t="shared" ca="1" si="371"/>
        <v/>
      </c>
      <c r="AJ109" s="882"/>
      <c r="AK109" s="827" t="str">
        <f ca="1">IFERROR(AK101/100*AK107/100*100,"")</f>
        <v/>
      </c>
      <c r="AL109" s="827" t="str">
        <f t="shared" ref="AL109:AM109" ca="1" si="372">IFERROR(AL101/100*AL107/100*100,"")</f>
        <v/>
      </c>
      <c r="AM109" s="827" t="str">
        <f t="shared" ca="1" si="372"/>
        <v/>
      </c>
      <c r="AN109" s="882"/>
      <c r="AO109" s="827" t="str">
        <f ca="1">IFERROR(AO101/100*AO107/100*100,"")</f>
        <v/>
      </c>
      <c r="AP109" s="827" t="str">
        <f t="shared" ref="AP109:AQ109" ca="1" si="373">IFERROR(AP101/100*AP107/100*100,"")</f>
        <v/>
      </c>
      <c r="AQ109" s="827" t="str">
        <f t="shared" ca="1" si="373"/>
        <v/>
      </c>
      <c r="AR109" s="882"/>
      <c r="AS109" s="827" t="str">
        <f t="shared" ref="AS109:AU109" ca="1" si="374">IFERROR(AS101/100*AS107/100*100,"")</f>
        <v/>
      </c>
      <c r="AT109" s="827" t="str">
        <f t="shared" ca="1" si="374"/>
        <v/>
      </c>
      <c r="AU109" s="827" t="str">
        <f t="shared" ca="1" si="374"/>
        <v/>
      </c>
      <c r="AV109" s="882"/>
      <c r="AW109" s="827" t="str">
        <f t="shared" ref="AW109:AY109" ca="1" si="375">IFERROR(AW101/100*AW107/100*100,"")</f>
        <v/>
      </c>
      <c r="AX109" s="827" t="str">
        <f t="shared" ca="1" si="375"/>
        <v/>
      </c>
      <c r="AY109" s="827" t="str">
        <f t="shared" ca="1" si="375"/>
        <v/>
      </c>
      <c r="AZ109" s="882"/>
      <c r="BA109" s="827" t="str">
        <f t="shared" ref="BA109:BC109" ca="1" si="376">IFERROR(BA101/100*BA107/100*100,"")</f>
        <v/>
      </c>
      <c r="BB109" s="827" t="str">
        <f t="shared" ca="1" si="376"/>
        <v/>
      </c>
      <c r="BC109" s="827" t="str">
        <f t="shared" ca="1" si="376"/>
        <v/>
      </c>
      <c r="BD109" s="882"/>
      <c r="BE109" s="827" t="str">
        <f t="shared" ref="BE109:BG109" ca="1" si="377">IFERROR(BE101/100*BE107/100*100,"")</f>
        <v/>
      </c>
      <c r="BF109" s="827" t="str">
        <f t="shared" ca="1" si="377"/>
        <v/>
      </c>
      <c r="BG109" s="827" t="str">
        <f t="shared" ca="1" si="377"/>
        <v/>
      </c>
      <c r="BH109" s="882"/>
      <c r="BI109" s="827" t="str">
        <f t="shared" ref="BI109:BK109" ca="1" si="378">IFERROR(BI101/100*BI107/100*100,"")</f>
        <v/>
      </c>
      <c r="BJ109" s="827" t="str">
        <f t="shared" ca="1" si="378"/>
        <v/>
      </c>
      <c r="BK109" s="827" t="str">
        <f t="shared" ca="1" si="378"/>
        <v/>
      </c>
      <c r="BL109" s="882"/>
      <c r="BM109" s="827" t="str">
        <f t="shared" ref="BM109:BO109" ca="1" si="379">IFERROR(BM101/100*BM107/100*100,"")</f>
        <v/>
      </c>
      <c r="BN109" s="827" t="str">
        <f t="shared" ca="1" si="379"/>
        <v/>
      </c>
      <c r="BO109" s="827" t="str">
        <f t="shared" ca="1" si="379"/>
        <v/>
      </c>
      <c r="BP109" s="841"/>
    </row>
    <row r="110" spans="1:68" ht="19.5" customHeight="1">
      <c r="A110" s="822"/>
      <c r="B110" s="1895" t="s">
        <v>4618</v>
      </c>
      <c r="C110" s="1896"/>
      <c r="D110" s="892" t="s">
        <v>4619</v>
      </c>
      <c r="E110" s="906"/>
      <c r="F110" s="901"/>
      <c r="G110" s="891" t="s">
        <v>4620</v>
      </c>
      <c r="H110" s="911"/>
      <c r="I110" s="911"/>
      <c r="J110" s="911"/>
      <c r="K110" s="911"/>
      <c r="L110" s="883">
        <f ca="1">参考3_排出量経年!L224/1000</f>
        <v>0</v>
      </c>
      <c r="M110" s="883">
        <f ca="1">参考3_排出量経年!M224/1000</f>
        <v>0</v>
      </c>
      <c r="N110" s="883">
        <f ca="1">参考3_排出量経年!N224/1000</f>
        <v>0</v>
      </c>
      <c r="O110" s="883">
        <f ca="1">参考3_排出量経年!O224/1000</f>
        <v>0</v>
      </c>
      <c r="P110" s="883">
        <f ca="1">参考3_排出量経年!P224/1000</f>
        <v>0</v>
      </c>
      <c r="Q110" s="883">
        <f ca="1">参考3_排出量経年!Q224/1000</f>
        <v>0</v>
      </c>
      <c r="R110" s="883">
        <f ca="1">参考3_排出量経年!R224/1000</f>
        <v>0</v>
      </c>
      <c r="S110" s="883">
        <f ca="1">参考3_排出量経年!S224/1000</f>
        <v>0</v>
      </c>
      <c r="T110" s="883">
        <f ca="1">参考3_排出量経年!T224/1000</f>
        <v>0</v>
      </c>
      <c r="U110" s="883">
        <f ca="1">参考3_排出量経年!U224/1000</f>
        <v>0</v>
      </c>
      <c r="V110" s="883">
        <f ca="1">参考3_排出量経年!V224/1000</f>
        <v>0</v>
      </c>
      <c r="W110" s="883">
        <f ca="1">参考3_排出量経年!W224/1000</f>
        <v>0</v>
      </c>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841"/>
    </row>
    <row r="111" spans="1:68">
      <c r="A111" s="822">
        <v>17</v>
      </c>
      <c r="B111" s="1897"/>
      <c r="C111" s="1898"/>
      <c r="D111" s="892" t="s">
        <v>4621</v>
      </c>
      <c r="E111" s="906"/>
      <c r="F111" s="901"/>
      <c r="G111" s="891" t="s">
        <v>4620</v>
      </c>
      <c r="H111" s="911"/>
      <c r="I111" s="911"/>
      <c r="J111" s="911"/>
      <c r="K111" s="911"/>
      <c r="L111" s="828">
        <f t="shared" ref="L111:O113" ca="1" si="380">P111+T111</f>
        <v>0</v>
      </c>
      <c r="M111" s="828">
        <f t="shared" ca="1" si="380"/>
        <v>0</v>
      </c>
      <c r="N111" s="828">
        <f t="shared" ca="1" si="380"/>
        <v>0</v>
      </c>
      <c r="O111" s="828">
        <f t="shared" ca="1" si="380"/>
        <v>0</v>
      </c>
      <c r="P111" s="885">
        <f ca="1">SUM(SUMIFS(OFFSET(A1_集計2024,$A111,9,1,199),OFFSET(貼付け_2024実績,4,9,1,199),{"横浜*","川崎*"}))</f>
        <v>0</v>
      </c>
      <c r="Q111" s="885">
        <f ca="1">SUM(SUMIFS(OFFSET(A1_集計2025,$A111,9,1,199),OFFSET(貼付け_2025実績,4,9,1,199),{"横浜*","川崎*"}))</f>
        <v>0</v>
      </c>
      <c r="R111" s="885">
        <f ca="1">SUM(SUMIFS(OFFSET(A1_集計2026,$A111,9,1,199),OFFSET(貼付け_2026実績,4,9,1,199),{"横浜*","川崎*"}))</f>
        <v>0</v>
      </c>
      <c r="S111" s="885">
        <f ca="1">SUM(SUMIFS(OFFSET(A1_集計2027,$A111,9,1,199),OFFSET(貼付け_2027実績,4,9,1,199),{"横浜*","川崎*"}))</f>
        <v>0</v>
      </c>
      <c r="T111" s="885">
        <f ca="1">SUM(SUMIFS(OFFSET(A1_集計2024,$A111,9,1,199),OFFSET(貼付け_2024実績,4,9,1,199),{"県域*","エネルギー管理指定工場等*"}))</f>
        <v>0</v>
      </c>
      <c r="U111" s="885">
        <f ca="1">SUM(SUMIFS(OFFSET(A1_集計2025,$A111,9,1,199),OFFSET(貼付け_2025実績,4,9,1,199),{"県域*","エネルギー管理指定工場等*"}))</f>
        <v>0</v>
      </c>
      <c r="V111" s="885">
        <f ca="1">SUM(SUMIFS(OFFSET(A1_集計2026,$A111,9,1,199),OFFSET(貼付け_2026実績,4,9,1,199),{"県域*","エネルギー管理指定工場等*"}))</f>
        <v>0</v>
      </c>
      <c r="W111" s="885">
        <f ca="1">SUM(SUMIFS(OFFSET(A1_集計2027,$A111,9,1,199),OFFSET(貼付け_2027実績,4,9,1,199),{"県域*","エネルギー管理指定工場等*"}))</f>
        <v>0</v>
      </c>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841"/>
    </row>
    <row r="112" spans="1:68" ht="19.5" customHeight="1">
      <c r="A112" s="822"/>
      <c r="B112" s="1897"/>
      <c r="C112" s="1898"/>
      <c r="D112" s="913" t="s">
        <v>4622</v>
      </c>
      <c r="E112" s="900"/>
      <c r="F112" s="901"/>
      <c r="G112" s="891" t="s">
        <v>4620</v>
      </c>
      <c r="H112" s="911"/>
      <c r="I112" s="911"/>
      <c r="J112" s="911"/>
      <c r="K112" s="911"/>
      <c r="L112" s="828">
        <f t="shared" ca="1" si="380"/>
        <v>0</v>
      </c>
      <c r="M112" s="828">
        <f t="shared" ca="1" si="380"/>
        <v>0</v>
      </c>
      <c r="N112" s="828">
        <f t="shared" ca="1" si="380"/>
        <v>0</v>
      </c>
      <c r="O112" s="828">
        <f t="shared" ca="1" si="380"/>
        <v>0</v>
      </c>
      <c r="P112" s="885">
        <f ca="1">P69+P70+P72+P74+P75+P77+P79+P81+P83+P85+P88+P90</f>
        <v>0</v>
      </c>
      <c r="Q112" s="885">
        <f t="shared" ref="Q112:W112" ca="1" si="381">Q69+Q70+Q72+Q74+Q75+Q77+Q79+Q81+Q83+Q85+Q88+Q90</f>
        <v>0</v>
      </c>
      <c r="R112" s="885">
        <f t="shared" ca="1" si="381"/>
        <v>0</v>
      </c>
      <c r="S112" s="885">
        <f t="shared" ca="1" si="381"/>
        <v>0</v>
      </c>
      <c r="T112" s="885">
        <f t="shared" ca="1" si="381"/>
        <v>0</v>
      </c>
      <c r="U112" s="885">
        <f t="shared" ca="1" si="381"/>
        <v>0</v>
      </c>
      <c r="V112" s="885">
        <f t="shared" ca="1" si="381"/>
        <v>0</v>
      </c>
      <c r="W112" s="885">
        <f t="shared" ca="1" si="381"/>
        <v>0</v>
      </c>
      <c r="X112" s="912"/>
      <c r="Y112" s="914"/>
      <c r="Z112" s="914"/>
      <c r="AA112" s="914"/>
      <c r="AB112" s="912"/>
      <c r="AC112" s="914"/>
      <c r="AD112" s="914"/>
      <c r="AE112" s="914"/>
      <c r="AF112" s="912"/>
      <c r="AG112" s="914"/>
      <c r="AH112" s="914"/>
      <c r="AI112" s="914"/>
      <c r="AJ112" s="912"/>
      <c r="AK112" s="914"/>
      <c r="AL112" s="914"/>
      <c r="AM112" s="914"/>
      <c r="AN112" s="912"/>
      <c r="AO112" s="914"/>
      <c r="AP112" s="914"/>
      <c r="AQ112" s="914"/>
      <c r="AR112" s="912"/>
      <c r="AS112" s="914"/>
      <c r="AT112" s="914"/>
      <c r="AU112" s="914"/>
      <c r="AV112" s="912"/>
      <c r="AW112" s="914"/>
      <c r="AX112" s="914"/>
      <c r="AY112" s="914"/>
      <c r="AZ112" s="912"/>
      <c r="BA112" s="914"/>
      <c r="BB112" s="914"/>
      <c r="BC112" s="914"/>
      <c r="BD112" s="912"/>
      <c r="BE112" s="914"/>
      <c r="BF112" s="914"/>
      <c r="BG112" s="914"/>
      <c r="BH112" s="912"/>
      <c r="BI112" s="914"/>
      <c r="BJ112" s="914"/>
      <c r="BK112" s="914"/>
      <c r="BL112" s="912"/>
      <c r="BM112" s="914"/>
      <c r="BN112" s="914"/>
      <c r="BO112" s="914"/>
      <c r="BP112" s="841"/>
    </row>
    <row r="113" spans="1:68">
      <c r="A113" s="822"/>
      <c r="B113" s="1897"/>
      <c r="C113" s="1898"/>
      <c r="D113" s="913" t="s">
        <v>4623</v>
      </c>
      <c r="E113" s="900"/>
      <c r="F113" s="901"/>
      <c r="G113" s="891" t="s">
        <v>4620</v>
      </c>
      <c r="H113" s="911"/>
      <c r="I113" s="911"/>
      <c r="J113" s="911"/>
      <c r="K113" s="911"/>
      <c r="L113" s="828">
        <f ca="1">P113+T113</f>
        <v>0</v>
      </c>
      <c r="M113" s="828">
        <f t="shared" ca="1" si="380"/>
        <v>0</v>
      </c>
      <c r="N113" s="828">
        <f t="shared" ca="1" si="380"/>
        <v>0</v>
      </c>
      <c r="O113" s="828">
        <f t="shared" ca="1" si="380"/>
        <v>0</v>
      </c>
      <c r="P113" s="885">
        <f ca="1">P112-P338</f>
        <v>0</v>
      </c>
      <c r="Q113" s="885">
        <f t="shared" ref="Q113:W113" ca="1" si="382">Q112-Q338</f>
        <v>0</v>
      </c>
      <c r="R113" s="885">
        <f t="shared" ca="1" si="382"/>
        <v>0</v>
      </c>
      <c r="S113" s="885">
        <f t="shared" ca="1" si="382"/>
        <v>0</v>
      </c>
      <c r="T113" s="885">
        <f t="shared" ca="1" si="382"/>
        <v>0</v>
      </c>
      <c r="U113" s="885">
        <f t="shared" ca="1" si="382"/>
        <v>0</v>
      </c>
      <c r="V113" s="885">
        <f t="shared" ca="1" si="382"/>
        <v>0</v>
      </c>
      <c r="W113" s="885">
        <f t="shared" ca="1" si="382"/>
        <v>0</v>
      </c>
      <c r="X113" s="912"/>
      <c r="Y113" s="914"/>
      <c r="Z113" s="914"/>
      <c r="AA113" s="914"/>
      <c r="AB113" s="912"/>
      <c r="AC113" s="914"/>
      <c r="AD113" s="914"/>
      <c r="AE113" s="914"/>
      <c r="AF113" s="912"/>
      <c r="AG113" s="914"/>
      <c r="AH113" s="914"/>
      <c r="AI113" s="914"/>
      <c r="AJ113" s="912"/>
      <c r="AK113" s="914"/>
      <c r="AL113" s="914"/>
      <c r="AM113" s="914"/>
      <c r="AN113" s="912"/>
      <c r="AO113" s="914"/>
      <c r="AP113" s="914"/>
      <c r="AQ113" s="914"/>
      <c r="AR113" s="912"/>
      <c r="AS113" s="914"/>
      <c r="AT113" s="914"/>
      <c r="AU113" s="914"/>
      <c r="AV113" s="912"/>
      <c r="AW113" s="914"/>
      <c r="AX113" s="914"/>
      <c r="AY113" s="914"/>
      <c r="AZ113" s="912"/>
      <c r="BA113" s="914"/>
      <c r="BB113" s="914"/>
      <c r="BC113" s="914"/>
      <c r="BD113" s="912"/>
      <c r="BE113" s="914"/>
      <c r="BF113" s="914"/>
      <c r="BG113" s="914"/>
      <c r="BH113" s="912"/>
      <c r="BI113" s="914"/>
      <c r="BJ113" s="914"/>
      <c r="BK113" s="914"/>
      <c r="BL113" s="912"/>
      <c r="BM113" s="914"/>
      <c r="BN113" s="914"/>
      <c r="BO113" s="914"/>
      <c r="BP113" s="841"/>
    </row>
    <row r="114" spans="1:68">
      <c r="A114" s="822"/>
      <c r="B114" s="1897"/>
      <c r="C114" s="1898"/>
      <c r="D114" s="913" t="s">
        <v>4624</v>
      </c>
      <c r="E114" s="900"/>
      <c r="F114" s="901"/>
      <c r="G114" s="891" t="s">
        <v>4620</v>
      </c>
      <c r="H114" s="911"/>
      <c r="I114" s="911"/>
      <c r="J114" s="911"/>
      <c r="K114" s="911"/>
      <c r="L114" s="885">
        <f t="shared" ref="L114:W114" ca="1" si="383">SUM(L68:L71,L73,L75,L77,L79,L81,L83,L85,L87:L90,)</f>
        <v>0</v>
      </c>
      <c r="M114" s="885">
        <f t="shared" ca="1" si="383"/>
        <v>0</v>
      </c>
      <c r="N114" s="885">
        <f t="shared" ca="1" si="383"/>
        <v>0</v>
      </c>
      <c r="O114" s="885">
        <f t="shared" ca="1" si="383"/>
        <v>0</v>
      </c>
      <c r="P114" s="885">
        <f t="shared" ca="1" si="383"/>
        <v>0</v>
      </c>
      <c r="Q114" s="885">
        <f t="shared" ca="1" si="383"/>
        <v>0</v>
      </c>
      <c r="R114" s="885">
        <f t="shared" ca="1" si="383"/>
        <v>0</v>
      </c>
      <c r="S114" s="885">
        <f t="shared" ca="1" si="383"/>
        <v>0</v>
      </c>
      <c r="T114" s="885">
        <f t="shared" ca="1" si="383"/>
        <v>0</v>
      </c>
      <c r="U114" s="885">
        <f t="shared" ca="1" si="383"/>
        <v>0</v>
      </c>
      <c r="V114" s="885">
        <f t="shared" ca="1" si="383"/>
        <v>0</v>
      </c>
      <c r="W114" s="885">
        <f t="shared" ca="1" si="383"/>
        <v>0</v>
      </c>
      <c r="X114" s="912"/>
      <c r="Y114" s="914"/>
      <c r="Z114" s="914"/>
      <c r="AA114" s="914"/>
      <c r="AB114" s="912"/>
      <c r="AC114" s="914"/>
      <c r="AD114" s="914"/>
      <c r="AE114" s="914"/>
      <c r="AF114" s="912"/>
      <c r="AG114" s="914"/>
      <c r="AH114" s="914"/>
      <c r="AI114" s="914"/>
      <c r="AJ114" s="912"/>
      <c r="AK114" s="914"/>
      <c r="AL114" s="914"/>
      <c r="AM114" s="914"/>
      <c r="AN114" s="912"/>
      <c r="AO114" s="914"/>
      <c r="AP114" s="914"/>
      <c r="AQ114" s="914"/>
      <c r="AR114" s="912"/>
      <c r="AS114" s="914"/>
      <c r="AT114" s="914"/>
      <c r="AU114" s="914"/>
      <c r="AV114" s="912"/>
      <c r="AW114" s="914"/>
      <c r="AX114" s="914"/>
      <c r="AY114" s="914"/>
      <c r="AZ114" s="912"/>
      <c r="BA114" s="914"/>
      <c r="BB114" s="914"/>
      <c r="BC114" s="914"/>
      <c r="BD114" s="912"/>
      <c r="BE114" s="914"/>
      <c r="BF114" s="914"/>
      <c r="BG114" s="914"/>
      <c r="BH114" s="912"/>
      <c r="BI114" s="914"/>
      <c r="BJ114" s="914"/>
      <c r="BK114" s="914"/>
      <c r="BL114" s="912"/>
      <c r="BM114" s="914"/>
      <c r="BN114" s="914"/>
      <c r="BO114" s="914"/>
      <c r="BP114" s="841"/>
    </row>
    <row r="115" spans="1:68">
      <c r="A115" s="822"/>
      <c r="B115" s="1897"/>
      <c r="C115" s="1898"/>
      <c r="D115" s="913" t="s">
        <v>4623</v>
      </c>
      <c r="E115" s="900"/>
      <c r="F115" s="901"/>
      <c r="G115" s="891" t="s">
        <v>4620</v>
      </c>
      <c r="H115" s="911"/>
      <c r="I115" s="911"/>
      <c r="J115" s="911"/>
      <c r="K115" s="911"/>
      <c r="L115" s="885">
        <f ca="1">L114-L339</f>
        <v>0</v>
      </c>
      <c r="M115" s="885">
        <f t="shared" ref="M115:W115" ca="1" si="384">M114-M339</f>
        <v>0</v>
      </c>
      <c r="N115" s="885">
        <f t="shared" ca="1" si="384"/>
        <v>0</v>
      </c>
      <c r="O115" s="885">
        <f t="shared" ca="1" si="384"/>
        <v>0</v>
      </c>
      <c r="P115" s="885">
        <f t="shared" ca="1" si="384"/>
        <v>0</v>
      </c>
      <c r="Q115" s="885">
        <f t="shared" ca="1" si="384"/>
        <v>0</v>
      </c>
      <c r="R115" s="885">
        <f t="shared" ca="1" si="384"/>
        <v>0</v>
      </c>
      <c r="S115" s="885">
        <f t="shared" ca="1" si="384"/>
        <v>0</v>
      </c>
      <c r="T115" s="885">
        <f t="shared" ca="1" si="384"/>
        <v>0</v>
      </c>
      <c r="U115" s="885">
        <f t="shared" ca="1" si="384"/>
        <v>0</v>
      </c>
      <c r="V115" s="885">
        <f t="shared" ca="1" si="384"/>
        <v>0</v>
      </c>
      <c r="W115" s="885">
        <f t="shared" ca="1" si="384"/>
        <v>0</v>
      </c>
      <c r="X115" s="912"/>
      <c r="Y115" s="914"/>
      <c r="Z115" s="914"/>
      <c r="AA115" s="914"/>
      <c r="AB115" s="912"/>
      <c r="AC115" s="914"/>
      <c r="AD115" s="914"/>
      <c r="AE115" s="914"/>
      <c r="AF115" s="912"/>
      <c r="AG115" s="914"/>
      <c r="AH115" s="914"/>
      <c r="AI115" s="914"/>
      <c r="AJ115" s="912"/>
      <c r="AK115" s="914"/>
      <c r="AL115" s="914"/>
      <c r="AM115" s="914"/>
      <c r="AN115" s="912"/>
      <c r="AO115" s="914"/>
      <c r="AP115" s="914"/>
      <c r="AQ115" s="914"/>
      <c r="AR115" s="912"/>
      <c r="AS115" s="914"/>
      <c r="AT115" s="914"/>
      <c r="AU115" s="914"/>
      <c r="AV115" s="912"/>
      <c r="AW115" s="914"/>
      <c r="AX115" s="914"/>
      <c r="AY115" s="914"/>
      <c r="AZ115" s="912"/>
      <c r="BA115" s="914"/>
      <c r="BB115" s="914"/>
      <c r="BC115" s="914"/>
      <c r="BD115" s="912"/>
      <c r="BE115" s="914"/>
      <c r="BF115" s="914"/>
      <c r="BG115" s="914"/>
      <c r="BH115" s="912"/>
      <c r="BI115" s="914"/>
      <c r="BJ115" s="914"/>
      <c r="BK115" s="914"/>
      <c r="BL115" s="912"/>
      <c r="BM115" s="914"/>
      <c r="BN115" s="914"/>
      <c r="BO115" s="914"/>
      <c r="BP115" s="841"/>
    </row>
    <row r="116" spans="1:68">
      <c r="A116" s="822"/>
      <c r="B116" s="1899"/>
      <c r="C116" s="1900"/>
      <c r="D116" s="913" t="s">
        <v>4625</v>
      </c>
      <c r="E116" s="900"/>
      <c r="F116" s="901"/>
      <c r="G116" s="891" t="s">
        <v>4376</v>
      </c>
      <c r="H116" s="911"/>
      <c r="I116" s="911"/>
      <c r="J116" s="911"/>
      <c r="K116" s="911"/>
      <c r="L116" s="915" t="str">
        <f ca="1">IFERROR(IF(((L110+L111+L113)/L115*100)&gt;100,100,(L110+L111+L113)/L115*100),"")</f>
        <v/>
      </c>
      <c r="M116" s="915" t="str">
        <f t="shared" ref="M116:W116" ca="1" si="385">IFERROR(IF(((M110+M111+M113)/M115*100)&gt;100,100,(M110+M111+M113)/M115*100),"")</f>
        <v/>
      </c>
      <c r="N116" s="915" t="str">
        <f t="shared" ca="1" si="385"/>
        <v/>
      </c>
      <c r="O116" s="915" t="str">
        <f t="shared" ca="1" si="385"/>
        <v/>
      </c>
      <c r="P116" s="915" t="str">
        <f t="shared" ca="1" si="385"/>
        <v/>
      </c>
      <c r="Q116" s="915" t="str">
        <f t="shared" ca="1" si="385"/>
        <v/>
      </c>
      <c r="R116" s="915" t="str">
        <f t="shared" ca="1" si="385"/>
        <v/>
      </c>
      <c r="S116" s="915" t="str">
        <f t="shared" ca="1" si="385"/>
        <v/>
      </c>
      <c r="T116" s="915" t="str">
        <f t="shared" ca="1" si="385"/>
        <v/>
      </c>
      <c r="U116" s="915" t="str">
        <f t="shared" ca="1" si="385"/>
        <v/>
      </c>
      <c r="V116" s="915" t="str">
        <f t="shared" ca="1" si="385"/>
        <v/>
      </c>
      <c r="W116" s="915" t="str">
        <f t="shared" ca="1" si="385"/>
        <v/>
      </c>
      <c r="X116" s="911"/>
      <c r="Y116" s="916"/>
      <c r="Z116" s="916"/>
      <c r="AA116" s="916"/>
      <c r="AB116" s="911"/>
      <c r="AC116" s="916"/>
      <c r="AD116" s="916"/>
      <c r="AE116" s="916"/>
      <c r="AF116" s="911"/>
      <c r="AG116" s="916"/>
      <c r="AH116" s="916"/>
      <c r="AI116" s="916"/>
      <c r="AJ116" s="911"/>
      <c r="AK116" s="916"/>
      <c r="AL116" s="916"/>
      <c r="AM116" s="916"/>
      <c r="AN116" s="911"/>
      <c r="AO116" s="916"/>
      <c r="AP116" s="916"/>
      <c r="AQ116" s="916"/>
      <c r="AR116" s="911"/>
      <c r="AS116" s="916"/>
      <c r="AT116" s="916"/>
      <c r="AU116" s="916"/>
      <c r="AV116" s="911"/>
      <c r="AW116" s="916"/>
      <c r="AX116" s="916"/>
      <c r="AY116" s="916"/>
      <c r="AZ116" s="911"/>
      <c r="BA116" s="916"/>
      <c r="BB116" s="916"/>
      <c r="BC116" s="916"/>
      <c r="BD116" s="911"/>
      <c r="BE116" s="916"/>
      <c r="BF116" s="916"/>
      <c r="BG116" s="916"/>
      <c r="BH116" s="911"/>
      <c r="BI116" s="916"/>
      <c r="BJ116" s="916"/>
      <c r="BK116" s="916"/>
      <c r="BL116" s="911"/>
      <c r="BM116" s="916"/>
      <c r="BN116" s="916"/>
      <c r="BO116" s="916"/>
      <c r="BP116" s="841"/>
    </row>
    <row r="117" spans="1:68" ht="20.100000000000001" customHeight="1">
      <c r="A117" s="822"/>
      <c r="B117" s="917">
        <v>2</v>
      </c>
      <c r="C117" s="917" t="s">
        <v>4467</v>
      </c>
      <c r="D117" s="820"/>
      <c r="E117" s="820"/>
      <c r="F117" s="820"/>
      <c r="G117" s="820"/>
      <c r="H117" s="918"/>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1:68" ht="20.100000000000001" customHeight="1">
      <c r="A118" s="822">
        <v>200</v>
      </c>
      <c r="B118" s="919" t="s">
        <v>4626</v>
      </c>
      <c r="C118" s="920"/>
      <c r="D118" s="921"/>
      <c r="E118" s="921"/>
      <c r="F118" s="922"/>
      <c r="G118" s="826" t="s">
        <v>4377</v>
      </c>
      <c r="H118" s="882"/>
      <c r="I118" s="882"/>
      <c r="J118" s="882"/>
      <c r="K118" s="882"/>
      <c r="L118" s="828">
        <f t="shared" ref="L118:O133" ca="1" si="386">P118+T118</f>
        <v>0</v>
      </c>
      <c r="M118" s="828">
        <f t="shared" ca="1" si="386"/>
        <v>0</v>
      </c>
      <c r="N118" s="828">
        <f t="shared" ca="1" si="386"/>
        <v>0</v>
      </c>
      <c r="O118" s="828">
        <f t="shared" ca="1" si="386"/>
        <v>0</v>
      </c>
      <c r="P118" s="828">
        <f ca="1">OFFSET(貼付け_2024実績,$A118,10)+OFFSET(貼付け_2024実績,$A118+2,10)-OFFSET(貼付け_2024実績,$A118+1,10)-OFFSET(貼付け_2024実績,$A118+3,10)</f>
        <v>0</v>
      </c>
      <c r="Q118" s="828">
        <f ca="1">OFFSET(貼付け_2025実績,$A118,10)+OFFSET(貼付け_2025実績,$A118+2,10)-OFFSET(貼付け_2025実績,$A118+1,10)-OFFSET(貼付け_2025実績,$A118+3,10)</f>
        <v>0</v>
      </c>
      <c r="R118" s="828">
        <f ca="1">OFFSET(貼付け_2026実績,$A118,10)+OFFSET(貼付け_2026実績,$A118+2,10)-OFFSET(貼付け_2026実績,$A118+1,10)-OFFSET(貼付け_2026実績,$A118+3,10)</f>
        <v>0</v>
      </c>
      <c r="S118" s="828">
        <f ca="1">OFFSET(貼付け_2027実績,$A118,10)+OFFSET(貼付け_2027実績,$A118+2,10)-OFFSET(貼付け_2027実績,$A118+1,10)-OFFSET(貼付け_2027実績,$A118+3,10)</f>
        <v>0</v>
      </c>
      <c r="T118" s="828">
        <f ca="1">OFFSET(貼付け_2024実績,$A118,11)+OFFSET(貼付け_2024実績,$A118+2,11)-OFFSET(貼付け_2024実績,$A118+1,11)-OFFSET(貼付け_2024実績,$A118+3,11)</f>
        <v>0</v>
      </c>
      <c r="U118" s="828">
        <f ca="1">OFFSET(貼付け_2025実績,$A118,11)+OFFSET(貼付け_2025実績,$A118+2,11)-OFFSET(貼付け_2025実績,$A118+1,11)-OFFSET(貼付け_2025実績,$A118+3,11)</f>
        <v>0</v>
      </c>
      <c r="V118" s="828">
        <f ca="1">OFFSET(貼付け_2026実績,$A118,11)+OFFSET(貼付け_2026実績,$A118+2,11)-OFFSET(貼付け_2026実績,$A118+1,11)-OFFSET(貼付け_2026実績,$A118+3,11)</f>
        <v>0</v>
      </c>
      <c r="W118" s="828">
        <f ca="1">OFFSET(貼付け_2027実績,$A118,11)+OFFSET(貼付け_2027実績,$A118+2,11)-OFFSET(貼付け_2027実績,$A118+1,11)-OFFSET(貼付け_2027実績,$A118+3,11)</f>
        <v>0</v>
      </c>
      <c r="X118" s="923"/>
      <c r="Y118" s="923"/>
      <c r="Z118" s="923"/>
      <c r="AA118" s="923"/>
      <c r="AB118" s="923"/>
      <c r="AC118" s="923"/>
      <c r="AD118" s="923"/>
      <c r="AE118" s="923"/>
      <c r="AF118" s="923"/>
      <c r="AG118" s="923"/>
      <c r="AH118" s="923"/>
      <c r="AI118" s="923"/>
      <c r="AJ118" s="923"/>
      <c r="AK118" s="923"/>
      <c r="AL118" s="923"/>
      <c r="AM118" s="923"/>
      <c r="AN118" s="923"/>
      <c r="AO118" s="923"/>
      <c r="AP118" s="923"/>
      <c r="AQ118" s="923"/>
      <c r="AR118" s="923"/>
      <c r="AS118" s="923"/>
      <c r="AT118" s="923"/>
      <c r="AU118" s="923"/>
      <c r="AV118" s="923"/>
      <c r="AW118" s="923"/>
      <c r="AX118" s="923"/>
      <c r="AY118" s="923"/>
      <c r="AZ118" s="923"/>
      <c r="BA118" s="923"/>
      <c r="BB118" s="923"/>
      <c r="BC118" s="923"/>
      <c r="BD118" s="923"/>
      <c r="BE118" s="923"/>
      <c r="BF118" s="923"/>
      <c r="BG118" s="923"/>
      <c r="BH118" s="923"/>
      <c r="BI118" s="923"/>
      <c r="BJ118" s="923"/>
      <c r="BK118" s="923"/>
      <c r="BL118" s="923"/>
      <c r="BM118" s="923"/>
      <c r="BN118" s="923"/>
      <c r="BO118" s="923"/>
    </row>
    <row r="119" spans="1:68" ht="20.100000000000001" customHeight="1">
      <c r="A119" s="822">
        <v>204</v>
      </c>
      <c r="B119" s="924" t="s">
        <v>4627</v>
      </c>
      <c r="C119" s="925"/>
      <c r="D119" s="853" t="s">
        <v>4628</v>
      </c>
      <c r="E119" s="921"/>
      <c r="F119" s="922"/>
      <c r="G119" s="826" t="s">
        <v>4377</v>
      </c>
      <c r="H119" s="882"/>
      <c r="I119" s="882"/>
      <c r="J119" s="882"/>
      <c r="K119" s="882"/>
      <c r="L119" s="828">
        <f t="shared" ca="1" si="386"/>
        <v>0</v>
      </c>
      <c r="M119" s="828">
        <f t="shared" ca="1" si="386"/>
        <v>0</v>
      </c>
      <c r="N119" s="828">
        <f t="shared" ca="1" si="386"/>
        <v>0</v>
      </c>
      <c r="O119" s="828">
        <f t="shared" ca="1" si="386"/>
        <v>0</v>
      </c>
      <c r="P119" s="828">
        <f ca="1">OFFSET(貼付け_2024実績,$A119,10)</f>
        <v>0</v>
      </c>
      <c r="Q119" s="828">
        <f ca="1">OFFSET(貼付け_2025実績,$A119,10)</f>
        <v>0</v>
      </c>
      <c r="R119" s="828">
        <f ca="1">OFFSET(貼付け_2026実績,$A119,10)</f>
        <v>0</v>
      </c>
      <c r="S119" s="828">
        <f ca="1">OFFSET(貼付け_2027実績,$A119,10)</f>
        <v>0</v>
      </c>
      <c r="T119" s="828">
        <f ca="1">OFFSET(貼付け_2024実績,$A119,11)</f>
        <v>0</v>
      </c>
      <c r="U119" s="828">
        <f ca="1">OFFSET(貼付け_2025実績,$A119,11)</f>
        <v>0</v>
      </c>
      <c r="V119" s="828">
        <f ca="1">OFFSET(貼付け_2026実績,$A119,11)</f>
        <v>0</v>
      </c>
      <c r="W119" s="828">
        <f ca="1">OFFSET(貼付け_2027実績,$A119,11)</f>
        <v>0</v>
      </c>
      <c r="X119" s="923"/>
      <c r="Y119" s="923"/>
      <c r="Z119" s="923"/>
      <c r="AA119" s="923"/>
      <c r="AB119" s="923"/>
      <c r="AC119" s="923"/>
      <c r="AD119" s="923"/>
      <c r="AE119" s="923"/>
      <c r="AF119" s="923"/>
      <c r="AG119" s="923"/>
      <c r="AH119" s="923"/>
      <c r="AI119" s="923"/>
      <c r="AJ119" s="923"/>
      <c r="AK119" s="923"/>
      <c r="AL119" s="923"/>
      <c r="AM119" s="923"/>
      <c r="AN119" s="923"/>
      <c r="AO119" s="923"/>
      <c r="AP119" s="923"/>
      <c r="AQ119" s="923"/>
      <c r="AR119" s="923"/>
      <c r="AS119" s="923"/>
      <c r="AT119" s="923"/>
      <c r="AU119" s="923"/>
      <c r="AV119" s="923"/>
      <c r="AW119" s="923"/>
      <c r="AX119" s="923"/>
      <c r="AY119" s="923"/>
      <c r="AZ119" s="923"/>
      <c r="BA119" s="923"/>
      <c r="BB119" s="923"/>
      <c r="BC119" s="923"/>
      <c r="BD119" s="923"/>
      <c r="BE119" s="923"/>
      <c r="BF119" s="923"/>
      <c r="BG119" s="923"/>
      <c r="BH119" s="923"/>
      <c r="BI119" s="923"/>
      <c r="BJ119" s="923"/>
      <c r="BK119" s="923"/>
      <c r="BL119" s="923"/>
      <c r="BM119" s="923"/>
      <c r="BN119" s="923"/>
      <c r="BO119" s="923"/>
    </row>
    <row r="120" spans="1:68" ht="20.100000000000001" customHeight="1">
      <c r="A120" s="822">
        <v>205</v>
      </c>
      <c r="B120" s="926"/>
      <c r="C120" s="927"/>
      <c r="D120" s="853" t="s">
        <v>4629</v>
      </c>
      <c r="E120" s="921"/>
      <c r="F120" s="922"/>
      <c r="G120" s="826" t="s">
        <v>4377</v>
      </c>
      <c r="H120" s="882"/>
      <c r="I120" s="882"/>
      <c r="J120" s="882"/>
      <c r="K120" s="882"/>
      <c r="L120" s="828">
        <f t="shared" ca="1" si="386"/>
        <v>0</v>
      </c>
      <c r="M120" s="828">
        <f t="shared" ca="1" si="386"/>
        <v>0</v>
      </c>
      <c r="N120" s="828">
        <f t="shared" ca="1" si="386"/>
        <v>0</v>
      </c>
      <c r="O120" s="828">
        <f t="shared" ca="1" si="386"/>
        <v>0</v>
      </c>
      <c r="P120" s="828">
        <f ca="1">OFFSET(貼付け_2024実績,$A120,10)</f>
        <v>0</v>
      </c>
      <c r="Q120" s="828">
        <f ca="1">OFFSET(貼付け_2025実績,$A120,10)</f>
        <v>0</v>
      </c>
      <c r="R120" s="828">
        <f ca="1">OFFSET(貼付け_2026実績,$A120,10)</f>
        <v>0</v>
      </c>
      <c r="S120" s="828">
        <f ca="1">OFFSET(貼付け_2027実績,$A120,10)</f>
        <v>0</v>
      </c>
      <c r="T120" s="828">
        <f ca="1">OFFSET(貼付け_2024実績,$A120,11)</f>
        <v>0</v>
      </c>
      <c r="U120" s="828">
        <f ca="1">OFFSET(貼付け_2025実績,$A120,11)</f>
        <v>0</v>
      </c>
      <c r="V120" s="828">
        <f ca="1">OFFSET(貼付け_2026実績,$A120,11)</f>
        <v>0</v>
      </c>
      <c r="W120" s="828">
        <f ca="1">OFFSET(貼付け_2027実績,$A120,11)</f>
        <v>0</v>
      </c>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3"/>
      <c r="AT120" s="923"/>
      <c r="AU120" s="923"/>
      <c r="AV120" s="923"/>
      <c r="AW120" s="923"/>
      <c r="AX120" s="923"/>
      <c r="AY120" s="923"/>
      <c r="AZ120" s="923"/>
      <c r="BA120" s="923"/>
      <c r="BB120" s="923"/>
      <c r="BC120" s="923"/>
      <c r="BD120" s="923"/>
      <c r="BE120" s="923"/>
      <c r="BF120" s="923"/>
      <c r="BG120" s="923"/>
      <c r="BH120" s="923"/>
      <c r="BI120" s="923"/>
      <c r="BJ120" s="923"/>
      <c r="BK120" s="923"/>
      <c r="BL120" s="923"/>
      <c r="BM120" s="923"/>
      <c r="BN120" s="923"/>
      <c r="BO120" s="923"/>
    </row>
    <row r="121" spans="1:68" ht="20.100000000000001" customHeight="1">
      <c r="A121" s="822">
        <v>206</v>
      </c>
      <c r="B121" s="928"/>
      <c r="C121" s="929"/>
      <c r="D121" s="853" t="s">
        <v>4378</v>
      </c>
      <c r="E121" s="921"/>
      <c r="F121" s="922"/>
      <c r="G121" s="826" t="s">
        <v>4377</v>
      </c>
      <c r="H121" s="882"/>
      <c r="I121" s="882"/>
      <c r="J121" s="882"/>
      <c r="K121" s="882"/>
      <c r="L121" s="828">
        <f t="shared" ca="1" si="386"/>
        <v>0</v>
      </c>
      <c r="M121" s="828">
        <f t="shared" ca="1" si="386"/>
        <v>0</v>
      </c>
      <c r="N121" s="828">
        <f t="shared" ca="1" si="386"/>
        <v>0</v>
      </c>
      <c r="O121" s="828">
        <f t="shared" ca="1" si="386"/>
        <v>0</v>
      </c>
      <c r="P121" s="828">
        <f ca="1">OFFSET(貼付け_2024実績,$A121,10)+OFFSET(貼付け_2024実績,$A121+1,10)+OFFSET(貼付け_2024実績,$A121+2,10)</f>
        <v>0</v>
      </c>
      <c r="Q121" s="828">
        <f ca="1">OFFSET(貼付け_2025実績,$A121,10)+OFFSET(貼付け_2025実績,$A121+1,10)+OFFSET(貼付け_2025実績,$A121+2,10)</f>
        <v>0</v>
      </c>
      <c r="R121" s="828">
        <f ca="1">OFFSET(貼付け_2026実績,$A121,10)+OFFSET(貼付け_2026実績,$A121+1,10)+OFFSET(貼付け_2026実績,$A121+2,10)</f>
        <v>0</v>
      </c>
      <c r="S121" s="828">
        <f ca="1">OFFSET(貼付け_2027実績,$A121,10)+OFFSET(貼付け_2027実績,$A121+1,10)+OFFSET(貼付け_2027実績,$A121+2,10)</f>
        <v>0</v>
      </c>
      <c r="T121" s="828">
        <f ca="1">OFFSET(貼付け_2024実績,$A121,11)+OFFSET(貼付け_2024実績,$A121+1,11)+OFFSET(貼付け_2024実績,$A121+2,11)</f>
        <v>0</v>
      </c>
      <c r="U121" s="828">
        <f ca="1">OFFSET(貼付け_2025実績,$A121,11)+OFFSET(貼付け_2025実績,$A121+1,11)+OFFSET(貼付け_2025実績,$A121+2,11)</f>
        <v>0</v>
      </c>
      <c r="V121" s="828">
        <f ca="1">OFFSET(貼付け_2026実績,$A121,11)+OFFSET(貼付け_2026実績,$A121+1,11)+OFFSET(貼付け_2026実績,$A121+2,11)</f>
        <v>0</v>
      </c>
      <c r="W121" s="828">
        <f ca="1">OFFSET(貼付け_2027実績,$A121,11)+OFFSET(貼付け_2027実績,$A121+1,11)+OFFSET(貼付け_2027実績,$A121+2,11)</f>
        <v>0</v>
      </c>
      <c r="X121" s="923"/>
      <c r="Y121" s="923"/>
      <c r="Z121" s="923"/>
      <c r="AA121" s="923"/>
      <c r="AB121" s="923"/>
      <c r="AC121" s="923"/>
      <c r="AD121" s="923"/>
      <c r="AE121" s="923"/>
      <c r="AF121" s="923"/>
      <c r="AG121" s="923"/>
      <c r="AH121" s="923"/>
      <c r="AI121" s="923"/>
      <c r="AJ121" s="923"/>
      <c r="AK121" s="923"/>
      <c r="AL121" s="923"/>
      <c r="AM121" s="923"/>
      <c r="AN121" s="923"/>
      <c r="AO121" s="923"/>
      <c r="AP121" s="923"/>
      <c r="AQ121" s="923"/>
      <c r="AR121" s="923"/>
      <c r="AS121" s="923"/>
      <c r="AT121" s="923"/>
      <c r="AU121" s="923"/>
      <c r="AV121" s="923"/>
      <c r="AW121" s="923"/>
      <c r="AX121" s="923"/>
      <c r="AY121" s="923"/>
      <c r="AZ121" s="923"/>
      <c r="BA121" s="923"/>
      <c r="BB121" s="923"/>
      <c r="BC121" s="923"/>
      <c r="BD121" s="923"/>
      <c r="BE121" s="923"/>
      <c r="BF121" s="923"/>
      <c r="BG121" s="923"/>
      <c r="BH121" s="923"/>
      <c r="BI121" s="923"/>
      <c r="BJ121" s="923"/>
      <c r="BK121" s="923"/>
      <c r="BL121" s="923"/>
      <c r="BM121" s="923"/>
      <c r="BN121" s="923"/>
      <c r="BO121" s="923"/>
    </row>
    <row r="122" spans="1:68" ht="20.100000000000001" customHeight="1">
      <c r="A122" s="822">
        <v>209</v>
      </c>
      <c r="B122" s="926" t="s">
        <v>4630</v>
      </c>
      <c r="C122" s="930"/>
      <c r="D122" s="887"/>
      <c r="E122" s="921"/>
      <c r="F122" s="922"/>
      <c r="G122" s="826" t="s">
        <v>4377</v>
      </c>
      <c r="H122" s="911"/>
      <c r="I122" s="911"/>
      <c r="J122" s="911"/>
      <c r="K122" s="911"/>
      <c r="L122" s="828">
        <f t="shared" ca="1" si="386"/>
        <v>0</v>
      </c>
      <c r="M122" s="828">
        <f t="shared" ca="1" si="386"/>
        <v>0</v>
      </c>
      <c r="N122" s="828">
        <f t="shared" ca="1" si="386"/>
        <v>0</v>
      </c>
      <c r="O122" s="828">
        <f t="shared" ca="1" si="386"/>
        <v>0</v>
      </c>
      <c r="P122" s="828">
        <f ca="1">OFFSET(貼付け_2024実績,$A122,10)+OFFSET(貼付け_2024実績,$A122+1,10)</f>
        <v>0</v>
      </c>
      <c r="Q122" s="828">
        <f ca="1">OFFSET(貼付け_2025実績,$A122,10)+OFFSET(貼付け_2025実績,$A122+1,10)</f>
        <v>0</v>
      </c>
      <c r="R122" s="828">
        <f ca="1">OFFSET(貼付け_2026実績,$A122,10)+OFFSET(貼付け_2026実績,$A122+1,10)</f>
        <v>0</v>
      </c>
      <c r="S122" s="828">
        <f ca="1">OFFSET(貼付け_2027実績,$A122,10)+OFFSET(貼付け_2027実績,$A122+1,10)</f>
        <v>0</v>
      </c>
      <c r="T122" s="828">
        <f ca="1">OFFSET(貼付け_2024実績,$A122,11)+OFFSET(貼付け_2024実績,$A122+1,11)</f>
        <v>0</v>
      </c>
      <c r="U122" s="828">
        <f ca="1">OFFSET(貼付け_2025実績,$A122,11)+OFFSET(貼付け_2025実績,$A122+1,11)</f>
        <v>0</v>
      </c>
      <c r="V122" s="828">
        <f ca="1">OFFSET(貼付け_2026実績,$A122,11)+OFFSET(貼付け_2026実績,$A122+1,11)</f>
        <v>0</v>
      </c>
      <c r="W122" s="828">
        <f ca="1">OFFSET(貼付け_2027実績,$A122,11)+OFFSET(貼付け_2027実績,$A122+1,11)</f>
        <v>0</v>
      </c>
      <c r="X122" s="923"/>
      <c r="Y122" s="923"/>
      <c r="Z122" s="923"/>
      <c r="AA122" s="923"/>
      <c r="AB122" s="923"/>
      <c r="AC122" s="923"/>
      <c r="AD122" s="923"/>
      <c r="AE122" s="923"/>
      <c r="AF122" s="923"/>
      <c r="AG122" s="923"/>
      <c r="AH122" s="923"/>
      <c r="AI122" s="923"/>
      <c r="AJ122" s="923"/>
      <c r="AK122" s="923"/>
      <c r="AL122" s="923"/>
      <c r="AM122" s="923"/>
      <c r="AN122" s="923"/>
      <c r="AO122" s="923"/>
      <c r="AP122" s="923"/>
      <c r="AQ122" s="923"/>
      <c r="AR122" s="923"/>
      <c r="AS122" s="923"/>
      <c r="AT122" s="923"/>
      <c r="AU122" s="923"/>
      <c r="AV122" s="923"/>
      <c r="AW122" s="923"/>
      <c r="AX122" s="923"/>
      <c r="AY122" s="923"/>
      <c r="AZ122" s="923"/>
      <c r="BA122" s="923"/>
      <c r="BB122" s="923"/>
      <c r="BC122" s="923"/>
      <c r="BD122" s="923"/>
      <c r="BE122" s="923"/>
      <c r="BF122" s="923"/>
      <c r="BG122" s="923"/>
      <c r="BH122" s="923"/>
      <c r="BI122" s="923"/>
      <c r="BJ122" s="923"/>
      <c r="BK122" s="923"/>
      <c r="BL122" s="923"/>
      <c r="BM122" s="923"/>
      <c r="BN122" s="923"/>
      <c r="BO122" s="923"/>
    </row>
    <row r="123" spans="1:68" ht="20.100000000000001" customHeight="1">
      <c r="A123" s="822">
        <v>10</v>
      </c>
      <c r="B123" s="1869" t="s">
        <v>4389</v>
      </c>
      <c r="C123" s="1873" t="s">
        <v>4390</v>
      </c>
      <c r="D123" s="824" t="s">
        <v>4392</v>
      </c>
      <c r="E123" s="824"/>
      <c r="F123" s="825"/>
      <c r="G123" s="826" t="s">
        <v>4631</v>
      </c>
      <c r="H123" s="827">
        <f t="shared" ref="H123:H148" ca="1" si="387">IFERROR(OFFSET(貼付け_2024実績,$A123,5),"")</f>
        <v>33.4</v>
      </c>
      <c r="I123" s="827">
        <f t="shared" ref="I123:I148" ca="1" si="388">IFERROR(OFFSET(貼付け_2025実績,$A123,5),"")</f>
        <v>33.4</v>
      </c>
      <c r="J123" s="827">
        <f t="shared" ref="J123:J148" ca="1" si="389">IFERROR(OFFSET(貼付け_2026実績,$A123,5),"")</f>
        <v>33.4</v>
      </c>
      <c r="K123" s="827">
        <f t="shared" ref="K123:K148" ca="1" si="390">IFERROR(OFFSET(貼付け_2027実績,$A123,5),"")</f>
        <v>33.4</v>
      </c>
      <c r="L123" s="828">
        <f ca="1">P123+T123</f>
        <v>0</v>
      </c>
      <c r="M123" s="828">
        <f t="shared" ca="1" si="386"/>
        <v>0</v>
      </c>
      <c r="N123" s="828">
        <f t="shared" ca="1" si="386"/>
        <v>0</v>
      </c>
      <c r="O123" s="828">
        <f t="shared" ca="1" si="386"/>
        <v>0</v>
      </c>
      <c r="P123" s="828">
        <f t="shared" ref="P123:P130" ca="1" si="391">IFERROR(OFFSET(貼付け_2024実績,$A123,7),"")</f>
        <v>0</v>
      </c>
      <c r="Q123" s="828">
        <f t="shared" ref="Q123:Q130" ca="1" si="392">IFERROR(OFFSET(貼付け_2025実績,$A123,7),"")</f>
        <v>0</v>
      </c>
      <c r="R123" s="828">
        <f t="shared" ref="R123:R130" ca="1" si="393">IFERROR(OFFSET(貼付け_2026実績,$A123,7),"")</f>
        <v>0</v>
      </c>
      <c r="S123" s="828">
        <f t="shared" ref="S123:S130" ca="1" si="394">IFERROR(OFFSET(貼付け_2027実績,$A123,7),"")</f>
        <v>0</v>
      </c>
      <c r="T123" s="828">
        <f t="shared" ref="T123:T149" ca="1" si="395">IFERROR(OFFSET(貼付け_2024実績,$A123,8),"")</f>
        <v>0</v>
      </c>
      <c r="U123" s="828">
        <f t="shared" ref="U123:U149" ca="1" si="396">IFERROR(OFFSET(貼付け_2025実績,$A123,8),"")</f>
        <v>0</v>
      </c>
      <c r="V123" s="828">
        <f t="shared" ref="V123:V149" ca="1" si="397">IFERROR(OFFSET(貼付け_2026実績,$A123,8),"")</f>
        <v>0</v>
      </c>
      <c r="W123" s="828">
        <f t="shared" ref="W123:W149" ca="1" si="398">IFERROR(OFFSET(貼付け_2027実績,$A123,8),"")</f>
        <v>0</v>
      </c>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3"/>
      <c r="AT123" s="923"/>
      <c r="AU123" s="923"/>
      <c r="AV123" s="923"/>
      <c r="AW123" s="923"/>
      <c r="AX123" s="923"/>
      <c r="AY123" s="923"/>
      <c r="AZ123" s="923"/>
      <c r="BA123" s="923"/>
      <c r="BB123" s="923"/>
      <c r="BC123" s="923"/>
      <c r="BD123" s="923"/>
      <c r="BE123" s="923"/>
      <c r="BF123" s="923"/>
      <c r="BG123" s="923"/>
      <c r="BH123" s="923"/>
      <c r="BI123" s="923"/>
      <c r="BJ123" s="923"/>
      <c r="BK123" s="923"/>
      <c r="BL123" s="923"/>
      <c r="BM123" s="923"/>
      <c r="BN123" s="923"/>
      <c r="BO123" s="923"/>
    </row>
    <row r="124" spans="1:68" ht="20.100000000000001" customHeight="1">
      <c r="A124" s="822">
        <v>12</v>
      </c>
      <c r="B124" s="1870"/>
      <c r="C124" s="1901"/>
      <c r="D124" s="824" t="s">
        <v>4393</v>
      </c>
      <c r="E124" s="824"/>
      <c r="F124" s="825"/>
      <c r="G124" s="826" t="s">
        <v>4631</v>
      </c>
      <c r="H124" s="827">
        <f t="shared" ca="1" si="387"/>
        <v>36.299999999999997</v>
      </c>
      <c r="I124" s="827">
        <f t="shared" ca="1" si="388"/>
        <v>36.299999999999997</v>
      </c>
      <c r="J124" s="827">
        <f t="shared" ca="1" si="389"/>
        <v>36.299999999999997</v>
      </c>
      <c r="K124" s="827">
        <f t="shared" ca="1" si="390"/>
        <v>36.299999999999997</v>
      </c>
      <c r="L124" s="828">
        <f t="shared" ref="L124:O157" ca="1" si="399">P124+T124</f>
        <v>0</v>
      </c>
      <c r="M124" s="828">
        <f t="shared" ca="1" si="386"/>
        <v>0</v>
      </c>
      <c r="N124" s="828">
        <f t="shared" ca="1" si="386"/>
        <v>0</v>
      </c>
      <c r="O124" s="828">
        <f t="shared" ca="1" si="386"/>
        <v>0</v>
      </c>
      <c r="P124" s="828">
        <f t="shared" ca="1" si="391"/>
        <v>0</v>
      </c>
      <c r="Q124" s="828">
        <f t="shared" ca="1" si="392"/>
        <v>0</v>
      </c>
      <c r="R124" s="828">
        <f t="shared" ca="1" si="393"/>
        <v>0</v>
      </c>
      <c r="S124" s="828">
        <f t="shared" ca="1" si="394"/>
        <v>0</v>
      </c>
      <c r="T124" s="828">
        <f t="shared" ca="1" si="395"/>
        <v>0</v>
      </c>
      <c r="U124" s="828">
        <f t="shared" ca="1" si="396"/>
        <v>0</v>
      </c>
      <c r="V124" s="828">
        <f t="shared" ca="1" si="397"/>
        <v>0</v>
      </c>
      <c r="W124" s="828">
        <f t="shared" ca="1" si="398"/>
        <v>0</v>
      </c>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row>
    <row r="125" spans="1:68" ht="20.100000000000001" customHeight="1">
      <c r="A125" s="822">
        <v>14</v>
      </c>
      <c r="B125" s="1870"/>
      <c r="C125" s="1901"/>
      <c r="D125" s="824" t="s">
        <v>4150</v>
      </c>
      <c r="E125" s="824"/>
      <c r="F125" s="825"/>
      <c r="G125" s="826" t="s">
        <v>4631</v>
      </c>
      <c r="H125" s="827">
        <f t="shared" ca="1" si="387"/>
        <v>38</v>
      </c>
      <c r="I125" s="827">
        <f t="shared" ca="1" si="388"/>
        <v>38</v>
      </c>
      <c r="J125" s="827">
        <f t="shared" ca="1" si="389"/>
        <v>38</v>
      </c>
      <c r="K125" s="827">
        <f t="shared" ca="1" si="390"/>
        <v>38</v>
      </c>
      <c r="L125" s="828">
        <f t="shared" ca="1" si="399"/>
        <v>0</v>
      </c>
      <c r="M125" s="828">
        <f t="shared" ca="1" si="386"/>
        <v>0</v>
      </c>
      <c r="N125" s="828">
        <f t="shared" ca="1" si="386"/>
        <v>0</v>
      </c>
      <c r="O125" s="828">
        <f t="shared" ca="1" si="386"/>
        <v>0</v>
      </c>
      <c r="P125" s="828">
        <f t="shared" ca="1" si="391"/>
        <v>0</v>
      </c>
      <c r="Q125" s="828">
        <f t="shared" ca="1" si="392"/>
        <v>0</v>
      </c>
      <c r="R125" s="828">
        <f t="shared" ca="1" si="393"/>
        <v>0</v>
      </c>
      <c r="S125" s="828">
        <f t="shared" ca="1" si="394"/>
        <v>0</v>
      </c>
      <c r="T125" s="828">
        <f t="shared" ca="1" si="395"/>
        <v>0</v>
      </c>
      <c r="U125" s="828">
        <f t="shared" ca="1" si="396"/>
        <v>0</v>
      </c>
      <c r="V125" s="828">
        <f t="shared" ca="1" si="397"/>
        <v>0</v>
      </c>
      <c r="W125" s="828">
        <f t="shared" ca="1" si="398"/>
        <v>0</v>
      </c>
      <c r="X125" s="923"/>
      <c r="Y125" s="923"/>
      <c r="Z125" s="923"/>
      <c r="AA125" s="923"/>
      <c r="AB125" s="923"/>
      <c r="AC125" s="923"/>
      <c r="AD125" s="923"/>
      <c r="AE125" s="923"/>
      <c r="AF125" s="923"/>
      <c r="AG125" s="923"/>
      <c r="AH125" s="923"/>
      <c r="AI125" s="923"/>
      <c r="AJ125" s="923"/>
      <c r="AK125" s="923"/>
      <c r="AL125" s="923"/>
      <c r="AM125" s="923"/>
      <c r="AN125" s="923"/>
      <c r="AO125" s="923"/>
      <c r="AP125" s="923"/>
      <c r="AQ125" s="923"/>
      <c r="AR125" s="923"/>
      <c r="AS125" s="923"/>
      <c r="AT125" s="923"/>
      <c r="AU125" s="923"/>
      <c r="AV125" s="923"/>
      <c r="AW125" s="923"/>
      <c r="AX125" s="923"/>
      <c r="AY125" s="923"/>
      <c r="AZ125" s="923"/>
      <c r="BA125" s="923"/>
      <c r="BB125" s="923"/>
      <c r="BC125" s="923"/>
      <c r="BD125" s="923"/>
      <c r="BE125" s="923"/>
      <c r="BF125" s="923"/>
      <c r="BG125" s="923"/>
      <c r="BH125" s="923"/>
      <c r="BI125" s="923"/>
      <c r="BJ125" s="923"/>
      <c r="BK125" s="923"/>
      <c r="BL125" s="923"/>
      <c r="BM125" s="923"/>
      <c r="BN125" s="923"/>
      <c r="BO125" s="923"/>
    </row>
    <row r="126" spans="1:68" ht="20.100000000000001" customHeight="1">
      <c r="A126" s="822">
        <v>15</v>
      </c>
      <c r="B126" s="1870"/>
      <c r="C126" s="1901"/>
      <c r="D126" s="824" t="s">
        <v>4151</v>
      </c>
      <c r="E126" s="824"/>
      <c r="F126" s="825"/>
      <c r="G126" s="826" t="s">
        <v>4631</v>
      </c>
      <c r="H126" s="827">
        <f t="shared" ca="1" si="387"/>
        <v>38.9</v>
      </c>
      <c r="I126" s="827">
        <f t="shared" ca="1" si="388"/>
        <v>38.9</v>
      </c>
      <c r="J126" s="827">
        <f t="shared" ca="1" si="389"/>
        <v>38.9</v>
      </c>
      <c r="K126" s="827">
        <f t="shared" ca="1" si="390"/>
        <v>38.9</v>
      </c>
      <c r="L126" s="828">
        <f t="shared" ca="1" si="399"/>
        <v>0</v>
      </c>
      <c r="M126" s="828">
        <f t="shared" ca="1" si="386"/>
        <v>0</v>
      </c>
      <c r="N126" s="828">
        <f t="shared" ca="1" si="386"/>
        <v>0</v>
      </c>
      <c r="O126" s="828">
        <f t="shared" ca="1" si="386"/>
        <v>0</v>
      </c>
      <c r="P126" s="828">
        <f t="shared" ca="1" si="391"/>
        <v>0</v>
      </c>
      <c r="Q126" s="828">
        <f t="shared" ca="1" si="392"/>
        <v>0</v>
      </c>
      <c r="R126" s="828">
        <f t="shared" ca="1" si="393"/>
        <v>0</v>
      </c>
      <c r="S126" s="828">
        <f t="shared" ca="1" si="394"/>
        <v>0</v>
      </c>
      <c r="T126" s="828">
        <f t="shared" ca="1" si="395"/>
        <v>0</v>
      </c>
      <c r="U126" s="828">
        <f t="shared" ca="1" si="396"/>
        <v>0</v>
      </c>
      <c r="V126" s="828">
        <f t="shared" ca="1" si="397"/>
        <v>0</v>
      </c>
      <c r="W126" s="828">
        <f t="shared" ca="1" si="398"/>
        <v>0</v>
      </c>
      <c r="X126" s="923"/>
      <c r="Y126" s="923"/>
      <c r="Z126" s="923"/>
      <c r="AA126" s="923"/>
      <c r="AB126" s="923"/>
      <c r="AC126" s="923"/>
      <c r="AD126" s="923"/>
      <c r="AE126" s="923"/>
      <c r="AF126" s="923"/>
      <c r="AG126" s="923"/>
      <c r="AH126" s="923"/>
      <c r="AI126" s="923"/>
      <c r="AJ126" s="923"/>
      <c r="AK126" s="923"/>
      <c r="AL126" s="923"/>
      <c r="AM126" s="923"/>
      <c r="AN126" s="923"/>
      <c r="AO126" s="923"/>
      <c r="AP126" s="923"/>
      <c r="AQ126" s="923"/>
      <c r="AR126" s="923"/>
      <c r="AS126" s="923"/>
      <c r="AT126" s="923"/>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row>
    <row r="127" spans="1:68" ht="20.100000000000001" customHeight="1">
      <c r="A127" s="822">
        <v>16</v>
      </c>
      <c r="B127" s="1870"/>
      <c r="C127" s="1901"/>
      <c r="D127" s="824" t="s">
        <v>4152</v>
      </c>
      <c r="E127" s="818"/>
      <c r="F127" s="825"/>
      <c r="G127" s="826" t="s">
        <v>4631</v>
      </c>
      <c r="H127" s="827">
        <f t="shared" ca="1" si="387"/>
        <v>41.8</v>
      </c>
      <c r="I127" s="827">
        <f t="shared" ca="1" si="388"/>
        <v>41.8</v>
      </c>
      <c r="J127" s="827">
        <f t="shared" ca="1" si="389"/>
        <v>41.8</v>
      </c>
      <c r="K127" s="827">
        <f t="shared" ca="1" si="390"/>
        <v>41.8</v>
      </c>
      <c r="L127" s="828">
        <f t="shared" ca="1" si="399"/>
        <v>0</v>
      </c>
      <c r="M127" s="828">
        <f t="shared" ca="1" si="386"/>
        <v>0</v>
      </c>
      <c r="N127" s="828">
        <f t="shared" ca="1" si="386"/>
        <v>0</v>
      </c>
      <c r="O127" s="828">
        <f t="shared" ca="1" si="386"/>
        <v>0</v>
      </c>
      <c r="P127" s="828">
        <f t="shared" ca="1" si="391"/>
        <v>0</v>
      </c>
      <c r="Q127" s="828">
        <f t="shared" ca="1" si="392"/>
        <v>0</v>
      </c>
      <c r="R127" s="828">
        <f t="shared" ca="1" si="393"/>
        <v>0</v>
      </c>
      <c r="S127" s="828">
        <f t="shared" ca="1" si="394"/>
        <v>0</v>
      </c>
      <c r="T127" s="828">
        <f t="shared" ca="1" si="395"/>
        <v>0</v>
      </c>
      <c r="U127" s="828">
        <f t="shared" ca="1" si="396"/>
        <v>0</v>
      </c>
      <c r="V127" s="828">
        <f t="shared" ca="1" si="397"/>
        <v>0</v>
      </c>
      <c r="W127" s="828">
        <f t="shared" ca="1" si="398"/>
        <v>0</v>
      </c>
      <c r="X127" s="923"/>
      <c r="Y127" s="923"/>
      <c r="Z127" s="923"/>
      <c r="AA127" s="923"/>
      <c r="AB127" s="923"/>
      <c r="AC127" s="923"/>
      <c r="AD127" s="923"/>
      <c r="AE127" s="923"/>
      <c r="AF127" s="923"/>
      <c r="AG127" s="923"/>
      <c r="AH127" s="923"/>
      <c r="AI127" s="923"/>
      <c r="AJ127" s="923"/>
      <c r="AK127" s="923"/>
      <c r="AL127" s="923"/>
      <c r="AM127" s="923"/>
      <c r="AN127" s="923"/>
      <c r="AO127" s="923"/>
      <c r="AP127" s="923"/>
      <c r="AQ127" s="923"/>
      <c r="AR127" s="923"/>
      <c r="AS127" s="923"/>
      <c r="AT127" s="923"/>
      <c r="AU127" s="923"/>
      <c r="AV127" s="923"/>
      <c r="AW127" s="923"/>
      <c r="AX127" s="923"/>
      <c r="AY127" s="923"/>
      <c r="AZ127" s="923"/>
      <c r="BA127" s="923"/>
      <c r="BB127" s="923"/>
      <c r="BC127" s="923"/>
      <c r="BD127" s="923"/>
      <c r="BE127" s="923"/>
      <c r="BF127" s="923"/>
      <c r="BG127" s="923"/>
      <c r="BH127" s="923"/>
      <c r="BI127" s="923"/>
      <c r="BJ127" s="923"/>
      <c r="BK127" s="923"/>
      <c r="BL127" s="923"/>
      <c r="BM127" s="923"/>
      <c r="BN127" s="923"/>
      <c r="BO127" s="923"/>
    </row>
    <row r="128" spans="1:68" ht="20.100000000000001" customHeight="1">
      <c r="A128" s="822">
        <v>19</v>
      </c>
      <c r="B128" s="1870"/>
      <c r="C128" s="1901"/>
      <c r="D128" s="824" t="s">
        <v>4394</v>
      </c>
      <c r="E128" s="824"/>
      <c r="F128" s="825"/>
      <c r="G128" s="826" t="s">
        <v>4632</v>
      </c>
      <c r="H128" s="827">
        <f t="shared" ca="1" si="387"/>
        <v>50.1</v>
      </c>
      <c r="I128" s="827">
        <f t="shared" ca="1" si="388"/>
        <v>50.1</v>
      </c>
      <c r="J128" s="827">
        <f t="shared" ca="1" si="389"/>
        <v>50.1</v>
      </c>
      <c r="K128" s="827">
        <f t="shared" ca="1" si="390"/>
        <v>50.1</v>
      </c>
      <c r="L128" s="828">
        <f t="shared" ca="1" si="399"/>
        <v>0</v>
      </c>
      <c r="M128" s="828">
        <f t="shared" ca="1" si="386"/>
        <v>0</v>
      </c>
      <c r="N128" s="828">
        <f t="shared" ca="1" si="386"/>
        <v>0</v>
      </c>
      <c r="O128" s="828">
        <f t="shared" ca="1" si="386"/>
        <v>0</v>
      </c>
      <c r="P128" s="828">
        <f t="shared" ca="1" si="391"/>
        <v>0</v>
      </c>
      <c r="Q128" s="828">
        <f t="shared" ca="1" si="392"/>
        <v>0</v>
      </c>
      <c r="R128" s="828">
        <f t="shared" ca="1" si="393"/>
        <v>0</v>
      </c>
      <c r="S128" s="828">
        <f t="shared" ca="1" si="394"/>
        <v>0</v>
      </c>
      <c r="T128" s="828">
        <f t="shared" ca="1" si="395"/>
        <v>0</v>
      </c>
      <c r="U128" s="828">
        <f t="shared" ca="1" si="396"/>
        <v>0</v>
      </c>
      <c r="V128" s="828">
        <f t="shared" ca="1" si="397"/>
        <v>0</v>
      </c>
      <c r="W128" s="828">
        <f t="shared" ca="1" si="398"/>
        <v>0</v>
      </c>
      <c r="X128" s="923"/>
      <c r="Y128" s="923"/>
      <c r="Z128" s="923"/>
      <c r="AA128" s="923"/>
      <c r="AB128" s="923"/>
      <c r="AC128" s="923"/>
      <c r="AD128" s="923"/>
      <c r="AE128" s="923"/>
      <c r="AF128" s="923"/>
      <c r="AG128" s="923"/>
      <c r="AH128" s="923"/>
      <c r="AI128" s="923"/>
      <c r="AJ128" s="923"/>
      <c r="AK128" s="923"/>
      <c r="AL128" s="923"/>
      <c r="AM128" s="923"/>
      <c r="AN128" s="923"/>
      <c r="AO128" s="923"/>
      <c r="AP128" s="923"/>
      <c r="AQ128" s="923"/>
      <c r="AR128" s="923"/>
      <c r="AS128" s="923"/>
      <c r="AT128" s="923"/>
      <c r="AU128" s="923"/>
      <c r="AV128" s="923"/>
      <c r="AW128" s="923"/>
      <c r="AX128" s="923"/>
      <c r="AY128" s="923"/>
      <c r="AZ128" s="923"/>
      <c r="BA128" s="923"/>
      <c r="BB128" s="923"/>
      <c r="BC128" s="923"/>
      <c r="BD128" s="923"/>
      <c r="BE128" s="923"/>
      <c r="BF128" s="923"/>
      <c r="BG128" s="923"/>
      <c r="BH128" s="923"/>
      <c r="BI128" s="923"/>
      <c r="BJ128" s="923"/>
      <c r="BK128" s="923"/>
      <c r="BL128" s="923"/>
      <c r="BM128" s="923"/>
      <c r="BN128" s="923"/>
      <c r="BO128" s="923"/>
    </row>
    <row r="129" spans="1:67" ht="20.100000000000001" customHeight="1">
      <c r="A129" s="822">
        <v>21</v>
      </c>
      <c r="B129" s="1870"/>
      <c r="C129" s="1901"/>
      <c r="D129" s="824" t="s">
        <v>4396</v>
      </c>
      <c r="E129" s="818"/>
      <c r="F129" s="825"/>
      <c r="G129" s="826" t="s">
        <v>4632</v>
      </c>
      <c r="H129" s="827">
        <f t="shared" ca="1" si="387"/>
        <v>54.7</v>
      </c>
      <c r="I129" s="827">
        <f t="shared" ca="1" si="388"/>
        <v>54.7</v>
      </c>
      <c r="J129" s="827">
        <f t="shared" ca="1" si="389"/>
        <v>54.7</v>
      </c>
      <c r="K129" s="827">
        <f t="shared" ca="1" si="390"/>
        <v>54.7</v>
      </c>
      <c r="L129" s="828">
        <f t="shared" ca="1" si="399"/>
        <v>0</v>
      </c>
      <c r="M129" s="828">
        <f t="shared" ca="1" si="386"/>
        <v>0</v>
      </c>
      <c r="N129" s="828">
        <f t="shared" ca="1" si="386"/>
        <v>0</v>
      </c>
      <c r="O129" s="828">
        <f t="shared" ca="1" si="386"/>
        <v>0</v>
      </c>
      <c r="P129" s="828">
        <f t="shared" ca="1" si="391"/>
        <v>0</v>
      </c>
      <c r="Q129" s="828">
        <f t="shared" ca="1" si="392"/>
        <v>0</v>
      </c>
      <c r="R129" s="828">
        <f t="shared" ca="1" si="393"/>
        <v>0</v>
      </c>
      <c r="S129" s="828">
        <f t="shared" ca="1" si="394"/>
        <v>0</v>
      </c>
      <c r="T129" s="828">
        <f t="shared" ca="1" si="395"/>
        <v>0</v>
      </c>
      <c r="U129" s="828">
        <f t="shared" ca="1" si="396"/>
        <v>0</v>
      </c>
      <c r="V129" s="828">
        <f t="shared" ca="1" si="397"/>
        <v>0</v>
      </c>
      <c r="W129" s="828">
        <f t="shared" ca="1" si="398"/>
        <v>0</v>
      </c>
      <c r="X129" s="923"/>
      <c r="Y129" s="923"/>
      <c r="Z129" s="923"/>
      <c r="AA129" s="923"/>
      <c r="AB129" s="923"/>
      <c r="AC129" s="923"/>
      <c r="AD129" s="923"/>
      <c r="AE129" s="923"/>
      <c r="AF129" s="923"/>
      <c r="AG129" s="923"/>
      <c r="AH129" s="923"/>
      <c r="AI129" s="923"/>
      <c r="AJ129" s="923"/>
      <c r="AK129" s="923"/>
      <c r="AL129" s="923"/>
      <c r="AM129" s="923"/>
      <c r="AN129" s="923"/>
      <c r="AO129" s="923"/>
      <c r="AP129" s="923"/>
      <c r="AQ129" s="923"/>
      <c r="AR129" s="923"/>
      <c r="AS129" s="923"/>
      <c r="AT129" s="923"/>
      <c r="AU129" s="923"/>
      <c r="AV129" s="923"/>
      <c r="AW129" s="923"/>
      <c r="AX129" s="923"/>
      <c r="AY129" s="923"/>
      <c r="AZ129" s="923"/>
      <c r="BA129" s="923"/>
      <c r="BB129" s="923"/>
      <c r="BC129" s="923"/>
      <c r="BD129" s="923"/>
      <c r="BE129" s="923"/>
      <c r="BF129" s="923"/>
      <c r="BG129" s="923"/>
      <c r="BH129" s="923"/>
      <c r="BI129" s="923"/>
      <c r="BJ129" s="923"/>
      <c r="BK129" s="923"/>
      <c r="BL129" s="923"/>
      <c r="BM129" s="923"/>
      <c r="BN129" s="923"/>
      <c r="BO129" s="923"/>
    </row>
    <row r="130" spans="1:67" ht="20.100000000000001" customHeight="1">
      <c r="A130" s="822">
        <v>35</v>
      </c>
      <c r="B130" s="1870"/>
      <c r="C130" s="1901"/>
      <c r="D130" s="824" t="s">
        <v>4633</v>
      </c>
      <c r="E130" s="829"/>
      <c r="F130" s="825"/>
      <c r="G130" s="931" t="s">
        <v>4158</v>
      </c>
      <c r="H130" s="876"/>
      <c r="I130" s="876"/>
      <c r="J130" s="876"/>
      <c r="K130" s="876"/>
      <c r="L130" s="828">
        <f t="shared" ca="1" si="399"/>
        <v>0</v>
      </c>
      <c r="M130" s="828">
        <f t="shared" ca="1" si="386"/>
        <v>0</v>
      </c>
      <c r="N130" s="828">
        <f t="shared" ca="1" si="386"/>
        <v>0</v>
      </c>
      <c r="O130" s="828">
        <f t="shared" ca="1" si="386"/>
        <v>0</v>
      </c>
      <c r="P130" s="828">
        <f t="shared" ca="1" si="391"/>
        <v>0</v>
      </c>
      <c r="Q130" s="828">
        <f t="shared" ca="1" si="392"/>
        <v>0</v>
      </c>
      <c r="R130" s="828">
        <f t="shared" ca="1" si="393"/>
        <v>0</v>
      </c>
      <c r="S130" s="828">
        <f t="shared" ca="1" si="394"/>
        <v>0</v>
      </c>
      <c r="T130" s="828">
        <f t="shared" ca="1" si="395"/>
        <v>0</v>
      </c>
      <c r="U130" s="828">
        <f t="shared" ca="1" si="396"/>
        <v>0</v>
      </c>
      <c r="V130" s="828">
        <f t="shared" ca="1" si="397"/>
        <v>0</v>
      </c>
      <c r="W130" s="828">
        <f t="shared" ca="1" si="398"/>
        <v>0</v>
      </c>
      <c r="X130" s="923"/>
      <c r="Y130" s="923"/>
      <c r="Z130" s="923"/>
      <c r="AA130" s="923"/>
      <c r="AB130" s="923"/>
      <c r="AC130" s="923"/>
      <c r="AD130" s="923"/>
      <c r="AE130" s="923"/>
      <c r="AF130" s="923"/>
      <c r="AG130" s="923"/>
      <c r="AH130" s="923"/>
      <c r="AI130" s="923"/>
      <c r="AJ130" s="923"/>
      <c r="AK130" s="923"/>
      <c r="AL130" s="923"/>
      <c r="AM130" s="923"/>
      <c r="AN130" s="923"/>
      <c r="AO130" s="923"/>
      <c r="AP130" s="923"/>
      <c r="AQ130" s="923"/>
      <c r="AR130" s="923"/>
      <c r="AS130" s="923"/>
      <c r="AT130" s="923"/>
      <c r="AU130" s="923"/>
      <c r="AV130" s="923"/>
      <c r="AW130" s="923"/>
      <c r="AX130" s="923"/>
      <c r="AY130" s="923"/>
      <c r="AZ130" s="923"/>
      <c r="BA130" s="923"/>
      <c r="BB130" s="923"/>
      <c r="BC130" s="923"/>
      <c r="BD130" s="923"/>
      <c r="BE130" s="923"/>
      <c r="BF130" s="923"/>
      <c r="BG130" s="923"/>
      <c r="BH130" s="923"/>
      <c r="BI130" s="923"/>
      <c r="BJ130" s="923"/>
      <c r="BK130" s="923"/>
      <c r="BL130" s="923"/>
      <c r="BM130" s="923"/>
      <c r="BN130" s="923"/>
      <c r="BO130" s="923"/>
    </row>
    <row r="131" spans="1:67" ht="20.100000000000001" customHeight="1">
      <c r="A131" s="822">
        <v>200</v>
      </c>
      <c r="B131" s="1870"/>
      <c r="C131" s="1902"/>
      <c r="D131" s="932" t="s">
        <v>4248</v>
      </c>
      <c r="E131" s="831" t="str">
        <f ca="1">OFFSET(A1_その他欄集計,2,13)</f>
        <v/>
      </c>
      <c r="F131" s="825"/>
      <c r="G131" s="831" t="str">
        <f ca="1">OFFSET(A1_その他欄集計,3,13)</f>
        <v/>
      </c>
      <c r="H131" s="827">
        <f ca="1">IFERROR(OFFSET(貼付け_2024実績,$A131,15),"")</f>
        <v>0</v>
      </c>
      <c r="I131" s="827">
        <f ca="1">IFERROR(OFFSET(貼付け_2025実績,$A131,15),"")</f>
        <v>0</v>
      </c>
      <c r="J131" s="827">
        <f ca="1">IFERROR(OFFSET(貼付け_2026実績,$A131,15),"")</f>
        <v>0</v>
      </c>
      <c r="K131" s="827">
        <f ca="1">IFERROR(OFFSET(貼付け_2027実績,$A131,15),"")</f>
        <v>0</v>
      </c>
      <c r="L131" s="828">
        <f t="shared" ca="1" si="399"/>
        <v>0</v>
      </c>
      <c r="M131" s="828">
        <f t="shared" ca="1" si="386"/>
        <v>0</v>
      </c>
      <c r="N131" s="828">
        <f t="shared" ca="1" si="386"/>
        <v>0</v>
      </c>
      <c r="O131" s="828">
        <f t="shared" ca="1" si="386"/>
        <v>0</v>
      </c>
      <c r="P131" s="828">
        <f ca="1">IFERROR(OFFSET(貼付け_2024実績,$A131,18),"")</f>
        <v>0</v>
      </c>
      <c r="Q131" s="828">
        <f ca="1">IFERROR(OFFSET(貼付け_2025実績,$A131,18),"")</f>
        <v>0</v>
      </c>
      <c r="R131" s="828">
        <f ca="1">IFERROR(OFFSET(貼付け_2026実績,$A131,18),"")</f>
        <v>0</v>
      </c>
      <c r="S131" s="828">
        <f ca="1">IFERROR(OFFSET(貼付け_2027実績,$A131,18),"")</f>
        <v>0</v>
      </c>
      <c r="T131" s="828">
        <f ca="1">IFERROR(OFFSET(貼付け_2024実績,$A131,19),"")</f>
        <v>0</v>
      </c>
      <c r="U131" s="828">
        <f ca="1">IFERROR(OFFSET(貼付け_2025実績,$A131,19),"")</f>
        <v>0</v>
      </c>
      <c r="V131" s="828">
        <f ca="1">IFERROR(OFFSET(貼付け_2026実績,$A131,19),"")</f>
        <v>0</v>
      </c>
      <c r="W131" s="828">
        <f ca="1">IFERROR(OFFSET(貼付け_2027実績,$A131,19),"")</f>
        <v>0</v>
      </c>
      <c r="X131" s="923"/>
      <c r="Y131" s="923"/>
      <c r="Z131" s="923"/>
      <c r="AA131" s="923"/>
      <c r="AB131" s="923"/>
      <c r="AC131" s="923"/>
      <c r="AD131" s="923"/>
      <c r="AE131" s="923"/>
      <c r="AF131" s="923"/>
      <c r="AG131" s="923"/>
      <c r="AH131" s="923"/>
      <c r="AI131" s="923"/>
      <c r="AJ131" s="923"/>
      <c r="AK131" s="923"/>
      <c r="AL131" s="923"/>
      <c r="AM131" s="923"/>
      <c r="AN131" s="923"/>
      <c r="AO131" s="923"/>
      <c r="AP131" s="923"/>
      <c r="AQ131" s="923"/>
      <c r="AR131" s="923"/>
      <c r="AS131" s="923"/>
      <c r="AT131" s="923"/>
      <c r="AU131" s="923"/>
      <c r="AV131" s="923"/>
      <c r="AW131" s="923"/>
      <c r="AX131" s="923"/>
      <c r="AY131" s="923"/>
      <c r="AZ131" s="923"/>
      <c r="BA131" s="923"/>
      <c r="BB131" s="923"/>
      <c r="BC131" s="923"/>
      <c r="BD131" s="923"/>
      <c r="BE131" s="923"/>
      <c r="BF131" s="923"/>
      <c r="BG131" s="923"/>
      <c r="BH131" s="923"/>
      <c r="BI131" s="923"/>
      <c r="BJ131" s="923"/>
      <c r="BK131" s="923"/>
      <c r="BL131" s="923"/>
      <c r="BM131" s="923"/>
      <c r="BN131" s="923"/>
      <c r="BO131" s="923"/>
    </row>
    <row r="132" spans="1:67" ht="20.100000000000001" customHeight="1">
      <c r="A132" s="822">
        <v>40</v>
      </c>
      <c r="B132" s="1870"/>
      <c r="C132" s="1873" t="s">
        <v>4406</v>
      </c>
      <c r="D132" s="824" t="s">
        <v>4179</v>
      </c>
      <c r="E132" s="824"/>
      <c r="F132" s="825"/>
      <c r="G132" s="826" t="s">
        <v>4631</v>
      </c>
      <c r="H132" s="827">
        <f t="shared" ca="1" si="387"/>
        <v>23.4</v>
      </c>
      <c r="I132" s="827">
        <f t="shared" ca="1" si="388"/>
        <v>23.4</v>
      </c>
      <c r="J132" s="827">
        <f t="shared" ca="1" si="389"/>
        <v>23.4</v>
      </c>
      <c r="K132" s="827">
        <f t="shared" ca="1" si="390"/>
        <v>23.4</v>
      </c>
      <c r="L132" s="828">
        <f t="shared" ca="1" si="399"/>
        <v>0</v>
      </c>
      <c r="M132" s="828">
        <f t="shared" ca="1" si="386"/>
        <v>0</v>
      </c>
      <c r="N132" s="828">
        <f t="shared" ca="1" si="386"/>
        <v>0</v>
      </c>
      <c r="O132" s="828">
        <f t="shared" ca="1" si="386"/>
        <v>0</v>
      </c>
      <c r="P132" s="828">
        <f ca="1">IFERROR(OFFSET(貼付け_2024実績,$A132,7),"")</f>
        <v>0</v>
      </c>
      <c r="Q132" s="828">
        <f ca="1">IFERROR(OFFSET(貼付け_2025実績,$A132,7),"")</f>
        <v>0</v>
      </c>
      <c r="R132" s="828">
        <f ca="1">IFERROR(OFFSET(貼付け_2026実績,$A132,7),"")</f>
        <v>0</v>
      </c>
      <c r="S132" s="828">
        <f ca="1">IFERROR(OFFSET(貼付け_2027実績,$A132,7),"")</f>
        <v>0</v>
      </c>
      <c r="T132" s="828">
        <f t="shared" ca="1" si="395"/>
        <v>0</v>
      </c>
      <c r="U132" s="828">
        <f t="shared" ca="1" si="396"/>
        <v>0</v>
      </c>
      <c r="V132" s="828">
        <f t="shared" ca="1" si="397"/>
        <v>0</v>
      </c>
      <c r="W132" s="828">
        <f t="shared" ca="1" si="398"/>
        <v>0</v>
      </c>
      <c r="X132" s="923"/>
      <c r="Y132" s="923"/>
      <c r="Z132" s="923"/>
      <c r="AA132" s="923"/>
      <c r="AB132" s="923"/>
      <c r="AC132" s="923"/>
      <c r="AD132" s="923"/>
      <c r="AE132" s="923"/>
      <c r="AF132" s="923"/>
      <c r="AG132" s="923"/>
      <c r="AH132" s="923"/>
      <c r="AI132" s="923"/>
      <c r="AJ132" s="923"/>
      <c r="AK132" s="923"/>
      <c r="AL132" s="923"/>
      <c r="AM132" s="923"/>
      <c r="AN132" s="923"/>
      <c r="AO132" s="923"/>
      <c r="AP132" s="923"/>
      <c r="AQ132" s="923"/>
      <c r="AR132" s="923"/>
      <c r="AS132" s="923"/>
      <c r="AT132" s="923"/>
      <c r="AU132" s="923"/>
      <c r="AV132" s="923"/>
      <c r="AW132" s="923"/>
      <c r="AX132" s="923"/>
      <c r="AY132" s="923"/>
      <c r="AZ132" s="923"/>
      <c r="BA132" s="923"/>
      <c r="BB132" s="923"/>
      <c r="BC132" s="923"/>
      <c r="BD132" s="923"/>
      <c r="BE132" s="923"/>
      <c r="BF132" s="923"/>
      <c r="BG132" s="923"/>
      <c r="BH132" s="923"/>
      <c r="BI132" s="923"/>
      <c r="BJ132" s="923"/>
      <c r="BK132" s="923"/>
      <c r="BL132" s="923"/>
      <c r="BM132" s="923"/>
      <c r="BN132" s="923"/>
      <c r="BO132" s="923"/>
    </row>
    <row r="133" spans="1:67" ht="20.100000000000001" customHeight="1">
      <c r="A133" s="822">
        <v>41</v>
      </c>
      <c r="B133" s="1870"/>
      <c r="C133" s="1901"/>
      <c r="D133" s="824" t="s">
        <v>4180</v>
      </c>
      <c r="E133" s="824"/>
      <c r="F133" s="825"/>
      <c r="G133" s="826" t="s">
        <v>4631</v>
      </c>
      <c r="H133" s="827">
        <f t="shared" ca="1" si="387"/>
        <v>35.6</v>
      </c>
      <c r="I133" s="827">
        <f t="shared" ca="1" si="388"/>
        <v>35.6</v>
      </c>
      <c r="J133" s="827">
        <f t="shared" ca="1" si="389"/>
        <v>35.6</v>
      </c>
      <c r="K133" s="827">
        <f t="shared" ca="1" si="390"/>
        <v>35.6</v>
      </c>
      <c r="L133" s="828">
        <f t="shared" ca="1" si="399"/>
        <v>0</v>
      </c>
      <c r="M133" s="828">
        <f t="shared" ca="1" si="386"/>
        <v>0</v>
      </c>
      <c r="N133" s="828">
        <f t="shared" ca="1" si="386"/>
        <v>0</v>
      </c>
      <c r="O133" s="828">
        <f t="shared" ca="1" si="386"/>
        <v>0</v>
      </c>
      <c r="P133" s="828">
        <f ca="1">IFERROR(OFFSET(貼付け_2024実績,$A133,7),"")</f>
        <v>0</v>
      </c>
      <c r="Q133" s="828">
        <f ca="1">IFERROR(OFFSET(貼付け_2025実績,$A133,7),"")</f>
        <v>0</v>
      </c>
      <c r="R133" s="828">
        <f ca="1">IFERROR(OFFSET(貼付け_2026実績,$A133,7),"")</f>
        <v>0</v>
      </c>
      <c r="S133" s="828">
        <f ca="1">IFERROR(OFFSET(貼付け_2027実績,$A133,7),"")</f>
        <v>0</v>
      </c>
      <c r="T133" s="828">
        <f t="shared" ca="1" si="395"/>
        <v>0</v>
      </c>
      <c r="U133" s="828">
        <f t="shared" ca="1" si="396"/>
        <v>0</v>
      </c>
      <c r="V133" s="828">
        <f t="shared" ca="1" si="397"/>
        <v>0</v>
      </c>
      <c r="W133" s="828">
        <f t="shared" ca="1" si="398"/>
        <v>0</v>
      </c>
      <c r="X133" s="923"/>
      <c r="Y133" s="923"/>
      <c r="Z133" s="923"/>
      <c r="AA133" s="923"/>
      <c r="AB133" s="923"/>
      <c r="AC133" s="923"/>
      <c r="AD133" s="923"/>
      <c r="AE133" s="923"/>
      <c r="AF133" s="923"/>
      <c r="AG133" s="923"/>
      <c r="AH133" s="923"/>
      <c r="AI133" s="923"/>
      <c r="AJ133" s="923"/>
      <c r="AK133" s="923"/>
      <c r="AL133" s="923"/>
      <c r="AM133" s="923"/>
      <c r="AN133" s="923"/>
      <c r="AO133" s="923"/>
      <c r="AP133" s="923"/>
      <c r="AQ133" s="923"/>
      <c r="AR133" s="923"/>
      <c r="AS133" s="923"/>
      <c r="AT133" s="923"/>
      <c r="AU133" s="923"/>
      <c r="AV133" s="923"/>
      <c r="AW133" s="923"/>
      <c r="AX133" s="923"/>
      <c r="AY133" s="923"/>
      <c r="AZ133" s="923"/>
      <c r="BA133" s="923"/>
      <c r="BB133" s="923"/>
      <c r="BC133" s="923"/>
      <c r="BD133" s="923"/>
      <c r="BE133" s="923"/>
      <c r="BF133" s="923"/>
      <c r="BG133" s="923"/>
      <c r="BH133" s="923"/>
      <c r="BI133" s="923"/>
      <c r="BJ133" s="923"/>
      <c r="BK133" s="923"/>
      <c r="BL133" s="923"/>
      <c r="BM133" s="923"/>
      <c r="BN133" s="923"/>
      <c r="BO133" s="923"/>
    </row>
    <row r="134" spans="1:67" ht="20.100000000000001" customHeight="1">
      <c r="A134" s="822">
        <v>52</v>
      </c>
      <c r="B134" s="1870"/>
      <c r="C134" s="1901"/>
      <c r="D134" s="824" t="s">
        <v>4417</v>
      </c>
      <c r="E134" s="824"/>
      <c r="F134" s="825"/>
      <c r="G134" s="826" t="s">
        <v>4632</v>
      </c>
      <c r="H134" s="827">
        <f t="shared" ca="1" si="387"/>
        <v>142</v>
      </c>
      <c r="I134" s="827">
        <f t="shared" ca="1" si="388"/>
        <v>142</v>
      </c>
      <c r="J134" s="827">
        <f t="shared" ca="1" si="389"/>
        <v>142</v>
      </c>
      <c r="K134" s="827">
        <f t="shared" ca="1" si="390"/>
        <v>142</v>
      </c>
      <c r="L134" s="828">
        <f t="shared" ca="1" si="399"/>
        <v>0</v>
      </c>
      <c r="M134" s="828">
        <f t="shared" ca="1" si="399"/>
        <v>0</v>
      </c>
      <c r="N134" s="828">
        <f t="shared" ca="1" si="399"/>
        <v>0</v>
      </c>
      <c r="O134" s="828">
        <f t="shared" ca="1" si="399"/>
        <v>0</v>
      </c>
      <c r="P134" s="828">
        <f ca="1">IFERROR(OFFSET(貼付け_2024実績,$A134,7),"")</f>
        <v>0</v>
      </c>
      <c r="Q134" s="828">
        <f ca="1">IFERROR(OFFSET(貼付け_2025実績,$A134,7),"")</f>
        <v>0</v>
      </c>
      <c r="R134" s="828">
        <f ca="1">IFERROR(OFFSET(貼付け_2026実績,$A134,7),"")</f>
        <v>0</v>
      </c>
      <c r="S134" s="828">
        <f ca="1">IFERROR(OFFSET(貼付け_2027実績,$A134,7),"")</f>
        <v>0</v>
      </c>
      <c r="T134" s="828">
        <f t="shared" ca="1" si="395"/>
        <v>0</v>
      </c>
      <c r="U134" s="828">
        <f t="shared" ca="1" si="396"/>
        <v>0</v>
      </c>
      <c r="V134" s="828">
        <f t="shared" ca="1" si="397"/>
        <v>0</v>
      </c>
      <c r="W134" s="828">
        <f t="shared" ca="1" si="398"/>
        <v>0</v>
      </c>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c r="BB134" s="923"/>
      <c r="BC134" s="923"/>
      <c r="BD134" s="923"/>
      <c r="BE134" s="923"/>
      <c r="BF134" s="923"/>
      <c r="BG134" s="923"/>
      <c r="BH134" s="923"/>
      <c r="BI134" s="923"/>
      <c r="BJ134" s="923"/>
      <c r="BK134" s="923"/>
      <c r="BL134" s="923"/>
      <c r="BM134" s="923"/>
      <c r="BN134" s="923"/>
      <c r="BO134" s="923"/>
    </row>
    <row r="135" spans="1:67" ht="20.100000000000001" customHeight="1">
      <c r="A135" s="822">
        <v>53</v>
      </c>
      <c r="B135" s="1870"/>
      <c r="C135" s="1901"/>
      <c r="D135" s="824" t="s">
        <v>4192</v>
      </c>
      <c r="E135" s="824"/>
      <c r="F135" s="825"/>
      <c r="G135" s="826" t="s">
        <v>4632</v>
      </c>
      <c r="H135" s="827">
        <f t="shared" ca="1" si="387"/>
        <v>22.5</v>
      </c>
      <c r="I135" s="827">
        <f t="shared" ca="1" si="388"/>
        <v>22.5</v>
      </c>
      <c r="J135" s="827">
        <f t="shared" ca="1" si="389"/>
        <v>22.5</v>
      </c>
      <c r="K135" s="827">
        <f t="shared" ca="1" si="390"/>
        <v>22.5</v>
      </c>
      <c r="L135" s="828">
        <f t="shared" ca="1" si="399"/>
        <v>0</v>
      </c>
      <c r="M135" s="828">
        <f t="shared" ca="1" si="399"/>
        <v>0</v>
      </c>
      <c r="N135" s="828">
        <f t="shared" ca="1" si="399"/>
        <v>0</v>
      </c>
      <c r="O135" s="828">
        <f t="shared" ca="1" si="399"/>
        <v>0</v>
      </c>
      <c r="P135" s="828">
        <f ca="1">IFERROR(OFFSET(貼付け_2024実績,$A135,7),"")</f>
        <v>0</v>
      </c>
      <c r="Q135" s="828">
        <f ca="1">IFERROR(OFFSET(貼付け_2025実績,$A135,7),"")</f>
        <v>0</v>
      </c>
      <c r="R135" s="828">
        <f ca="1">IFERROR(OFFSET(貼付け_2026実績,$A135,7),"")</f>
        <v>0</v>
      </c>
      <c r="S135" s="828">
        <f ca="1">IFERROR(OFFSET(貼付け_2027実績,$A135,7),"")</f>
        <v>0</v>
      </c>
      <c r="T135" s="828">
        <f t="shared" ca="1" si="395"/>
        <v>0</v>
      </c>
      <c r="U135" s="828">
        <f t="shared" ca="1" si="396"/>
        <v>0</v>
      </c>
      <c r="V135" s="828">
        <f t="shared" ca="1" si="397"/>
        <v>0</v>
      </c>
      <c r="W135" s="828">
        <f t="shared" ca="1" si="398"/>
        <v>0</v>
      </c>
      <c r="X135" s="923"/>
      <c r="Y135" s="923"/>
      <c r="Z135" s="923"/>
      <c r="AA135" s="923"/>
      <c r="AB135" s="923"/>
      <c r="AC135" s="923"/>
      <c r="AD135" s="923"/>
      <c r="AE135" s="923"/>
      <c r="AF135" s="923"/>
      <c r="AG135" s="923"/>
      <c r="AH135" s="923"/>
      <c r="AI135" s="923"/>
      <c r="AJ135" s="923"/>
      <c r="AK135" s="923"/>
      <c r="AL135" s="923"/>
      <c r="AM135" s="923"/>
      <c r="AN135" s="923"/>
      <c r="AO135" s="923"/>
      <c r="AP135" s="923"/>
      <c r="AQ135" s="923"/>
      <c r="AR135" s="923"/>
      <c r="AS135" s="923"/>
      <c r="AT135" s="923"/>
      <c r="AU135" s="923"/>
      <c r="AV135" s="923"/>
      <c r="AW135" s="923"/>
      <c r="AX135" s="923"/>
      <c r="AY135" s="923"/>
      <c r="AZ135" s="923"/>
      <c r="BA135" s="923"/>
      <c r="BB135" s="923"/>
      <c r="BC135" s="923"/>
      <c r="BD135" s="923"/>
      <c r="BE135" s="923"/>
      <c r="BF135" s="923"/>
      <c r="BG135" s="923"/>
      <c r="BH135" s="923"/>
      <c r="BI135" s="923"/>
      <c r="BJ135" s="923"/>
      <c r="BK135" s="923"/>
      <c r="BL135" s="923"/>
      <c r="BM135" s="923"/>
      <c r="BN135" s="923"/>
      <c r="BO135" s="923"/>
    </row>
    <row r="136" spans="1:67" ht="20.100000000000001" customHeight="1">
      <c r="A136" s="822">
        <v>201</v>
      </c>
      <c r="B136" s="1870"/>
      <c r="C136" s="1901"/>
      <c r="D136" s="932" t="s">
        <v>4634</v>
      </c>
      <c r="E136" s="831" t="str">
        <f ca="1">OFFSET(A1_その他欄集計,5,13)</f>
        <v/>
      </c>
      <c r="F136" s="825"/>
      <c r="G136" s="831" t="str">
        <f ca="1">OFFSET(A1_その他欄集計,6,13)</f>
        <v/>
      </c>
      <c r="H136" s="827">
        <f ca="1">IFERROR(OFFSET(貼付け_2024実績,$A136,15),"")</f>
        <v>0</v>
      </c>
      <c r="I136" s="827">
        <f ca="1">IFERROR(OFFSET(貼付け_2025実績,$A136,15),"")</f>
        <v>0</v>
      </c>
      <c r="J136" s="827">
        <f ca="1">IFERROR(OFFSET(貼付け_2026実績,$A136,15),"")</f>
        <v>0</v>
      </c>
      <c r="K136" s="827">
        <f ca="1">IFERROR(OFFSET(貼付け_2027実績,$A136,15),"")</f>
        <v>0</v>
      </c>
      <c r="L136" s="828">
        <f t="shared" ca="1" si="399"/>
        <v>0</v>
      </c>
      <c r="M136" s="828">
        <f t="shared" ca="1" si="399"/>
        <v>0</v>
      </c>
      <c r="N136" s="828">
        <f t="shared" ca="1" si="399"/>
        <v>0</v>
      </c>
      <c r="O136" s="828">
        <f t="shared" ca="1" si="399"/>
        <v>0</v>
      </c>
      <c r="P136" s="828">
        <f ca="1">IFERROR(OFFSET(貼付け_2024実績,$A136,18),"")</f>
        <v>0</v>
      </c>
      <c r="Q136" s="828">
        <f ca="1">IFERROR(OFFSET(貼付け_2025実績,$A136,18),"")</f>
        <v>0</v>
      </c>
      <c r="R136" s="828">
        <f ca="1">IFERROR(OFFSET(貼付け_2026実績,$A136,18),"")</f>
        <v>0</v>
      </c>
      <c r="S136" s="828">
        <f ca="1">IFERROR(OFFSET(貼付け_2027実績,$A136,18),"")</f>
        <v>0</v>
      </c>
      <c r="T136" s="828">
        <f ca="1">IFERROR(OFFSET(貼付け_2024実績,$A136,19),"")</f>
        <v>0</v>
      </c>
      <c r="U136" s="828">
        <f ca="1">IFERROR(OFFSET(貼付け_2025実績,$A136,19),"")</f>
        <v>0</v>
      </c>
      <c r="V136" s="828">
        <f ca="1">IFERROR(OFFSET(貼付け_2026実績,$A136,19),"")</f>
        <v>0</v>
      </c>
      <c r="W136" s="828">
        <f ca="1">IFERROR(OFFSET(貼付け_2027実績,$A136,19),"")</f>
        <v>0</v>
      </c>
      <c r="X136" s="923"/>
      <c r="Y136" s="923"/>
      <c r="Z136" s="923"/>
      <c r="AA136" s="923"/>
      <c r="AB136" s="923"/>
      <c r="AC136" s="923"/>
      <c r="AD136" s="923"/>
      <c r="AE136" s="923"/>
      <c r="AF136" s="923"/>
      <c r="AG136" s="923"/>
      <c r="AH136" s="923"/>
      <c r="AI136" s="923"/>
      <c r="AJ136" s="923"/>
      <c r="AK136" s="923"/>
      <c r="AL136" s="923"/>
      <c r="AM136" s="923"/>
      <c r="AN136" s="923"/>
      <c r="AO136" s="923"/>
      <c r="AP136" s="923"/>
      <c r="AQ136" s="923"/>
      <c r="AR136" s="923"/>
      <c r="AS136" s="923"/>
      <c r="AT136" s="923"/>
      <c r="AU136" s="923"/>
      <c r="AV136" s="923"/>
      <c r="AW136" s="923"/>
      <c r="AX136" s="923"/>
      <c r="AY136" s="923"/>
      <c r="AZ136" s="923"/>
      <c r="BA136" s="923"/>
      <c r="BB136" s="923"/>
      <c r="BC136" s="923"/>
      <c r="BD136" s="923"/>
      <c r="BE136" s="923"/>
      <c r="BF136" s="923"/>
      <c r="BG136" s="923"/>
      <c r="BH136" s="923"/>
      <c r="BI136" s="923"/>
      <c r="BJ136" s="923"/>
      <c r="BK136" s="923"/>
      <c r="BL136" s="923"/>
      <c r="BM136" s="923"/>
      <c r="BN136" s="923"/>
      <c r="BO136" s="923"/>
    </row>
    <row r="137" spans="1:67" ht="20.100000000000001" customHeight="1">
      <c r="A137" s="822">
        <v>72</v>
      </c>
      <c r="B137" s="1869" t="s">
        <v>4434</v>
      </c>
      <c r="C137" s="933" t="s">
        <v>4435</v>
      </c>
      <c r="D137" s="934"/>
      <c r="E137" s="829"/>
      <c r="F137" s="849"/>
      <c r="G137" s="826" t="s">
        <v>4635</v>
      </c>
      <c r="H137" s="827">
        <f t="shared" ca="1" si="387"/>
        <v>8.64</v>
      </c>
      <c r="I137" s="827">
        <f t="shared" ca="1" si="388"/>
        <v>8.64</v>
      </c>
      <c r="J137" s="827">
        <f t="shared" ca="1" si="389"/>
        <v>8.64</v>
      </c>
      <c r="K137" s="827">
        <f t="shared" ca="1" si="390"/>
        <v>8.64</v>
      </c>
      <c r="L137" s="828">
        <f t="shared" ca="1" si="399"/>
        <v>0</v>
      </c>
      <c r="M137" s="828">
        <f t="shared" ca="1" si="399"/>
        <v>0</v>
      </c>
      <c r="N137" s="828">
        <f t="shared" ca="1" si="399"/>
        <v>0</v>
      </c>
      <c r="O137" s="828">
        <f t="shared" ca="1" si="399"/>
        <v>0</v>
      </c>
      <c r="P137" s="828">
        <f ca="1">IFERROR(OFFSET(貼付け_2024実績,$A137,7),"")</f>
        <v>0</v>
      </c>
      <c r="Q137" s="828">
        <f ca="1">IFERROR(OFFSET(貼付け_2025実績,$A137,7),"")</f>
        <v>0</v>
      </c>
      <c r="R137" s="828">
        <f ca="1">IFERROR(OFFSET(貼付け_2026実績,$A137,7),"")</f>
        <v>0</v>
      </c>
      <c r="S137" s="828">
        <f ca="1">IFERROR(OFFSET(貼付け_2027実績,$A137,7),"")</f>
        <v>0</v>
      </c>
      <c r="T137" s="828">
        <f t="shared" ca="1" si="395"/>
        <v>0</v>
      </c>
      <c r="U137" s="828">
        <f t="shared" ca="1" si="396"/>
        <v>0</v>
      </c>
      <c r="V137" s="828">
        <f t="shared" ca="1" si="397"/>
        <v>0</v>
      </c>
      <c r="W137" s="828">
        <f t="shared" ca="1" si="398"/>
        <v>0</v>
      </c>
      <c r="X137" s="923"/>
      <c r="Y137" s="923"/>
      <c r="Z137" s="923"/>
      <c r="AA137" s="923"/>
      <c r="AB137" s="923"/>
      <c r="AC137" s="923"/>
      <c r="AD137" s="923"/>
      <c r="AE137" s="923"/>
      <c r="AF137" s="923"/>
      <c r="AG137" s="923"/>
      <c r="AH137" s="923"/>
      <c r="AI137" s="923"/>
      <c r="AJ137" s="923"/>
      <c r="AK137" s="923"/>
      <c r="AL137" s="923"/>
      <c r="AM137" s="923"/>
      <c r="AN137" s="923"/>
      <c r="AO137" s="923"/>
      <c r="AP137" s="923"/>
      <c r="AQ137" s="923"/>
      <c r="AR137" s="923"/>
      <c r="AS137" s="923"/>
      <c r="AT137" s="923"/>
      <c r="AU137" s="923"/>
      <c r="AV137" s="923"/>
      <c r="AW137" s="923"/>
      <c r="AX137" s="923"/>
      <c r="AY137" s="923"/>
      <c r="AZ137" s="923"/>
      <c r="BA137" s="923"/>
      <c r="BB137" s="923"/>
      <c r="BC137" s="923"/>
      <c r="BD137" s="923"/>
      <c r="BE137" s="923"/>
      <c r="BF137" s="923"/>
      <c r="BG137" s="923"/>
      <c r="BH137" s="923"/>
      <c r="BI137" s="923"/>
      <c r="BJ137" s="923"/>
      <c r="BK137" s="923"/>
      <c r="BL137" s="923"/>
      <c r="BM137" s="923"/>
      <c r="BN137" s="923"/>
      <c r="BO137" s="923"/>
    </row>
    <row r="138" spans="1:67" ht="20.100000000000001" customHeight="1">
      <c r="A138" s="822">
        <v>74</v>
      </c>
      <c r="B138" s="1870"/>
      <c r="C138" s="1873" t="s">
        <v>4436</v>
      </c>
      <c r="D138" s="851" t="s">
        <v>4437</v>
      </c>
      <c r="E138" s="824"/>
      <c r="F138" s="849"/>
      <c r="G138" s="826" t="s">
        <v>4635</v>
      </c>
      <c r="H138" s="827">
        <f t="shared" ca="1" si="387"/>
        <v>3.6</v>
      </c>
      <c r="I138" s="827">
        <f t="shared" ca="1" si="388"/>
        <v>3.6</v>
      </c>
      <c r="J138" s="827">
        <f t="shared" ca="1" si="389"/>
        <v>3.6</v>
      </c>
      <c r="K138" s="827">
        <f t="shared" ca="1" si="390"/>
        <v>3.6</v>
      </c>
      <c r="L138" s="828">
        <f t="shared" ca="1" si="399"/>
        <v>0</v>
      </c>
      <c r="M138" s="828">
        <f t="shared" ca="1" si="399"/>
        <v>0</v>
      </c>
      <c r="N138" s="828">
        <f t="shared" ca="1" si="399"/>
        <v>0</v>
      </c>
      <c r="O138" s="828">
        <f t="shared" ca="1" si="399"/>
        <v>0</v>
      </c>
      <c r="P138" s="828">
        <f ca="1">IFERROR(OFFSET(貼付け_2024実績,$A138,7),"")</f>
        <v>0</v>
      </c>
      <c r="Q138" s="828">
        <f ca="1">IFERROR(OFFSET(貼付け_2025実績,$A138,7),"")</f>
        <v>0</v>
      </c>
      <c r="R138" s="828">
        <f ca="1">IFERROR(OFFSET(貼付け_2026実績,$A138,7),"")</f>
        <v>0</v>
      </c>
      <c r="S138" s="828">
        <f ca="1">IFERROR(OFFSET(貼付け_2027実績,$A138,7),"")</f>
        <v>0</v>
      </c>
      <c r="T138" s="828">
        <f t="shared" ca="1" si="395"/>
        <v>0</v>
      </c>
      <c r="U138" s="828">
        <f t="shared" ca="1" si="396"/>
        <v>0</v>
      </c>
      <c r="V138" s="828">
        <f t="shared" ca="1" si="397"/>
        <v>0</v>
      </c>
      <c r="W138" s="828">
        <f t="shared" ca="1" si="398"/>
        <v>0</v>
      </c>
      <c r="X138" s="923"/>
      <c r="Y138" s="923"/>
      <c r="Z138" s="923"/>
      <c r="AA138" s="923"/>
      <c r="AB138" s="923"/>
      <c r="AC138" s="923"/>
      <c r="AD138" s="923"/>
      <c r="AE138" s="923"/>
      <c r="AF138" s="923"/>
      <c r="AG138" s="923"/>
      <c r="AH138" s="923"/>
      <c r="AI138" s="923"/>
      <c r="AJ138" s="923"/>
      <c r="AK138" s="923"/>
      <c r="AL138" s="923"/>
      <c r="AM138" s="923"/>
      <c r="AN138" s="923"/>
      <c r="AO138" s="923"/>
      <c r="AP138" s="923"/>
      <c r="AQ138" s="923"/>
      <c r="AR138" s="923"/>
      <c r="AS138" s="923"/>
      <c r="AT138" s="923"/>
      <c r="AU138" s="923"/>
      <c r="AV138" s="923"/>
      <c r="AW138" s="923"/>
      <c r="AX138" s="923"/>
      <c r="AY138" s="923"/>
      <c r="AZ138" s="923"/>
      <c r="BA138" s="923"/>
      <c r="BB138" s="923"/>
      <c r="BC138" s="923"/>
      <c r="BD138" s="923"/>
      <c r="BE138" s="923"/>
      <c r="BF138" s="923"/>
      <c r="BG138" s="923"/>
      <c r="BH138" s="923"/>
      <c r="BI138" s="923"/>
      <c r="BJ138" s="923"/>
      <c r="BK138" s="923"/>
      <c r="BL138" s="923"/>
      <c r="BM138" s="923"/>
      <c r="BN138" s="923"/>
      <c r="BO138" s="923"/>
    </row>
    <row r="139" spans="1:67" ht="20.100000000000001" customHeight="1">
      <c r="A139" s="822">
        <v>76</v>
      </c>
      <c r="B139" s="1870"/>
      <c r="C139" s="1901"/>
      <c r="D139" s="853" t="s">
        <v>4438</v>
      </c>
      <c r="E139" s="824"/>
      <c r="F139" s="849"/>
      <c r="G139" s="826" t="s">
        <v>4635</v>
      </c>
      <c r="H139" s="827">
        <f t="shared" ca="1" si="387"/>
        <v>3.6</v>
      </c>
      <c r="I139" s="827">
        <f t="shared" ca="1" si="388"/>
        <v>3.6</v>
      </c>
      <c r="J139" s="827">
        <f t="shared" ca="1" si="389"/>
        <v>3.6</v>
      </c>
      <c r="K139" s="827">
        <f t="shared" ca="1" si="390"/>
        <v>3.6</v>
      </c>
      <c r="L139" s="828">
        <f t="shared" ca="1" si="399"/>
        <v>0</v>
      </c>
      <c r="M139" s="828">
        <f t="shared" ca="1" si="399"/>
        <v>0</v>
      </c>
      <c r="N139" s="828">
        <f t="shared" ca="1" si="399"/>
        <v>0</v>
      </c>
      <c r="O139" s="828">
        <f t="shared" ca="1" si="399"/>
        <v>0</v>
      </c>
      <c r="P139" s="828">
        <f ca="1">IFERROR(OFFSET(貼付け_2024実績,$A139,7),"")</f>
        <v>0</v>
      </c>
      <c r="Q139" s="828">
        <f ca="1">IFERROR(OFFSET(貼付け_2025実績,$A139,7),"")</f>
        <v>0</v>
      </c>
      <c r="R139" s="828">
        <f ca="1">IFERROR(OFFSET(貼付け_2026実績,$A139,7),"")</f>
        <v>0</v>
      </c>
      <c r="S139" s="828">
        <f ca="1">IFERROR(OFFSET(貼付け_2027実績,$A139,7),"")</f>
        <v>0</v>
      </c>
      <c r="T139" s="828">
        <f t="shared" ca="1" si="395"/>
        <v>0</v>
      </c>
      <c r="U139" s="828">
        <f t="shared" ca="1" si="396"/>
        <v>0</v>
      </c>
      <c r="V139" s="828">
        <f t="shared" ca="1" si="397"/>
        <v>0</v>
      </c>
      <c r="W139" s="828">
        <f t="shared" ca="1" si="398"/>
        <v>0</v>
      </c>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row>
    <row r="140" spans="1:67" ht="20.100000000000001" customHeight="1">
      <c r="A140" s="822">
        <v>202</v>
      </c>
      <c r="B140" s="1870"/>
      <c r="C140" s="1901"/>
      <c r="D140" s="935" t="s">
        <v>4250</v>
      </c>
      <c r="E140" s="831" t="str">
        <f ca="1">OFFSET(A1_その他欄集計,12,13)</f>
        <v/>
      </c>
      <c r="F140" s="833"/>
      <c r="G140" s="826" t="s">
        <v>4635</v>
      </c>
      <c r="H140" s="827">
        <f ca="1">IFERROR(OFFSET(貼付け_2024実績,$A140,15),"")</f>
        <v>0</v>
      </c>
      <c r="I140" s="827">
        <f ca="1">IFERROR(OFFSET(貼付け_2025実績,$A140,15),"")</f>
        <v>0</v>
      </c>
      <c r="J140" s="827">
        <f ca="1">IFERROR(OFFSET(貼付け_2026実績,$A140,15),"")</f>
        <v>0</v>
      </c>
      <c r="K140" s="827">
        <f ca="1">IFERROR(OFFSET(貼付け_2027実績,$A140,15),"")</f>
        <v>0</v>
      </c>
      <c r="L140" s="828">
        <f t="shared" ca="1" si="399"/>
        <v>0</v>
      </c>
      <c r="M140" s="828">
        <f t="shared" ca="1" si="399"/>
        <v>0</v>
      </c>
      <c r="N140" s="828">
        <f t="shared" ca="1" si="399"/>
        <v>0</v>
      </c>
      <c r="O140" s="828">
        <f t="shared" ca="1" si="399"/>
        <v>0</v>
      </c>
      <c r="P140" s="828">
        <f ca="1">IFERROR(OFFSET(貼付け_2024実績,$A140,18),"")</f>
        <v>0</v>
      </c>
      <c r="Q140" s="828">
        <f ca="1">IFERROR(OFFSET(貼付け_2025実績,$A140,18),"")</f>
        <v>0</v>
      </c>
      <c r="R140" s="828">
        <f ca="1">IFERROR(OFFSET(貼付け_2026実績,$A140,18),"")</f>
        <v>0</v>
      </c>
      <c r="S140" s="828">
        <f ca="1">IFERROR(OFFSET(貼付け_2027実績,$A140,18),"")</f>
        <v>0</v>
      </c>
      <c r="T140" s="828">
        <f ca="1">IFERROR(OFFSET(貼付け_2024実績,$A140,19),"")</f>
        <v>0</v>
      </c>
      <c r="U140" s="828">
        <f ca="1">IFERROR(OFFSET(貼付け_2025実績,$A140,19),"")</f>
        <v>0</v>
      </c>
      <c r="V140" s="828">
        <f ca="1">IFERROR(OFFSET(貼付け_2026実績,$A140,19),"")</f>
        <v>0</v>
      </c>
      <c r="W140" s="828">
        <f ca="1">IFERROR(OFFSET(貼付け_2027実績,$A140,19),"")</f>
        <v>0</v>
      </c>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row>
    <row r="141" spans="1:67" ht="20.100000000000001" customHeight="1">
      <c r="A141" s="822">
        <v>203</v>
      </c>
      <c r="B141" s="1870"/>
      <c r="C141" s="1902"/>
      <c r="D141" s="936" t="s">
        <v>4251</v>
      </c>
      <c r="E141" s="831" t="str">
        <f ca="1">OFFSET(A1_その他欄集計,13,13)</f>
        <v/>
      </c>
      <c r="F141" s="833"/>
      <c r="G141" s="826" t="s">
        <v>4635</v>
      </c>
      <c r="H141" s="827">
        <f ca="1">IFERROR(OFFSET(貼付け_2024実績,$A141,15),"")</f>
        <v>0</v>
      </c>
      <c r="I141" s="827">
        <f ca="1">IFERROR(OFFSET(貼付け_2025実績,$A141,15),"")</f>
        <v>0</v>
      </c>
      <c r="J141" s="827">
        <f ca="1">IFERROR(OFFSET(貼付け_2026実績,$A141,15),"")</f>
        <v>0</v>
      </c>
      <c r="K141" s="827">
        <f ca="1">IFERROR(OFFSET(貼付け_2027実績,$A141,15),"")</f>
        <v>0</v>
      </c>
      <c r="L141" s="828">
        <f t="shared" ca="1" si="399"/>
        <v>0</v>
      </c>
      <c r="M141" s="828">
        <f t="shared" ca="1" si="399"/>
        <v>0</v>
      </c>
      <c r="N141" s="828">
        <f t="shared" ca="1" si="399"/>
        <v>0</v>
      </c>
      <c r="O141" s="828">
        <f t="shared" ca="1" si="399"/>
        <v>0</v>
      </c>
      <c r="P141" s="828">
        <f ca="1">IFERROR(OFFSET(貼付け_2024実績,$A141,18),"")</f>
        <v>0</v>
      </c>
      <c r="Q141" s="828">
        <f ca="1">IFERROR(OFFSET(貼付け_2025実績,$A141,18),"")</f>
        <v>0</v>
      </c>
      <c r="R141" s="828">
        <f ca="1">IFERROR(OFFSET(貼付け_2026実績,$A141,18),"")</f>
        <v>0</v>
      </c>
      <c r="S141" s="828">
        <f ca="1">IFERROR(OFFSET(貼付け_2027実績,$A141,18),"")</f>
        <v>0</v>
      </c>
      <c r="T141" s="828">
        <f ca="1">IFERROR(OFFSET(貼付け_2024実績,$A141,19),"")</f>
        <v>0</v>
      </c>
      <c r="U141" s="828">
        <f ca="1">IFERROR(OFFSET(貼付け_2025実績,$A141,19),"")</f>
        <v>0</v>
      </c>
      <c r="V141" s="828">
        <f ca="1">IFERROR(OFFSET(貼付け_2026実績,$A141,19),"")</f>
        <v>0</v>
      </c>
      <c r="W141" s="828">
        <f ca="1">IFERROR(OFFSET(貼付け_2027実績,$A141,19),"")</f>
        <v>0</v>
      </c>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row>
    <row r="142" spans="1:67" ht="20.100000000000001" customHeight="1">
      <c r="A142" s="822">
        <v>83</v>
      </c>
      <c r="B142" s="1870"/>
      <c r="C142" s="1873" t="s">
        <v>4439</v>
      </c>
      <c r="D142" s="853" t="s">
        <v>4440</v>
      </c>
      <c r="E142" s="824"/>
      <c r="F142" s="875"/>
      <c r="G142" s="826" t="s">
        <v>4635</v>
      </c>
      <c r="H142" s="827">
        <f t="shared" ca="1" si="387"/>
        <v>3.6</v>
      </c>
      <c r="I142" s="827">
        <f t="shared" ca="1" si="388"/>
        <v>3.6</v>
      </c>
      <c r="J142" s="827">
        <f t="shared" ca="1" si="389"/>
        <v>3.6</v>
      </c>
      <c r="K142" s="827">
        <f t="shared" ca="1" si="390"/>
        <v>3.6</v>
      </c>
      <c r="L142" s="828">
        <f t="shared" ca="1" si="399"/>
        <v>0</v>
      </c>
      <c r="M142" s="828">
        <f t="shared" ca="1" si="399"/>
        <v>0</v>
      </c>
      <c r="N142" s="828">
        <f t="shared" ca="1" si="399"/>
        <v>0</v>
      </c>
      <c r="O142" s="828">
        <f t="shared" ca="1" si="399"/>
        <v>0</v>
      </c>
      <c r="P142" s="828">
        <f t="shared" ref="P142:P149" ca="1" si="400">IFERROR(OFFSET(貼付け_2024実績,$A142,7),"")</f>
        <v>0</v>
      </c>
      <c r="Q142" s="828">
        <f t="shared" ref="Q142:Q149" ca="1" si="401">IFERROR(OFFSET(貼付け_2025実績,$A142,7),"")</f>
        <v>0</v>
      </c>
      <c r="R142" s="828">
        <f t="shared" ref="R142:R149" ca="1" si="402">IFERROR(OFFSET(貼付け_2026実績,$A142,7),"")</f>
        <v>0</v>
      </c>
      <c r="S142" s="828">
        <f t="shared" ref="S142:S149" ca="1" si="403">IFERROR(OFFSET(貼付け_2027実績,$A142,7),"")</f>
        <v>0</v>
      </c>
      <c r="T142" s="828">
        <f t="shared" ca="1" si="395"/>
        <v>0</v>
      </c>
      <c r="U142" s="828">
        <f t="shared" ca="1" si="396"/>
        <v>0</v>
      </c>
      <c r="V142" s="828">
        <f t="shared" ca="1" si="397"/>
        <v>0</v>
      </c>
      <c r="W142" s="828">
        <f t="shared" ca="1" si="398"/>
        <v>0</v>
      </c>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row>
    <row r="143" spans="1:67" ht="20.100000000000001" customHeight="1">
      <c r="A143" s="822">
        <v>84</v>
      </c>
      <c r="B143" s="1870"/>
      <c r="C143" s="1901"/>
      <c r="D143" s="853" t="s">
        <v>4441</v>
      </c>
      <c r="E143" s="824"/>
      <c r="F143" s="875"/>
      <c r="G143" s="826" t="s">
        <v>4636</v>
      </c>
      <c r="H143" s="876"/>
      <c r="I143" s="876"/>
      <c r="J143" s="876"/>
      <c r="K143" s="876"/>
      <c r="L143" s="828">
        <f t="shared" ca="1" si="399"/>
        <v>0</v>
      </c>
      <c r="M143" s="828">
        <f t="shared" ca="1" si="399"/>
        <v>0</v>
      </c>
      <c r="N143" s="828">
        <f t="shared" ca="1" si="399"/>
        <v>0</v>
      </c>
      <c r="O143" s="828">
        <f t="shared" ca="1" si="399"/>
        <v>0</v>
      </c>
      <c r="P143" s="828">
        <f t="shared" ca="1" si="400"/>
        <v>0</v>
      </c>
      <c r="Q143" s="828">
        <f t="shared" ca="1" si="401"/>
        <v>0</v>
      </c>
      <c r="R143" s="828">
        <f t="shared" ca="1" si="402"/>
        <v>0</v>
      </c>
      <c r="S143" s="828">
        <f t="shared" ca="1" si="403"/>
        <v>0</v>
      </c>
      <c r="T143" s="828">
        <f t="shared" ca="1" si="395"/>
        <v>0</v>
      </c>
      <c r="U143" s="828">
        <f t="shared" ca="1" si="396"/>
        <v>0</v>
      </c>
      <c r="V143" s="828">
        <f t="shared" ca="1" si="397"/>
        <v>0</v>
      </c>
      <c r="W143" s="828">
        <f t="shared" ca="1" si="398"/>
        <v>0</v>
      </c>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row>
    <row r="144" spans="1:67" ht="20.100000000000001" customHeight="1">
      <c r="A144" s="822">
        <v>85</v>
      </c>
      <c r="B144" s="1870"/>
      <c r="C144" s="1901"/>
      <c r="D144" s="853" t="s">
        <v>4442</v>
      </c>
      <c r="E144" s="824"/>
      <c r="F144" s="875"/>
      <c r="G144" s="826" t="s">
        <v>4635</v>
      </c>
      <c r="H144" s="827">
        <f t="shared" ca="1" si="387"/>
        <v>3.6</v>
      </c>
      <c r="I144" s="827">
        <f t="shared" ca="1" si="388"/>
        <v>3.6</v>
      </c>
      <c r="J144" s="827">
        <f t="shared" ca="1" si="389"/>
        <v>3.6</v>
      </c>
      <c r="K144" s="827">
        <f t="shared" ca="1" si="390"/>
        <v>3.6</v>
      </c>
      <c r="L144" s="828">
        <f t="shared" ca="1" si="399"/>
        <v>0</v>
      </c>
      <c r="M144" s="828">
        <f t="shared" ca="1" si="399"/>
        <v>0</v>
      </c>
      <c r="N144" s="828">
        <f t="shared" ca="1" si="399"/>
        <v>0</v>
      </c>
      <c r="O144" s="828">
        <f t="shared" ca="1" si="399"/>
        <v>0</v>
      </c>
      <c r="P144" s="828">
        <f t="shared" ca="1" si="400"/>
        <v>0</v>
      </c>
      <c r="Q144" s="828">
        <f t="shared" ca="1" si="401"/>
        <v>0</v>
      </c>
      <c r="R144" s="828">
        <f t="shared" ca="1" si="402"/>
        <v>0</v>
      </c>
      <c r="S144" s="828">
        <f t="shared" ca="1" si="403"/>
        <v>0</v>
      </c>
      <c r="T144" s="828">
        <f t="shared" ca="1" si="395"/>
        <v>0</v>
      </c>
      <c r="U144" s="828">
        <f t="shared" ca="1" si="396"/>
        <v>0</v>
      </c>
      <c r="V144" s="828">
        <f t="shared" ca="1" si="397"/>
        <v>0</v>
      </c>
      <c r="W144" s="828">
        <f t="shared" ca="1" si="398"/>
        <v>0</v>
      </c>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row>
    <row r="145" spans="1:67" ht="20.100000000000001" customHeight="1">
      <c r="A145" s="822">
        <v>86</v>
      </c>
      <c r="B145" s="1870"/>
      <c r="C145" s="1901"/>
      <c r="D145" s="853" t="s">
        <v>4443</v>
      </c>
      <c r="E145" s="824"/>
      <c r="F145" s="875"/>
      <c r="G145" s="826" t="s">
        <v>4636</v>
      </c>
      <c r="H145" s="876"/>
      <c r="I145" s="876"/>
      <c r="J145" s="876"/>
      <c r="K145" s="876"/>
      <c r="L145" s="828">
        <f t="shared" ca="1" si="399"/>
        <v>0</v>
      </c>
      <c r="M145" s="828">
        <f t="shared" ca="1" si="399"/>
        <v>0</v>
      </c>
      <c r="N145" s="828">
        <f t="shared" ca="1" si="399"/>
        <v>0</v>
      </c>
      <c r="O145" s="828">
        <f t="shared" ca="1" si="399"/>
        <v>0</v>
      </c>
      <c r="P145" s="828">
        <f t="shared" ca="1" si="400"/>
        <v>0</v>
      </c>
      <c r="Q145" s="828">
        <f t="shared" ca="1" si="401"/>
        <v>0</v>
      </c>
      <c r="R145" s="828">
        <f t="shared" ca="1" si="402"/>
        <v>0</v>
      </c>
      <c r="S145" s="828">
        <f t="shared" ca="1" si="403"/>
        <v>0</v>
      </c>
      <c r="T145" s="828">
        <f t="shared" ca="1" si="395"/>
        <v>0</v>
      </c>
      <c r="U145" s="828">
        <f t="shared" ca="1" si="396"/>
        <v>0</v>
      </c>
      <c r="V145" s="828">
        <f t="shared" ca="1" si="397"/>
        <v>0</v>
      </c>
      <c r="W145" s="828">
        <f t="shared" ca="1" si="398"/>
        <v>0</v>
      </c>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row>
    <row r="146" spans="1:67" ht="20.100000000000001" customHeight="1">
      <c r="A146" s="822">
        <v>87</v>
      </c>
      <c r="B146" s="1870"/>
      <c r="C146" s="1901"/>
      <c r="D146" s="853" t="s">
        <v>4444</v>
      </c>
      <c r="E146" s="824"/>
      <c r="F146" s="875"/>
      <c r="G146" s="826" t="s">
        <v>4635</v>
      </c>
      <c r="H146" s="827">
        <f t="shared" ca="1" si="387"/>
        <v>3.6</v>
      </c>
      <c r="I146" s="827">
        <f t="shared" ca="1" si="388"/>
        <v>3.6</v>
      </c>
      <c r="J146" s="827">
        <f t="shared" ca="1" si="389"/>
        <v>3.6</v>
      </c>
      <c r="K146" s="827">
        <f t="shared" ca="1" si="390"/>
        <v>3.6</v>
      </c>
      <c r="L146" s="828">
        <f t="shared" ca="1" si="399"/>
        <v>0</v>
      </c>
      <c r="M146" s="828">
        <f t="shared" ca="1" si="399"/>
        <v>0</v>
      </c>
      <c r="N146" s="828">
        <f t="shared" ca="1" si="399"/>
        <v>0</v>
      </c>
      <c r="O146" s="828">
        <f t="shared" ca="1" si="399"/>
        <v>0</v>
      </c>
      <c r="P146" s="828">
        <f t="shared" ca="1" si="400"/>
        <v>0</v>
      </c>
      <c r="Q146" s="828">
        <f t="shared" ca="1" si="401"/>
        <v>0</v>
      </c>
      <c r="R146" s="828">
        <f t="shared" ca="1" si="402"/>
        <v>0</v>
      </c>
      <c r="S146" s="828">
        <f t="shared" ca="1" si="403"/>
        <v>0</v>
      </c>
      <c r="T146" s="828">
        <f t="shared" ca="1" si="395"/>
        <v>0</v>
      </c>
      <c r="U146" s="828">
        <f t="shared" ca="1" si="396"/>
        <v>0</v>
      </c>
      <c r="V146" s="828">
        <f t="shared" ca="1" si="397"/>
        <v>0</v>
      </c>
      <c r="W146" s="828">
        <f t="shared" ca="1" si="398"/>
        <v>0</v>
      </c>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row>
    <row r="147" spans="1:67" ht="20.100000000000001" customHeight="1">
      <c r="A147" s="822">
        <v>88</v>
      </c>
      <c r="B147" s="1870"/>
      <c r="C147" s="1901"/>
      <c r="D147" s="853" t="s">
        <v>4445</v>
      </c>
      <c r="E147" s="824"/>
      <c r="F147" s="875"/>
      <c r="G147" s="826" t="s">
        <v>4636</v>
      </c>
      <c r="H147" s="876"/>
      <c r="I147" s="876"/>
      <c r="J147" s="876"/>
      <c r="K147" s="876"/>
      <c r="L147" s="828">
        <f t="shared" ca="1" si="399"/>
        <v>0</v>
      </c>
      <c r="M147" s="828">
        <f t="shared" ca="1" si="399"/>
        <v>0</v>
      </c>
      <c r="N147" s="828">
        <f t="shared" ca="1" si="399"/>
        <v>0</v>
      </c>
      <c r="O147" s="828">
        <f t="shared" ca="1" si="399"/>
        <v>0</v>
      </c>
      <c r="P147" s="828">
        <f t="shared" ca="1" si="400"/>
        <v>0</v>
      </c>
      <c r="Q147" s="828">
        <f t="shared" ca="1" si="401"/>
        <v>0</v>
      </c>
      <c r="R147" s="828">
        <f t="shared" ca="1" si="402"/>
        <v>0</v>
      </c>
      <c r="S147" s="828">
        <f t="shared" ca="1" si="403"/>
        <v>0</v>
      </c>
      <c r="T147" s="828">
        <f t="shared" ca="1" si="395"/>
        <v>0</v>
      </c>
      <c r="U147" s="828">
        <f t="shared" ca="1" si="396"/>
        <v>0</v>
      </c>
      <c r="V147" s="828">
        <f t="shared" ca="1" si="397"/>
        <v>0</v>
      </c>
      <c r="W147" s="828">
        <f t="shared" ca="1" si="398"/>
        <v>0</v>
      </c>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row>
    <row r="148" spans="1:67" ht="20.100000000000001" customHeight="1">
      <c r="A148" s="822">
        <v>89</v>
      </c>
      <c r="B148" s="1870"/>
      <c r="C148" s="1901"/>
      <c r="D148" s="853" t="s">
        <v>4446</v>
      </c>
      <c r="E148" s="824"/>
      <c r="F148" s="875"/>
      <c r="G148" s="826" t="s">
        <v>4635</v>
      </c>
      <c r="H148" s="827">
        <f t="shared" ca="1" si="387"/>
        <v>3.6</v>
      </c>
      <c r="I148" s="827">
        <f t="shared" ca="1" si="388"/>
        <v>3.6</v>
      </c>
      <c r="J148" s="827">
        <f t="shared" ca="1" si="389"/>
        <v>3.6</v>
      </c>
      <c r="K148" s="827">
        <f t="shared" ca="1" si="390"/>
        <v>3.6</v>
      </c>
      <c r="L148" s="828">
        <f t="shared" ca="1" si="399"/>
        <v>0</v>
      </c>
      <c r="M148" s="828">
        <f t="shared" ca="1" si="399"/>
        <v>0</v>
      </c>
      <c r="N148" s="828">
        <f t="shared" ca="1" si="399"/>
        <v>0</v>
      </c>
      <c r="O148" s="828">
        <f t="shared" ca="1" si="399"/>
        <v>0</v>
      </c>
      <c r="P148" s="828">
        <f t="shared" ca="1" si="400"/>
        <v>0</v>
      </c>
      <c r="Q148" s="828">
        <f t="shared" ca="1" si="401"/>
        <v>0</v>
      </c>
      <c r="R148" s="828">
        <f t="shared" ca="1" si="402"/>
        <v>0</v>
      </c>
      <c r="S148" s="828">
        <f t="shared" ca="1" si="403"/>
        <v>0</v>
      </c>
      <c r="T148" s="828">
        <f t="shared" ca="1" si="395"/>
        <v>0</v>
      </c>
      <c r="U148" s="828">
        <f t="shared" ca="1" si="396"/>
        <v>0</v>
      </c>
      <c r="V148" s="828">
        <f t="shared" ca="1" si="397"/>
        <v>0</v>
      </c>
      <c r="W148" s="828">
        <f t="shared" ca="1" si="398"/>
        <v>0</v>
      </c>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row>
    <row r="149" spans="1:67" ht="20.100000000000001" customHeight="1">
      <c r="A149" s="822">
        <v>90</v>
      </c>
      <c r="B149" s="1870"/>
      <c r="C149" s="1901"/>
      <c r="D149" s="853" t="s">
        <v>4447</v>
      </c>
      <c r="E149" s="824"/>
      <c r="F149" s="875"/>
      <c r="G149" s="826" t="s">
        <v>4636</v>
      </c>
      <c r="H149" s="876"/>
      <c r="I149" s="876"/>
      <c r="J149" s="876"/>
      <c r="K149" s="876"/>
      <c r="L149" s="828">
        <f t="shared" ca="1" si="399"/>
        <v>0</v>
      </c>
      <c r="M149" s="828">
        <f t="shared" ca="1" si="399"/>
        <v>0</v>
      </c>
      <c r="N149" s="828">
        <f t="shared" ca="1" si="399"/>
        <v>0</v>
      </c>
      <c r="O149" s="828">
        <f t="shared" ca="1" si="399"/>
        <v>0</v>
      </c>
      <c r="P149" s="828">
        <f t="shared" ca="1" si="400"/>
        <v>0</v>
      </c>
      <c r="Q149" s="828">
        <f t="shared" ca="1" si="401"/>
        <v>0</v>
      </c>
      <c r="R149" s="828">
        <f t="shared" ca="1" si="402"/>
        <v>0</v>
      </c>
      <c r="S149" s="828">
        <f t="shared" ca="1" si="403"/>
        <v>0</v>
      </c>
      <c r="T149" s="828">
        <f t="shared" ca="1" si="395"/>
        <v>0</v>
      </c>
      <c r="U149" s="828">
        <f t="shared" ca="1" si="396"/>
        <v>0</v>
      </c>
      <c r="V149" s="828">
        <f t="shared" ca="1" si="397"/>
        <v>0</v>
      </c>
      <c r="W149" s="828">
        <f t="shared" ca="1" si="398"/>
        <v>0</v>
      </c>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row>
    <row r="150" spans="1:67" ht="20.100000000000001" customHeight="1">
      <c r="A150" s="822">
        <v>204</v>
      </c>
      <c r="B150" s="1870"/>
      <c r="C150" s="1901"/>
      <c r="D150" s="1893" t="s">
        <v>4448</v>
      </c>
      <c r="E150" s="831" t="str">
        <f ca="1">OFFSET(A1_その他欄集計,14,13)</f>
        <v/>
      </c>
      <c r="F150" s="878"/>
      <c r="G150" s="826" t="s">
        <v>4635</v>
      </c>
      <c r="H150" s="827">
        <f ca="1">IFERROR(OFFSET(貼付け_2024実績,$A150,15),"")</f>
        <v>0</v>
      </c>
      <c r="I150" s="827">
        <f ca="1">IFERROR(OFFSET(貼付け_2025実績,$A150,15),"")</f>
        <v>0</v>
      </c>
      <c r="J150" s="827">
        <f ca="1">IFERROR(OFFSET(貼付け_2026実績,$A150,15),"")</f>
        <v>0</v>
      </c>
      <c r="K150" s="827">
        <f ca="1">IFERROR(OFFSET(貼付け_2027実績,$A150,15),"")</f>
        <v>0</v>
      </c>
      <c r="L150" s="828">
        <f t="shared" ca="1" si="399"/>
        <v>0</v>
      </c>
      <c r="M150" s="828">
        <f t="shared" ca="1" si="399"/>
        <v>0</v>
      </c>
      <c r="N150" s="828">
        <f t="shared" ca="1" si="399"/>
        <v>0</v>
      </c>
      <c r="O150" s="828">
        <f t="shared" ca="1" si="399"/>
        <v>0</v>
      </c>
      <c r="P150" s="828">
        <f t="shared" ref="P150:P157" ca="1" si="404">IFERROR(OFFSET(貼付け_2024実績,$A150,18),"")</f>
        <v>0</v>
      </c>
      <c r="Q150" s="828">
        <f t="shared" ref="Q150:Q157" ca="1" si="405">IFERROR(OFFSET(貼付け_2025実績,$A150,18),"")</f>
        <v>0</v>
      </c>
      <c r="R150" s="828">
        <f t="shared" ref="R150:R157" ca="1" si="406">IFERROR(OFFSET(貼付け_2026実績,$A150,18),"")</f>
        <v>0</v>
      </c>
      <c r="S150" s="828">
        <f t="shared" ref="S150:S157" ca="1" si="407">IFERROR(OFFSET(貼付け_2027実績,$A150,18),"")</f>
        <v>0</v>
      </c>
      <c r="T150" s="828">
        <f t="shared" ref="T150:T157" ca="1" si="408">IFERROR(OFFSET(貼付け_2024実績,$A150,19),"")</f>
        <v>0</v>
      </c>
      <c r="U150" s="828">
        <f t="shared" ref="U150:U157" ca="1" si="409">IFERROR(OFFSET(貼付け_2025実績,$A150,19),"")</f>
        <v>0</v>
      </c>
      <c r="V150" s="828">
        <f t="shared" ref="V150:V157" ca="1" si="410">IFERROR(OFFSET(貼付け_2026実績,$A150,19),"")</f>
        <v>0</v>
      </c>
      <c r="W150" s="828">
        <f t="shared" ref="W150:W157" ca="1" si="411">IFERROR(OFFSET(貼付け_2027実績,$A150,19),"")</f>
        <v>0</v>
      </c>
      <c r="X150" s="923"/>
      <c r="Y150" s="923"/>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c r="AZ150" s="923"/>
      <c r="BA150" s="923"/>
      <c r="BB150" s="923"/>
      <c r="BC150" s="923"/>
      <c r="BD150" s="923"/>
      <c r="BE150" s="923"/>
      <c r="BF150" s="923"/>
      <c r="BG150" s="923"/>
      <c r="BH150" s="923"/>
      <c r="BI150" s="923"/>
      <c r="BJ150" s="923"/>
      <c r="BK150" s="923"/>
      <c r="BL150" s="923"/>
      <c r="BM150" s="923"/>
      <c r="BN150" s="923"/>
      <c r="BO150" s="923"/>
    </row>
    <row r="151" spans="1:67" ht="20.100000000000001" customHeight="1">
      <c r="A151" s="822">
        <v>205</v>
      </c>
      <c r="B151" s="1870"/>
      <c r="C151" s="1901"/>
      <c r="D151" s="1893"/>
      <c r="E151" s="879"/>
      <c r="F151" s="880"/>
      <c r="G151" s="826" t="s">
        <v>4636</v>
      </c>
      <c r="H151" s="876"/>
      <c r="I151" s="876"/>
      <c r="J151" s="876"/>
      <c r="K151" s="876"/>
      <c r="L151" s="828">
        <f t="shared" ca="1" si="399"/>
        <v>0</v>
      </c>
      <c r="M151" s="828">
        <f t="shared" ca="1" si="399"/>
        <v>0</v>
      </c>
      <c r="N151" s="828">
        <f t="shared" ca="1" si="399"/>
        <v>0</v>
      </c>
      <c r="O151" s="828">
        <f t="shared" ca="1" si="399"/>
        <v>0</v>
      </c>
      <c r="P151" s="828">
        <f t="shared" ca="1" si="404"/>
        <v>0</v>
      </c>
      <c r="Q151" s="828">
        <f t="shared" ca="1" si="405"/>
        <v>0</v>
      </c>
      <c r="R151" s="828">
        <f t="shared" ca="1" si="406"/>
        <v>0</v>
      </c>
      <c r="S151" s="828">
        <f t="shared" ca="1" si="407"/>
        <v>0</v>
      </c>
      <c r="T151" s="828">
        <f t="shared" ca="1" si="408"/>
        <v>0</v>
      </c>
      <c r="U151" s="828">
        <f t="shared" ca="1" si="409"/>
        <v>0</v>
      </c>
      <c r="V151" s="828">
        <f t="shared" ca="1" si="410"/>
        <v>0</v>
      </c>
      <c r="W151" s="828">
        <f t="shared" ca="1" si="411"/>
        <v>0</v>
      </c>
      <c r="X151" s="923"/>
      <c r="Y151" s="923"/>
      <c r="Z151" s="923"/>
      <c r="AA151" s="923"/>
      <c r="AB151" s="923"/>
      <c r="AC151" s="923"/>
      <c r="AD151" s="923"/>
      <c r="AE151" s="923"/>
      <c r="AF151" s="923"/>
      <c r="AG151" s="923"/>
      <c r="AH151" s="923"/>
      <c r="AI151" s="923"/>
      <c r="AJ151" s="923"/>
      <c r="AK151" s="923"/>
      <c r="AL151" s="923"/>
      <c r="AM151" s="923"/>
      <c r="AN151" s="923"/>
      <c r="AO151" s="923"/>
      <c r="AP151" s="923"/>
      <c r="AQ151" s="923"/>
      <c r="AR151" s="923"/>
      <c r="AS151" s="923"/>
      <c r="AT151" s="923"/>
      <c r="AU151" s="923"/>
      <c r="AV151" s="923"/>
      <c r="AW151" s="923"/>
      <c r="AX151" s="923"/>
      <c r="AY151" s="923"/>
      <c r="AZ151" s="923"/>
      <c r="BA151" s="923"/>
      <c r="BB151" s="923"/>
      <c r="BC151" s="923"/>
      <c r="BD151" s="923"/>
      <c r="BE151" s="923"/>
      <c r="BF151" s="923"/>
      <c r="BG151" s="923"/>
      <c r="BH151" s="923"/>
      <c r="BI151" s="923"/>
      <c r="BJ151" s="923"/>
      <c r="BK151" s="923"/>
      <c r="BL151" s="923"/>
      <c r="BM151" s="923"/>
      <c r="BN151" s="923"/>
      <c r="BO151" s="923"/>
    </row>
    <row r="152" spans="1:67" ht="20.100000000000001" customHeight="1">
      <c r="A152" s="822">
        <v>206</v>
      </c>
      <c r="B152" s="1870"/>
      <c r="C152" s="1901"/>
      <c r="D152" s="1893" t="s">
        <v>4449</v>
      </c>
      <c r="E152" s="831" t="str">
        <f ca="1">OFFSET(A1_その他欄集計,15,13)</f>
        <v/>
      </c>
      <c r="F152" s="878"/>
      <c r="G152" s="826" t="s">
        <v>4635</v>
      </c>
      <c r="H152" s="827">
        <f ca="1">IFERROR(OFFSET(貼付け_2024実績,$A152,15),"")</f>
        <v>0</v>
      </c>
      <c r="I152" s="827">
        <f ca="1">IFERROR(OFFSET(貼付け_2025実績,$A152,15),"")</f>
        <v>0</v>
      </c>
      <c r="J152" s="827">
        <f ca="1">IFERROR(OFFSET(貼付け_2026実績,$A152,15),"")</f>
        <v>0</v>
      </c>
      <c r="K152" s="827">
        <f ca="1">IFERROR(OFFSET(貼付け_2027実績,$A152,15),"")</f>
        <v>0</v>
      </c>
      <c r="L152" s="828">
        <f t="shared" ca="1" si="399"/>
        <v>0</v>
      </c>
      <c r="M152" s="828">
        <f t="shared" ca="1" si="399"/>
        <v>0</v>
      </c>
      <c r="N152" s="828">
        <f t="shared" ca="1" si="399"/>
        <v>0</v>
      </c>
      <c r="O152" s="828">
        <f t="shared" ca="1" si="399"/>
        <v>0</v>
      </c>
      <c r="P152" s="828">
        <f t="shared" ca="1" si="404"/>
        <v>0</v>
      </c>
      <c r="Q152" s="828">
        <f t="shared" ca="1" si="405"/>
        <v>0</v>
      </c>
      <c r="R152" s="828">
        <f t="shared" ca="1" si="406"/>
        <v>0</v>
      </c>
      <c r="S152" s="828">
        <f t="shared" ca="1" si="407"/>
        <v>0</v>
      </c>
      <c r="T152" s="828">
        <f t="shared" ca="1" si="408"/>
        <v>0</v>
      </c>
      <c r="U152" s="828">
        <f t="shared" ca="1" si="409"/>
        <v>0</v>
      </c>
      <c r="V152" s="828">
        <f t="shared" ca="1" si="410"/>
        <v>0</v>
      </c>
      <c r="W152" s="828">
        <f t="shared" ca="1" si="411"/>
        <v>0</v>
      </c>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3"/>
      <c r="BN152" s="923"/>
      <c r="BO152" s="923"/>
    </row>
    <row r="153" spans="1:67" ht="20.100000000000001" customHeight="1">
      <c r="A153" s="822">
        <v>207</v>
      </c>
      <c r="B153" s="1870"/>
      <c r="C153" s="1901"/>
      <c r="D153" s="1893"/>
      <c r="E153" s="879"/>
      <c r="F153" s="880"/>
      <c r="G153" s="826" t="s">
        <v>4636</v>
      </c>
      <c r="H153" s="876"/>
      <c r="I153" s="876"/>
      <c r="J153" s="876"/>
      <c r="K153" s="876"/>
      <c r="L153" s="828">
        <f t="shared" ca="1" si="399"/>
        <v>0</v>
      </c>
      <c r="M153" s="828">
        <f t="shared" ca="1" si="399"/>
        <v>0</v>
      </c>
      <c r="N153" s="828">
        <f t="shared" ca="1" si="399"/>
        <v>0</v>
      </c>
      <c r="O153" s="828">
        <f t="shared" ca="1" si="399"/>
        <v>0</v>
      </c>
      <c r="P153" s="828">
        <f t="shared" ca="1" si="404"/>
        <v>0</v>
      </c>
      <c r="Q153" s="828">
        <f t="shared" ca="1" si="405"/>
        <v>0</v>
      </c>
      <c r="R153" s="828">
        <f t="shared" ca="1" si="406"/>
        <v>0</v>
      </c>
      <c r="S153" s="828">
        <f t="shared" ca="1" si="407"/>
        <v>0</v>
      </c>
      <c r="T153" s="828">
        <f t="shared" ca="1" si="408"/>
        <v>0</v>
      </c>
      <c r="U153" s="828">
        <f t="shared" ca="1" si="409"/>
        <v>0</v>
      </c>
      <c r="V153" s="828">
        <f t="shared" ca="1" si="410"/>
        <v>0</v>
      </c>
      <c r="W153" s="828">
        <f t="shared" ca="1" si="411"/>
        <v>0</v>
      </c>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3"/>
      <c r="BN153" s="923"/>
      <c r="BO153" s="923"/>
    </row>
    <row r="154" spans="1:67" ht="20.100000000000001" customHeight="1">
      <c r="A154" s="822">
        <v>208</v>
      </c>
      <c r="B154" s="1870"/>
      <c r="C154" s="1901"/>
      <c r="D154" s="935" t="s">
        <v>4254</v>
      </c>
      <c r="E154" s="831" t="str">
        <f ca="1">OFFSET(A1_その他欄集計,16,13)</f>
        <v/>
      </c>
      <c r="F154" s="825" t="s">
        <v>4468</v>
      </c>
      <c r="G154" s="826" t="s">
        <v>4635</v>
      </c>
      <c r="H154" s="827">
        <f ca="1">IFERROR(OFFSET(貼付け_2024実績,$A154,15),"")</f>
        <v>0</v>
      </c>
      <c r="I154" s="827">
        <f ca="1">IFERROR(OFFSET(貼付け_2025実績,$A154,15),"")</f>
        <v>0</v>
      </c>
      <c r="J154" s="827">
        <f ca="1">IFERROR(OFFSET(貼付け_2026実績,$A154,15),"")</f>
        <v>0</v>
      </c>
      <c r="K154" s="827">
        <f ca="1">IFERROR(OFFSET(貼付け_2027実績,$A154,15),"")</f>
        <v>0</v>
      </c>
      <c r="L154" s="828">
        <f t="shared" ca="1" si="399"/>
        <v>0</v>
      </c>
      <c r="M154" s="828">
        <f t="shared" ca="1" si="399"/>
        <v>0</v>
      </c>
      <c r="N154" s="828">
        <f t="shared" ca="1" si="399"/>
        <v>0</v>
      </c>
      <c r="O154" s="828">
        <f t="shared" ca="1" si="399"/>
        <v>0</v>
      </c>
      <c r="P154" s="828">
        <f t="shared" ca="1" si="404"/>
        <v>0</v>
      </c>
      <c r="Q154" s="828">
        <f t="shared" ca="1" si="405"/>
        <v>0</v>
      </c>
      <c r="R154" s="828">
        <f t="shared" ca="1" si="406"/>
        <v>0</v>
      </c>
      <c r="S154" s="828">
        <f t="shared" ca="1" si="407"/>
        <v>0</v>
      </c>
      <c r="T154" s="828">
        <f t="shared" ca="1" si="408"/>
        <v>0</v>
      </c>
      <c r="U154" s="828">
        <f t="shared" ca="1" si="409"/>
        <v>0</v>
      </c>
      <c r="V154" s="828">
        <f t="shared" ca="1" si="410"/>
        <v>0</v>
      </c>
      <c r="W154" s="828">
        <f t="shared" ca="1" si="411"/>
        <v>0</v>
      </c>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3"/>
      <c r="BN154" s="923"/>
      <c r="BO154" s="923"/>
    </row>
    <row r="155" spans="1:67" ht="20.100000000000001" customHeight="1">
      <c r="A155" s="822">
        <v>209</v>
      </c>
      <c r="B155" s="1870"/>
      <c r="C155" s="1901"/>
      <c r="D155" s="935" t="s">
        <v>4255</v>
      </c>
      <c r="E155" s="831" t="str">
        <f ca="1">OFFSET(A1_その他欄集計,17,13)</f>
        <v/>
      </c>
      <c r="F155" s="881" t="s">
        <v>4637</v>
      </c>
      <c r="G155" s="826" t="s">
        <v>4635</v>
      </c>
      <c r="H155" s="827">
        <f ca="1">IFERROR(OFFSET(貼付け_2024実績,$A155,15),"")</f>
        <v>0</v>
      </c>
      <c r="I155" s="827">
        <f ca="1">IFERROR(OFFSET(貼付け_2025実績,$A155,15),"")</f>
        <v>0</v>
      </c>
      <c r="J155" s="827">
        <f ca="1">IFERROR(OFFSET(貼付け_2026実績,$A155,15),"")</f>
        <v>0</v>
      </c>
      <c r="K155" s="827">
        <f ca="1">IFERROR(OFFSET(貼付け_2027実績,$A155,15),"")</f>
        <v>0</v>
      </c>
      <c r="L155" s="828">
        <f t="shared" ca="1" si="399"/>
        <v>0</v>
      </c>
      <c r="M155" s="828">
        <f t="shared" ca="1" si="399"/>
        <v>0</v>
      </c>
      <c r="N155" s="828">
        <f t="shared" ca="1" si="399"/>
        <v>0</v>
      </c>
      <c r="O155" s="828">
        <f t="shared" ca="1" si="399"/>
        <v>0</v>
      </c>
      <c r="P155" s="828">
        <f t="shared" ca="1" si="404"/>
        <v>0</v>
      </c>
      <c r="Q155" s="828">
        <f t="shared" ca="1" si="405"/>
        <v>0</v>
      </c>
      <c r="R155" s="828">
        <f t="shared" ca="1" si="406"/>
        <v>0</v>
      </c>
      <c r="S155" s="828">
        <f t="shared" ca="1" si="407"/>
        <v>0</v>
      </c>
      <c r="T155" s="828">
        <f t="shared" ca="1" si="408"/>
        <v>0</v>
      </c>
      <c r="U155" s="828">
        <f t="shared" ca="1" si="409"/>
        <v>0</v>
      </c>
      <c r="V155" s="828">
        <f t="shared" ca="1" si="410"/>
        <v>0</v>
      </c>
      <c r="W155" s="828">
        <f t="shared" ca="1" si="411"/>
        <v>0</v>
      </c>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3"/>
      <c r="BN155" s="923"/>
      <c r="BO155" s="923"/>
    </row>
    <row r="156" spans="1:67" ht="20.100000000000001" customHeight="1">
      <c r="A156" s="822">
        <v>210</v>
      </c>
      <c r="B156" s="937"/>
      <c r="C156" s="938"/>
      <c r="D156" s="939" t="s">
        <v>4638</v>
      </c>
      <c r="E156" s="831" t="str">
        <f ca="1">OFFSET(A1_その他欄集計,18,13)</f>
        <v/>
      </c>
      <c r="F156" s="940" t="s">
        <v>4639</v>
      </c>
      <c r="G156" s="826" t="s">
        <v>4635</v>
      </c>
      <c r="H156" s="827">
        <f ca="1">IFERROR(OFFSET(貼付け_2024実績,$A156,15),"")</f>
        <v>0</v>
      </c>
      <c r="I156" s="827">
        <f ca="1">IFERROR(OFFSET(貼付け_2025実績,$A156,15),"")</f>
        <v>0</v>
      </c>
      <c r="J156" s="827">
        <f ca="1">IFERROR(OFFSET(貼付け_2026実績,$A156,15),"")</f>
        <v>0</v>
      </c>
      <c r="K156" s="827">
        <f ca="1">IFERROR(OFFSET(貼付け_2027実績,$A156,15),"")</f>
        <v>0</v>
      </c>
      <c r="L156" s="828">
        <f t="shared" ca="1" si="399"/>
        <v>0</v>
      </c>
      <c r="M156" s="828">
        <f t="shared" ca="1" si="399"/>
        <v>0</v>
      </c>
      <c r="N156" s="828">
        <f t="shared" ca="1" si="399"/>
        <v>0</v>
      </c>
      <c r="O156" s="828">
        <f t="shared" ca="1" si="399"/>
        <v>0</v>
      </c>
      <c r="P156" s="828">
        <f t="shared" ca="1" si="404"/>
        <v>0</v>
      </c>
      <c r="Q156" s="828">
        <f t="shared" ca="1" si="405"/>
        <v>0</v>
      </c>
      <c r="R156" s="828">
        <f t="shared" ca="1" si="406"/>
        <v>0</v>
      </c>
      <c r="S156" s="828">
        <f t="shared" ca="1" si="407"/>
        <v>0</v>
      </c>
      <c r="T156" s="828">
        <f t="shared" ca="1" si="408"/>
        <v>0</v>
      </c>
      <c r="U156" s="828">
        <f t="shared" ca="1" si="409"/>
        <v>0</v>
      </c>
      <c r="V156" s="828">
        <f t="shared" ca="1" si="410"/>
        <v>0</v>
      </c>
      <c r="W156" s="828">
        <f t="shared" ca="1" si="411"/>
        <v>0</v>
      </c>
      <c r="X156" s="923"/>
      <c r="Y156" s="923"/>
      <c r="Z156" s="923"/>
      <c r="AA156" s="923"/>
      <c r="AB156" s="923"/>
      <c r="AC156" s="923"/>
      <c r="AD156" s="923"/>
      <c r="AE156" s="923"/>
      <c r="AF156" s="923"/>
      <c r="AG156" s="923"/>
      <c r="AH156" s="923"/>
      <c r="AI156" s="923"/>
      <c r="AJ156" s="923"/>
      <c r="AK156" s="923"/>
      <c r="AL156" s="923"/>
      <c r="AM156" s="923"/>
      <c r="AN156" s="923"/>
      <c r="AO156" s="923"/>
      <c r="AP156" s="923"/>
      <c r="AQ156" s="923"/>
      <c r="AR156" s="923"/>
      <c r="AS156" s="923"/>
      <c r="AT156" s="923"/>
      <c r="AU156" s="923"/>
      <c r="AV156" s="923"/>
      <c r="AW156" s="923"/>
      <c r="AX156" s="923"/>
      <c r="AY156" s="923"/>
      <c r="AZ156" s="923"/>
      <c r="BA156" s="923"/>
      <c r="BB156" s="923"/>
      <c r="BC156" s="923"/>
      <c r="BD156" s="923"/>
      <c r="BE156" s="923"/>
      <c r="BF156" s="923"/>
      <c r="BG156" s="923"/>
      <c r="BH156" s="923"/>
      <c r="BI156" s="923"/>
      <c r="BJ156" s="923"/>
      <c r="BK156" s="923"/>
      <c r="BL156" s="923"/>
      <c r="BM156" s="923"/>
      <c r="BN156" s="923"/>
      <c r="BO156" s="923"/>
    </row>
    <row r="157" spans="1:67" ht="20.100000000000001" customHeight="1">
      <c r="A157" s="822">
        <v>211</v>
      </c>
      <c r="B157" s="937"/>
      <c r="C157" s="938"/>
      <c r="D157" s="939" t="s">
        <v>4640</v>
      </c>
      <c r="E157" s="831" t="str">
        <f ca="1">OFFSET(A1_その他欄集計,19,13)</f>
        <v/>
      </c>
      <c r="F157" s="940" t="s">
        <v>4469</v>
      </c>
      <c r="G157" s="826" t="s">
        <v>4635</v>
      </c>
      <c r="H157" s="827">
        <f ca="1">IFERROR(OFFSET(貼付け_2024実績,$A157,15),"")</f>
        <v>0</v>
      </c>
      <c r="I157" s="827">
        <f ca="1">IFERROR(OFFSET(貼付け_2025実績,$A157,15),"")</f>
        <v>0</v>
      </c>
      <c r="J157" s="827">
        <f ca="1">IFERROR(OFFSET(貼付け_2026実績,$A157,15),"")</f>
        <v>0</v>
      </c>
      <c r="K157" s="827">
        <f ca="1">IFERROR(OFFSET(貼付け_2027実績,$A157,15),"")</f>
        <v>0</v>
      </c>
      <c r="L157" s="828">
        <f t="shared" ca="1" si="399"/>
        <v>0</v>
      </c>
      <c r="M157" s="828">
        <f t="shared" ca="1" si="399"/>
        <v>0</v>
      </c>
      <c r="N157" s="828">
        <f t="shared" ca="1" si="399"/>
        <v>0</v>
      </c>
      <c r="O157" s="828">
        <f t="shared" ca="1" si="399"/>
        <v>0</v>
      </c>
      <c r="P157" s="828">
        <f t="shared" ca="1" si="404"/>
        <v>0</v>
      </c>
      <c r="Q157" s="828">
        <f t="shared" ca="1" si="405"/>
        <v>0</v>
      </c>
      <c r="R157" s="828">
        <f t="shared" ca="1" si="406"/>
        <v>0</v>
      </c>
      <c r="S157" s="828">
        <f t="shared" ca="1" si="407"/>
        <v>0</v>
      </c>
      <c r="T157" s="828">
        <f t="shared" ca="1" si="408"/>
        <v>0</v>
      </c>
      <c r="U157" s="828">
        <f t="shared" ca="1" si="409"/>
        <v>0</v>
      </c>
      <c r="V157" s="828">
        <f t="shared" ca="1" si="410"/>
        <v>0</v>
      </c>
      <c r="W157" s="828">
        <f t="shared" ca="1" si="411"/>
        <v>0</v>
      </c>
      <c r="X157" s="923"/>
      <c r="Y157" s="923"/>
      <c r="Z157" s="923"/>
      <c r="AA157" s="923"/>
      <c r="AB157" s="923"/>
      <c r="AC157" s="923"/>
      <c r="AD157" s="923"/>
      <c r="AE157" s="923"/>
      <c r="AF157" s="923"/>
      <c r="AG157" s="923"/>
      <c r="AH157" s="923"/>
      <c r="AI157" s="923"/>
      <c r="AJ157" s="923"/>
      <c r="AK157" s="923"/>
      <c r="AL157" s="923"/>
      <c r="AM157" s="923"/>
      <c r="AN157" s="923"/>
      <c r="AO157" s="923"/>
      <c r="AP157" s="923"/>
      <c r="AQ157" s="923"/>
      <c r="AR157" s="923"/>
      <c r="AS157" s="923"/>
      <c r="AT157" s="923"/>
      <c r="AU157" s="923"/>
      <c r="AV157" s="923"/>
      <c r="AW157" s="923"/>
      <c r="AX157" s="923"/>
      <c r="AY157" s="923"/>
      <c r="AZ157" s="923"/>
      <c r="BA157" s="923"/>
      <c r="BB157" s="923"/>
      <c r="BC157" s="923"/>
      <c r="BD157" s="923"/>
      <c r="BE157" s="923"/>
      <c r="BF157" s="923"/>
      <c r="BG157" s="923"/>
      <c r="BH157" s="923"/>
      <c r="BI157" s="923"/>
      <c r="BJ157" s="923"/>
      <c r="BK157" s="923"/>
      <c r="BL157" s="923"/>
      <c r="BM157" s="923"/>
      <c r="BN157" s="923"/>
      <c r="BO157" s="923"/>
    </row>
    <row r="158" spans="1:67" ht="20.100000000000001" customHeight="1">
      <c r="A158" s="822"/>
      <c r="B158" s="1872" t="s">
        <v>4596</v>
      </c>
      <c r="C158" s="1872"/>
      <c r="D158" s="824" t="s">
        <v>4597</v>
      </c>
      <c r="E158" s="824"/>
      <c r="F158" s="849" t="s">
        <v>4641</v>
      </c>
      <c r="G158" s="826" t="s">
        <v>4451</v>
      </c>
      <c r="H158" s="882"/>
      <c r="I158" s="882"/>
      <c r="J158" s="882"/>
      <c r="K158" s="882"/>
      <c r="L158" s="884">
        <f ca="1">SUMPRODUCT(ROUND((0&amp;L123:L136)*$H123:$H136,0))+ROUND(IFERROR(OFFSET(A1_集計2024,2,7),0)+IFERROR(OFFSET(A1_集計2024,2,8),0),0)</f>
        <v>0</v>
      </c>
      <c r="M158" s="884">
        <f ca="1">SUMPRODUCT(ROUND((0&amp;M123:M136)*$H123:$H136,0))+ROUND(IFERROR(OFFSET(A1_集計2025,2,7),0)+IFERROR(OFFSET(A1_集計2025,2,8),0),0)</f>
        <v>0</v>
      </c>
      <c r="N158" s="884">
        <f ca="1">SUMPRODUCT(ROUND((0&amp;N123:N136)*$H123:$H136,0))+ROUND(IFERROR(OFFSET(A1_集計2026,2,7),0)+IFERROR(OFFSET(A1_集計2026,2,8),0),0)</f>
        <v>0</v>
      </c>
      <c r="O158" s="884">
        <f ca="1">SUMPRODUCT(ROUND((0&amp;O123:O136)*$H123:$H136,0))+ROUND(IFERROR(OFFSET(A1_集計2027,2,7),0)+IFERROR(OFFSET(A1_集計2027,2,8),0),0)</f>
        <v>0</v>
      </c>
      <c r="P158" s="884">
        <f ca="1">SUMPRODUCT(ROUND((0&amp;P123:P136)*$H123:$H136,0))+ROUND(IFERROR(OFFSET(A1_集計2024,2,7),0),0)</f>
        <v>0</v>
      </c>
      <c r="Q158" s="884">
        <f ca="1">SUMPRODUCT(ROUND((0&amp;Q123:Q136)*$I123:$I136,0))+ROUND(IFERROR(OFFSET(A1_集計2025,2,7),0),0)</f>
        <v>0</v>
      </c>
      <c r="R158" s="884">
        <f ca="1">SUMPRODUCT(ROUND((0&amp;R123:R136)*$J123:$J136,0))+ROUND(IFERROR(OFFSET(A1_集計2026,2,7),0),0)</f>
        <v>0</v>
      </c>
      <c r="S158" s="884">
        <f ca="1">SUMPRODUCT(ROUND((0&amp;S123:S136)*$K123:$K136,0))+ROUND(IFERROR(OFFSET(A1_集計2027,2,7),0),0)</f>
        <v>0</v>
      </c>
      <c r="T158" s="884">
        <f ca="1">SUMPRODUCT(ROUND((0&amp;T123:T136)*$H123:$H136,0))+ROUND(IFERROR(OFFSET(A1_集計2024,2,8),0),0)</f>
        <v>0</v>
      </c>
      <c r="U158" s="884">
        <f ca="1">SUMPRODUCT(ROUND((0&amp;U123:U136)*$I123:$I136,0))+ROUND(IFERROR(OFFSET(A1_集計2025,2,8),0),0)</f>
        <v>0</v>
      </c>
      <c r="V158" s="884">
        <f ca="1">SUMPRODUCT(ROUND((0&amp;V123:V136)*$J123:$J136,0))+ROUND(IFERROR(OFFSET(A1_集計2026,2,8),0),0)</f>
        <v>0</v>
      </c>
      <c r="W158" s="884">
        <f ca="1">SUMPRODUCT(ROUND((0&amp;W123:W136)*$K123:$K136,))+ROUND(IFERROR(OFFSET(A1_集計2027,2,8),0),0)</f>
        <v>0</v>
      </c>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c r="AZ158" s="923"/>
      <c r="BA158" s="923"/>
      <c r="BB158" s="923"/>
      <c r="BC158" s="923"/>
      <c r="BD158" s="923"/>
      <c r="BE158" s="923"/>
      <c r="BF158" s="923"/>
      <c r="BG158" s="923"/>
      <c r="BH158" s="923"/>
      <c r="BI158" s="923"/>
      <c r="BJ158" s="923"/>
      <c r="BK158" s="923"/>
      <c r="BL158" s="923"/>
      <c r="BM158" s="923"/>
      <c r="BN158" s="923"/>
      <c r="BO158" s="923"/>
    </row>
    <row r="159" spans="1:67" ht="20.100000000000001" customHeight="1">
      <c r="A159" s="822"/>
      <c r="B159" s="1872"/>
      <c r="C159" s="1872"/>
      <c r="D159" s="824" t="s">
        <v>4599</v>
      </c>
      <c r="E159" s="824" t="s">
        <v>4642</v>
      </c>
      <c r="F159" s="849" t="s">
        <v>4643</v>
      </c>
      <c r="G159" s="826" t="s">
        <v>4451</v>
      </c>
      <c r="H159" s="882"/>
      <c r="I159" s="882"/>
      <c r="J159" s="882"/>
      <c r="K159" s="882"/>
      <c r="L159" s="884">
        <f t="shared" ref="L159:W159" ca="1" si="412">SUMPRODUCT(ROUND((0&amp;L137:L153)*$H137:$H153,0))</f>
        <v>0</v>
      </c>
      <c r="M159" s="884">
        <f t="shared" ca="1" si="412"/>
        <v>0</v>
      </c>
      <c r="N159" s="884">
        <f t="shared" ca="1" si="412"/>
        <v>0</v>
      </c>
      <c r="O159" s="884">
        <f t="shared" ca="1" si="412"/>
        <v>0</v>
      </c>
      <c r="P159" s="884">
        <f t="shared" ca="1" si="412"/>
        <v>0</v>
      </c>
      <c r="Q159" s="884">
        <f t="shared" ca="1" si="412"/>
        <v>0</v>
      </c>
      <c r="R159" s="884">
        <f t="shared" ca="1" si="412"/>
        <v>0</v>
      </c>
      <c r="S159" s="884">
        <f t="shared" ca="1" si="412"/>
        <v>0</v>
      </c>
      <c r="T159" s="884">
        <f t="shared" ca="1" si="412"/>
        <v>0</v>
      </c>
      <c r="U159" s="884">
        <f t="shared" ca="1" si="412"/>
        <v>0</v>
      </c>
      <c r="V159" s="884">
        <f t="shared" ca="1" si="412"/>
        <v>0</v>
      </c>
      <c r="W159" s="884">
        <f t="shared" ca="1" si="412"/>
        <v>0</v>
      </c>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923"/>
      <c r="AV159" s="923"/>
      <c r="AW159" s="923"/>
      <c r="AX159" s="923"/>
      <c r="AY159" s="923"/>
      <c r="AZ159" s="923"/>
      <c r="BA159" s="923"/>
      <c r="BB159" s="923"/>
      <c r="BC159" s="923"/>
      <c r="BD159" s="923"/>
      <c r="BE159" s="923"/>
      <c r="BF159" s="923"/>
      <c r="BG159" s="923"/>
      <c r="BH159" s="923"/>
      <c r="BI159" s="923"/>
      <c r="BJ159" s="923"/>
      <c r="BK159" s="923"/>
      <c r="BL159" s="923"/>
      <c r="BM159" s="923"/>
      <c r="BN159" s="923"/>
      <c r="BO159" s="923"/>
    </row>
    <row r="160" spans="1:67" ht="20.100000000000001" customHeight="1">
      <c r="A160" s="822"/>
      <c r="B160" s="1872"/>
      <c r="C160" s="1872"/>
      <c r="D160" s="824" t="s">
        <v>4454</v>
      </c>
      <c r="E160" s="824" t="s">
        <v>4644</v>
      </c>
      <c r="F160" s="849" t="s">
        <v>4645</v>
      </c>
      <c r="G160" s="826" t="s">
        <v>4451</v>
      </c>
      <c r="H160" s="882"/>
      <c r="I160" s="882"/>
      <c r="J160" s="882"/>
      <c r="K160" s="882"/>
      <c r="L160" s="883">
        <f t="shared" ref="L160:O160" ca="1" si="413">SUM(L158:L159)</f>
        <v>0</v>
      </c>
      <c r="M160" s="883">
        <f ca="1">SUM(M158:M159)</f>
        <v>0</v>
      </c>
      <c r="N160" s="883">
        <f t="shared" ca="1" si="413"/>
        <v>0</v>
      </c>
      <c r="O160" s="883">
        <f t="shared" ca="1" si="413"/>
        <v>0</v>
      </c>
      <c r="P160" s="885">
        <f ca="1">SUM(P158:P159)</f>
        <v>0</v>
      </c>
      <c r="Q160" s="885">
        <f ca="1">SUM(Q158:Q159)</f>
        <v>0</v>
      </c>
      <c r="R160" s="885">
        <f ca="1">SUM(R158:R159)</f>
        <v>0</v>
      </c>
      <c r="S160" s="885">
        <f t="shared" ref="S160:W160" ca="1" si="414">SUM(S158:S159)</f>
        <v>0</v>
      </c>
      <c r="T160" s="885">
        <f t="shared" ca="1" si="414"/>
        <v>0</v>
      </c>
      <c r="U160" s="885">
        <f t="shared" ca="1" si="414"/>
        <v>0</v>
      </c>
      <c r="V160" s="885">
        <f t="shared" ca="1" si="414"/>
        <v>0</v>
      </c>
      <c r="W160" s="885">
        <f t="shared" ca="1" si="414"/>
        <v>0</v>
      </c>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c r="AZ160" s="923"/>
      <c r="BA160" s="923"/>
      <c r="BB160" s="923"/>
      <c r="BC160" s="923"/>
      <c r="BD160" s="923"/>
      <c r="BE160" s="923"/>
      <c r="BF160" s="923"/>
      <c r="BG160" s="923"/>
      <c r="BH160" s="923"/>
      <c r="BI160" s="923"/>
      <c r="BJ160" s="923"/>
      <c r="BK160" s="923"/>
      <c r="BL160" s="923"/>
      <c r="BM160" s="923"/>
      <c r="BN160" s="923"/>
      <c r="BO160" s="923"/>
    </row>
    <row r="161" spans="1:68" ht="20.100000000000001" customHeight="1">
      <c r="A161" s="822"/>
      <c r="B161" s="886" t="s">
        <v>4602</v>
      </c>
      <c r="C161" s="887"/>
      <c r="D161" s="824"/>
      <c r="E161" s="824" t="s">
        <v>4646</v>
      </c>
      <c r="F161" s="849" t="s">
        <v>4647</v>
      </c>
      <c r="G161" s="826" t="s">
        <v>4604</v>
      </c>
      <c r="H161" s="882"/>
      <c r="I161" s="882"/>
      <c r="J161" s="882"/>
      <c r="K161" s="882"/>
      <c r="L161" s="883">
        <f t="shared" ref="L161:O161" ca="1" si="415">ROUND(L160*0.0258,0)</f>
        <v>0</v>
      </c>
      <c r="M161" s="883">
        <f t="shared" ca="1" si="415"/>
        <v>0</v>
      </c>
      <c r="N161" s="883">
        <f t="shared" ca="1" si="415"/>
        <v>0</v>
      </c>
      <c r="O161" s="883">
        <f t="shared" ca="1" si="415"/>
        <v>0</v>
      </c>
      <c r="P161" s="883">
        <f ca="1">ROUND(P160*0.0258,0)</f>
        <v>0</v>
      </c>
      <c r="Q161" s="883">
        <f ca="1">ROUND(Q160*0.0258,0)</f>
        <v>0</v>
      </c>
      <c r="R161" s="883">
        <f ca="1">ROUND(R160*0.0258,0)</f>
        <v>0</v>
      </c>
      <c r="S161" s="883">
        <f ca="1">ROUND(S160*0.0258,0)</f>
        <v>0</v>
      </c>
      <c r="T161" s="883">
        <f t="shared" ref="T161:W161" ca="1" si="416">ROUND(T160*0.0258,0)</f>
        <v>0</v>
      </c>
      <c r="U161" s="883">
        <f t="shared" ca="1" si="416"/>
        <v>0</v>
      </c>
      <c r="V161" s="883">
        <f t="shared" ca="1" si="416"/>
        <v>0</v>
      </c>
      <c r="W161" s="883">
        <f t="shared" ca="1" si="416"/>
        <v>0</v>
      </c>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c r="AZ161" s="923"/>
      <c r="BA161" s="923"/>
      <c r="BB161" s="923"/>
      <c r="BC161" s="923"/>
      <c r="BD161" s="923"/>
      <c r="BE161" s="923"/>
      <c r="BF161" s="923"/>
      <c r="BG161" s="923"/>
      <c r="BH161" s="923"/>
      <c r="BI161" s="923"/>
      <c r="BJ161" s="923"/>
      <c r="BK161" s="923"/>
      <c r="BL161" s="923"/>
      <c r="BM161" s="923"/>
      <c r="BN161" s="923"/>
      <c r="BO161" s="923"/>
    </row>
    <row r="162" spans="1:68" ht="20.100000000000001" customHeight="1">
      <c r="A162" s="822"/>
      <c r="B162" s="1894" t="s">
        <v>4605</v>
      </c>
      <c r="C162" s="1894"/>
      <c r="D162" s="941" t="s">
        <v>4606</v>
      </c>
      <c r="E162" s="824"/>
      <c r="F162" s="849" t="s">
        <v>4648</v>
      </c>
      <c r="G162" s="826" t="s">
        <v>4604</v>
      </c>
      <c r="H162" s="882"/>
      <c r="I162" s="882"/>
      <c r="J162" s="882"/>
      <c r="K162" s="882"/>
      <c r="L162" s="884">
        <f t="shared" ref="L162:W162" ca="1" si="417">ROUND((L160-SUMPRODUCT(ROUND((0&amp;L132:L136)*$H132:$H136,0))+SUMPRODUCT(ROUND((0&amp;L132:L136)*0.8*$H132:$H136,0)))*0.0258,0)</f>
        <v>0</v>
      </c>
      <c r="M162" s="884">
        <f t="shared" ca="1" si="417"/>
        <v>0</v>
      </c>
      <c r="N162" s="884">
        <f t="shared" ca="1" si="417"/>
        <v>0</v>
      </c>
      <c r="O162" s="884">
        <f t="shared" ca="1" si="417"/>
        <v>0</v>
      </c>
      <c r="P162" s="884">
        <f t="shared" ca="1" si="417"/>
        <v>0</v>
      </c>
      <c r="Q162" s="884">
        <f t="shared" ca="1" si="417"/>
        <v>0</v>
      </c>
      <c r="R162" s="884">
        <f t="shared" ca="1" si="417"/>
        <v>0</v>
      </c>
      <c r="S162" s="884">
        <f t="shared" ca="1" si="417"/>
        <v>0</v>
      </c>
      <c r="T162" s="884">
        <f t="shared" ca="1" si="417"/>
        <v>0</v>
      </c>
      <c r="U162" s="884">
        <f t="shared" ca="1" si="417"/>
        <v>0</v>
      </c>
      <c r="V162" s="884">
        <f t="shared" ca="1" si="417"/>
        <v>0</v>
      </c>
      <c r="W162" s="884">
        <f t="shared" ca="1" si="417"/>
        <v>0</v>
      </c>
      <c r="X162" s="923"/>
      <c r="Y162" s="923"/>
      <c r="Z162" s="923"/>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c r="AZ162" s="923"/>
      <c r="BA162" s="923"/>
      <c r="BB162" s="923"/>
      <c r="BC162" s="923"/>
      <c r="BD162" s="923"/>
      <c r="BE162" s="923"/>
      <c r="BF162" s="923"/>
      <c r="BG162" s="923"/>
      <c r="BH162" s="923"/>
      <c r="BI162" s="923"/>
      <c r="BJ162" s="923"/>
      <c r="BK162" s="923"/>
      <c r="BL162" s="923"/>
      <c r="BM162" s="923"/>
      <c r="BN162" s="923"/>
      <c r="BO162" s="923"/>
      <c r="BP162" s="841"/>
    </row>
    <row r="163" spans="1:68">
      <c r="A163" s="822">
        <v>99</v>
      </c>
      <c r="B163" s="1894"/>
      <c r="C163" s="1894"/>
      <c r="D163" s="899" t="s">
        <v>4612</v>
      </c>
      <c r="E163" s="900"/>
      <c r="F163" s="901"/>
      <c r="G163" s="895"/>
      <c r="H163" s="882"/>
      <c r="I163" s="882"/>
      <c r="J163" s="882"/>
      <c r="K163" s="882"/>
      <c r="L163" s="827" t="str">
        <f ca="1">T163</f>
        <v/>
      </c>
      <c r="M163" s="827" t="str">
        <f t="shared" ref="M163:O164" ca="1" si="418">U163</f>
        <v/>
      </c>
      <c r="N163" s="827" t="str">
        <f t="shared" ca="1" si="418"/>
        <v/>
      </c>
      <c r="O163" s="827" t="str">
        <f t="shared" ca="1" si="418"/>
        <v/>
      </c>
      <c r="P163" s="827" t="str">
        <f ca="1">IFERROR(OFFSET(貼付け_2024実績,$A163,7),"")&amp;""</f>
        <v/>
      </c>
      <c r="Q163" s="827" t="str">
        <f ca="1">IFERROR(OFFSET(貼付け_2025実績,$A163,7),"")&amp;""</f>
        <v/>
      </c>
      <c r="R163" s="827" t="str">
        <f ca="1">IFERROR(OFFSET(貼付け_2026実績,$A163,7),"")&amp;""</f>
        <v/>
      </c>
      <c r="S163" s="827" t="str">
        <f ca="1">IFERROR(OFFSET(貼付け_2027実績,$A163,7),"")&amp;""</f>
        <v/>
      </c>
      <c r="T163" s="827" t="str">
        <f ca="1">IFERROR(OFFSET(貼付け_2024実績,$A163,8),"")&amp;""</f>
        <v/>
      </c>
      <c r="U163" s="827" t="str">
        <f ca="1">IFERROR(OFFSET(貼付け_2025実績,$A163,8),"")&amp;""</f>
        <v/>
      </c>
      <c r="V163" s="827" t="str">
        <f ca="1">IFERROR(OFFSET(貼付け_2026実績,$A163,8),"")&amp;""</f>
        <v/>
      </c>
      <c r="W163" s="827" t="str">
        <f ca="1">IFERROR(OFFSET(貼付け_2027実績,$A163,8),"")&amp;""</f>
        <v/>
      </c>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c r="BC163" s="942"/>
      <c r="BD163" s="942"/>
      <c r="BE163" s="942"/>
      <c r="BF163" s="942"/>
      <c r="BG163" s="942"/>
      <c r="BH163" s="942"/>
      <c r="BI163" s="942"/>
      <c r="BJ163" s="942"/>
      <c r="BK163" s="942"/>
      <c r="BL163" s="942"/>
      <c r="BM163" s="942"/>
      <c r="BN163" s="942"/>
      <c r="BO163" s="942"/>
      <c r="BP163" s="841"/>
    </row>
    <row r="164" spans="1:68">
      <c r="A164" s="822">
        <v>100</v>
      </c>
      <c r="B164" s="1894"/>
      <c r="C164" s="1894"/>
      <c r="D164" s="899" t="s">
        <v>4613</v>
      </c>
      <c r="E164" s="900"/>
      <c r="F164" s="901"/>
      <c r="G164" s="895"/>
      <c r="H164" s="882"/>
      <c r="I164" s="882"/>
      <c r="J164" s="882"/>
      <c r="K164" s="882"/>
      <c r="L164" s="827" t="str">
        <f ca="1">T164</f>
        <v/>
      </c>
      <c r="M164" s="827" t="str">
        <f t="shared" ca="1" si="418"/>
        <v/>
      </c>
      <c r="N164" s="827" t="str">
        <f t="shared" ca="1" si="418"/>
        <v/>
      </c>
      <c r="O164" s="827" t="str">
        <f t="shared" ca="1" si="418"/>
        <v/>
      </c>
      <c r="P164" s="827" t="str">
        <f ca="1">IFERROR(OFFSET(貼付け_2024実績,$A164,7),"")&amp;""</f>
        <v/>
      </c>
      <c r="Q164" s="827" t="str">
        <f ca="1">IFERROR(OFFSET(貼付け_2025実績,$A164,7),"")&amp;""</f>
        <v/>
      </c>
      <c r="R164" s="827" t="str">
        <f ca="1">IFERROR(OFFSET(貼付け_2026実績,$A164,7),"")&amp;""</f>
        <v/>
      </c>
      <c r="S164" s="827" t="str">
        <f ca="1">IFERROR(OFFSET(貼付け_2027実績,$A164,7),"")&amp;""</f>
        <v/>
      </c>
      <c r="T164" s="827" t="str">
        <f ca="1">IFERROR(OFFSET(貼付け_2024実績,$A164,8),"")&amp;""</f>
        <v/>
      </c>
      <c r="U164" s="827" t="str">
        <f ca="1">IFERROR(OFFSET(貼付け_2025実績,$A164,8),"")&amp;""</f>
        <v/>
      </c>
      <c r="V164" s="827" t="str">
        <f ca="1">IFERROR(OFFSET(貼付け_2026実績,$A164,8),"")&amp;""</f>
        <v/>
      </c>
      <c r="W164" s="827" t="str">
        <f ca="1">IFERROR(OFFSET(貼付け_2027実績,$A164,8),"")&amp;""</f>
        <v/>
      </c>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841"/>
    </row>
    <row r="165" spans="1:68">
      <c r="A165" s="822">
        <v>101</v>
      </c>
      <c r="B165" s="1894"/>
      <c r="C165" s="1894"/>
      <c r="D165" s="889" t="s">
        <v>4614</v>
      </c>
      <c r="E165" s="903"/>
      <c r="F165" s="904" t="s">
        <v>4649</v>
      </c>
      <c r="G165" s="907"/>
      <c r="H165" s="882"/>
      <c r="I165" s="882"/>
      <c r="J165" s="882"/>
      <c r="K165" s="882"/>
      <c r="L165" s="827" t="str">
        <f ca="1">IFERROR(P165+T165,"")</f>
        <v/>
      </c>
      <c r="M165" s="827" t="str">
        <f t="shared" ref="M165:O165" ca="1" si="419">IFERROR(Q165+U165,"")</f>
        <v/>
      </c>
      <c r="N165" s="827" t="str">
        <f t="shared" ca="1" si="419"/>
        <v/>
      </c>
      <c r="O165" s="827" t="str">
        <f t="shared" ca="1" si="419"/>
        <v/>
      </c>
      <c r="P165" s="827" t="str">
        <f ca="1">IFERROR(OFFSET(貼付け_2024実績,$A165,7),"")&amp;""</f>
        <v/>
      </c>
      <c r="Q165" s="827" t="str">
        <f ca="1">IFERROR(OFFSET(貼付け_2025実績,$A165,7),"")&amp;""</f>
        <v/>
      </c>
      <c r="R165" s="827" t="str">
        <f ca="1">IFERROR(OFFSET(貼付け_2026実績,$A165,7),"")&amp;""</f>
        <v/>
      </c>
      <c r="S165" s="827" t="str">
        <f ca="1">IFERROR(OFFSET(貼付け_2027実績,$A165,7),"")&amp;""</f>
        <v/>
      </c>
      <c r="T165" s="827" t="str">
        <f ca="1">IFERROR(OFFSET(貼付け_2024実績,$A165,8),"")&amp;""</f>
        <v/>
      </c>
      <c r="U165" s="827" t="str">
        <f ca="1">IFERROR(OFFSET(貼付け_2025実績,$A165,8),"")&amp;""</f>
        <v/>
      </c>
      <c r="V165" s="827" t="str">
        <f ca="1">IFERROR(OFFSET(貼付け_2026実績,$A165,8),"")&amp;""</f>
        <v/>
      </c>
      <c r="W165" s="827" t="str">
        <f ca="1">IFERROR(OFFSET(貼付け_2027実績,$A165,8),"")&amp;""</f>
        <v/>
      </c>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841"/>
    </row>
    <row r="166" spans="1:68">
      <c r="A166" s="822"/>
      <c r="B166" s="1894"/>
      <c r="C166" s="1894"/>
      <c r="D166" s="906" t="s">
        <v>4683</v>
      </c>
      <c r="E166" s="900"/>
      <c r="F166" s="890" t="s">
        <v>4650</v>
      </c>
      <c r="G166" s="907"/>
      <c r="H166" s="882"/>
      <c r="I166" s="882"/>
      <c r="J166" s="882"/>
      <c r="K166" s="882"/>
      <c r="L166" s="827" t="str">
        <f ca="1">IFERROR(L162/L165,"")</f>
        <v/>
      </c>
      <c r="M166" s="827" t="str">
        <f t="shared" ref="M166:W166" ca="1" si="420">IFERROR(M162/M165,"")</f>
        <v/>
      </c>
      <c r="N166" s="827" t="str">
        <f t="shared" ca="1" si="420"/>
        <v/>
      </c>
      <c r="O166" s="827" t="str">
        <f t="shared" ca="1" si="420"/>
        <v/>
      </c>
      <c r="P166" s="827" t="str">
        <f t="shared" ca="1" si="420"/>
        <v/>
      </c>
      <c r="Q166" s="827" t="str">
        <f t="shared" ca="1" si="420"/>
        <v/>
      </c>
      <c r="R166" s="827" t="str">
        <f t="shared" ca="1" si="420"/>
        <v/>
      </c>
      <c r="S166" s="827" t="str">
        <f t="shared" ca="1" si="420"/>
        <v/>
      </c>
      <c r="T166" s="827" t="str">
        <f t="shared" ca="1" si="420"/>
        <v/>
      </c>
      <c r="U166" s="827" t="str">
        <f t="shared" ca="1" si="420"/>
        <v/>
      </c>
      <c r="V166" s="827" t="str">
        <f t="shared" ca="1" si="420"/>
        <v/>
      </c>
      <c r="W166" s="827" t="str">
        <f t="shared" ca="1" si="420"/>
        <v/>
      </c>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841"/>
    </row>
    <row r="167" spans="1:68">
      <c r="A167" s="822"/>
      <c r="B167" s="1894"/>
      <c r="C167" s="1894"/>
      <c r="D167" s="900" t="s">
        <v>4615</v>
      </c>
      <c r="E167" s="900"/>
      <c r="F167" s="890" t="s">
        <v>4651</v>
      </c>
      <c r="G167" s="907"/>
      <c r="H167" s="882"/>
      <c r="I167" s="882"/>
      <c r="J167" s="882"/>
      <c r="K167" s="882"/>
      <c r="L167" s="882"/>
      <c r="M167" s="827" t="str">
        <f ca="1">L166</f>
        <v/>
      </c>
      <c r="N167" s="827" t="str">
        <f t="shared" ref="N167:W167" ca="1" si="421">M166</f>
        <v/>
      </c>
      <c r="O167" s="827" t="str">
        <f t="shared" ca="1" si="421"/>
        <v/>
      </c>
      <c r="P167" s="882"/>
      <c r="Q167" s="827" t="str">
        <f t="shared" ca="1" si="421"/>
        <v/>
      </c>
      <c r="R167" s="827" t="str">
        <f t="shared" ca="1" si="421"/>
        <v/>
      </c>
      <c r="S167" s="827" t="str">
        <f t="shared" ca="1" si="421"/>
        <v/>
      </c>
      <c r="T167" s="882"/>
      <c r="U167" s="827" t="str">
        <f t="shared" ca="1" si="421"/>
        <v/>
      </c>
      <c r="V167" s="827" t="str">
        <f t="shared" ca="1" si="421"/>
        <v/>
      </c>
      <c r="W167" s="827" t="str">
        <f t="shared" ca="1" si="421"/>
        <v/>
      </c>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841"/>
    </row>
    <row r="168" spans="1:68">
      <c r="A168" s="822"/>
      <c r="B168" s="1894"/>
      <c r="C168" s="1894"/>
      <c r="D168" s="892" t="s">
        <v>4684</v>
      </c>
      <c r="E168" s="906"/>
      <c r="F168" s="890" t="s">
        <v>4652</v>
      </c>
      <c r="G168" s="895" t="s">
        <v>4376</v>
      </c>
      <c r="H168" s="882"/>
      <c r="I168" s="882"/>
      <c r="J168" s="882"/>
      <c r="K168" s="882"/>
      <c r="L168" s="882"/>
      <c r="M168" s="909" t="str">
        <f ca="1">IFERROR(ROUND((1-M166/M167)*100,1),"")</f>
        <v/>
      </c>
      <c r="N168" s="909" t="str">
        <f ca="1">IFERROR(ROUND((1-N166/N167)*100,1),"")</f>
        <v/>
      </c>
      <c r="O168" s="909" t="str">
        <f ca="1">IFERROR(ROUND((1-O166/O167)*100,1),"")</f>
        <v/>
      </c>
      <c r="P168" s="882"/>
      <c r="Q168" s="909" t="str">
        <f ca="1">IFERROR(ROUND((1-Q166/Q167)*100,1),"")</f>
        <v/>
      </c>
      <c r="R168" s="909" t="str">
        <f ca="1">IFERROR(ROUND((1-R166/R167)*100,1),"")</f>
        <v/>
      </c>
      <c r="S168" s="909" t="str">
        <f ca="1">IFERROR(ROUND((1-S166/S167)*100,1),"")</f>
        <v/>
      </c>
      <c r="T168" s="882"/>
      <c r="U168" s="909" t="str">
        <f ca="1">IFERROR(ROUND((1-U166/U167)*100,1),"")</f>
        <v/>
      </c>
      <c r="V168" s="909" t="str">
        <f ca="1">IFERROR(ROUND((1-V166/V167)*100,1),"")</f>
        <v/>
      </c>
      <c r="W168" s="909" t="str">
        <f ca="1">IFERROR(ROUND((1-W166/W167)*100,1),"")</f>
        <v/>
      </c>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841"/>
    </row>
    <row r="169" spans="1:68" ht="20.100000000000001" customHeight="1">
      <c r="A169" s="819">
        <v>2</v>
      </c>
      <c r="B169" s="819" t="s">
        <v>4653</v>
      </c>
      <c r="C169" s="820"/>
      <c r="D169" s="820"/>
      <c r="E169" s="820"/>
      <c r="F169" s="820"/>
      <c r="G169" s="821"/>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row>
    <row r="170" spans="1:68" ht="20.100000000000001" customHeight="1">
      <c r="A170" s="822"/>
      <c r="B170" s="819" t="s">
        <v>4388</v>
      </c>
      <c r="C170" s="820"/>
      <c r="D170" s="820"/>
      <c r="E170" s="820"/>
      <c r="F170" s="820"/>
      <c r="G170" s="821"/>
      <c r="H170" s="918"/>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row>
    <row r="171" spans="1:68" ht="20.100000000000001" customHeight="1">
      <c r="A171" s="823">
        <v>8</v>
      </c>
      <c r="B171" s="1869" t="s">
        <v>4389</v>
      </c>
      <c r="C171" s="1872" t="s">
        <v>4390</v>
      </c>
      <c r="D171" s="824" t="s">
        <v>4143</v>
      </c>
      <c r="E171" s="824"/>
      <c r="F171" s="825"/>
      <c r="G171" s="826" t="s">
        <v>4144</v>
      </c>
      <c r="H171" s="827">
        <f t="shared" ref="H171:K186" ca="1" si="422">H9</f>
        <v>38.299999999999997</v>
      </c>
      <c r="I171" s="827">
        <f t="shared" ca="1" si="422"/>
        <v>38.299999999999997</v>
      </c>
      <c r="J171" s="827">
        <f t="shared" ca="1" si="422"/>
        <v>38.299999999999997</v>
      </c>
      <c r="K171" s="827">
        <f t="shared" ca="1" si="422"/>
        <v>38.299999999999997</v>
      </c>
      <c r="L171" s="828">
        <f t="shared" ref="L171:O186" ca="1" si="423">P171+T171</f>
        <v>0</v>
      </c>
      <c r="M171" s="828">
        <f t="shared" ca="1" si="423"/>
        <v>0</v>
      </c>
      <c r="N171" s="828">
        <f t="shared" ca="1" si="423"/>
        <v>0</v>
      </c>
      <c r="O171" s="828">
        <f t="shared" ca="1" si="423"/>
        <v>0</v>
      </c>
      <c r="P171" s="828">
        <f ca="1">SUM(SUMIFS(OFFSET(貼付け_2024実績,$A171,10,1,199),OFFSET(貼付け_2024実績,4,9,1,199),{"横浜*","川崎*"}))</f>
        <v>0</v>
      </c>
      <c r="Q171" s="828">
        <f ca="1">SUM(SUMIFS(OFFSET(貼付け_2025実績,$A171,10,1,199),OFFSET(貼付け_2025実績,4,9,1,199),{"横浜*","川崎*"}))</f>
        <v>0</v>
      </c>
      <c r="R171" s="828">
        <f ca="1">SUM(SUMIFS(OFFSET(貼付け_2026実績,$A171,10,1,199),OFFSET(貼付け_2026実績,4,9,1,199),{"横浜*","川崎*"}))</f>
        <v>0</v>
      </c>
      <c r="S171" s="828">
        <f ca="1">SUM(SUMIFS(OFFSET(貼付け_2027実績,$A171,10,1,199),OFFSET(貼付け_2027実績,4,9,1,199),{"横浜*","川崎*"}))</f>
        <v>0</v>
      </c>
      <c r="T171" s="828">
        <f t="shared" ref="T171:W186" ca="1" si="424">SUM(X171,AB171,AF171,AJ171,AN171,AR171,AV171,AZ171,BD171,BH171,BL171)</f>
        <v>0</v>
      </c>
      <c r="U171" s="828">
        <f t="shared" ca="1" si="424"/>
        <v>0</v>
      </c>
      <c r="V171" s="828">
        <f t="shared" ca="1" si="424"/>
        <v>0</v>
      </c>
      <c r="W171" s="828">
        <f t="shared" ca="1" si="424"/>
        <v>0</v>
      </c>
      <c r="X171" s="828">
        <f t="shared" ref="X171:X218" ca="1" si="425">SUMIFS(OFFSET(貼付け_2024実績,$A171,10,1,199),OFFSET(貼付け_2024実績,4,9,1,199),"県域*")</f>
        <v>0</v>
      </c>
      <c r="Y171" s="828">
        <f t="shared" ref="Y171:Y218" ca="1" si="426">SUMIFS(OFFSET(貼付け_2025実績,$A171,10,1,199),OFFSET(貼付け_2025実績,4,9,1,199),"県域*")</f>
        <v>0</v>
      </c>
      <c r="Z171" s="828">
        <f t="shared" ref="Z171:Z218" ca="1" si="427">SUMIFS(OFFSET(貼付け_2026実績,$A171,10,1,199),OFFSET(貼付け_2026実績,4,9,1,199),"県域*")</f>
        <v>0</v>
      </c>
      <c r="AA171" s="828">
        <f t="shared" ref="AA171:AA218" ca="1" si="428">SUMIFS(OFFSET(貼付け_2027実績,$A171,10,1,199),OFFSET(貼付け_2027実績,4,9,1,199),"県域*")</f>
        <v>0</v>
      </c>
      <c r="AB171" s="828" t="str">
        <f t="shared" ref="AB171:AB218" ca="1" si="429">IFERROR(OFFSET(貼付け_2024実績,$A171,AB$1+1),"")</f>
        <v/>
      </c>
      <c r="AC171" s="828" t="str">
        <f t="shared" ref="AC171:AC218" ca="1" si="430">IFERROR(OFFSET(貼付け_2025実績,$A171,AC$1+1),"")</f>
        <v/>
      </c>
      <c r="AD171" s="828" t="str">
        <f t="shared" ref="AD171:AD218" ca="1" si="431">IFERROR(OFFSET(貼付け_2026実績,$A171,AD$1+1),"")</f>
        <v/>
      </c>
      <c r="AE171" s="828" t="str">
        <f t="shared" ref="AE171:AE218" ca="1" si="432">IFERROR(OFFSET(貼付け_2027実績,$A171,AE$1+1),"")</f>
        <v/>
      </c>
      <c r="AF171" s="828" t="str">
        <f t="shared" ref="AF171:AF218" ca="1" si="433">IFERROR(OFFSET(貼付け_2024実績,$A171,AF$1+1),"")</f>
        <v/>
      </c>
      <c r="AG171" s="828" t="str">
        <f t="shared" ref="AG171:AG218" ca="1" si="434">IFERROR(OFFSET(貼付け_2025実績,$A171,AG$1+1),"")</f>
        <v/>
      </c>
      <c r="AH171" s="828" t="str">
        <f t="shared" ref="AH171:AH218" ca="1" si="435">IFERROR(OFFSET(貼付け_2026実績,$A171,AH$1+1),"")</f>
        <v/>
      </c>
      <c r="AI171" s="828" t="str">
        <f t="shared" ref="AI171:AI218" ca="1" si="436">IFERROR(OFFSET(貼付け_2027実績,$A171,AI$1+1),"")</f>
        <v/>
      </c>
      <c r="AJ171" s="828" t="str">
        <f t="shared" ref="AJ171:AJ218" ca="1" si="437">IFERROR(OFFSET(貼付け_2024実績,$A171,AJ$1+1),"")</f>
        <v/>
      </c>
      <c r="AK171" s="828" t="str">
        <f t="shared" ref="AK171:AK218" ca="1" si="438">IFERROR(OFFSET(貼付け_2025実績,$A171,AK$1+1),"")</f>
        <v/>
      </c>
      <c r="AL171" s="828" t="str">
        <f t="shared" ref="AL171:AL218" ca="1" si="439">IFERROR(OFFSET(貼付け_2026実績,$A171,AL$1+1),"")</f>
        <v/>
      </c>
      <c r="AM171" s="828" t="str">
        <f t="shared" ref="AM171:AM218" ca="1" si="440">IFERROR(OFFSET(貼付け_2027実績,$A171,AM$1+1),"")</f>
        <v/>
      </c>
      <c r="AN171" s="828" t="str">
        <f t="shared" ref="AN171:AN218" ca="1" si="441">IFERROR(OFFSET(貼付け_2024実績,$A171,AN$1+1),"")</f>
        <v/>
      </c>
      <c r="AO171" s="828" t="str">
        <f t="shared" ref="AO171:AO218" ca="1" si="442">IFERROR(OFFSET(貼付け_2025実績,$A171,AO$1+1),"")</f>
        <v/>
      </c>
      <c r="AP171" s="828" t="str">
        <f t="shared" ref="AP171:AP218" ca="1" si="443">IFERROR(OFFSET(貼付け_2026実績,$A171,AP$1+1),"")</f>
        <v/>
      </c>
      <c r="AQ171" s="828" t="str">
        <f t="shared" ref="AQ171:AQ218" ca="1" si="444">IFERROR(OFFSET(貼付け_2027実績,$A171,AQ$1+1),"")</f>
        <v/>
      </c>
      <c r="AR171" s="828" t="str">
        <f t="shared" ref="AR171:AR218" ca="1" si="445">IFERROR(OFFSET(貼付け_2024実績,$A171,AR$1+1),"")</f>
        <v/>
      </c>
      <c r="AS171" s="828" t="str">
        <f t="shared" ref="AS171:AS218" ca="1" si="446">IFERROR(OFFSET(貼付け_2025実績,$A171,AS$1+1),"")</f>
        <v/>
      </c>
      <c r="AT171" s="828" t="str">
        <f t="shared" ref="AT171:AT218" ca="1" si="447">IFERROR(OFFSET(貼付け_2026実績,$A171,AT$1+1),"")</f>
        <v/>
      </c>
      <c r="AU171" s="828" t="str">
        <f t="shared" ref="AU171:AU218" ca="1" si="448">IFERROR(OFFSET(貼付け_2027実績,$A171,AU$1+1),"")</f>
        <v/>
      </c>
      <c r="AV171" s="828" t="str">
        <f t="shared" ref="AV171:AV218" ca="1" si="449">IFERROR(OFFSET(貼付け_2024実績,$A171,AV$1+1),"")</f>
        <v/>
      </c>
      <c r="AW171" s="828" t="str">
        <f t="shared" ref="AW171:AW218" ca="1" si="450">IFERROR(OFFSET(貼付け_2025実績,$A171,AW$1+1),"")</f>
        <v/>
      </c>
      <c r="AX171" s="828" t="str">
        <f t="shared" ref="AX171:AX218" ca="1" si="451">IFERROR(OFFSET(貼付け_2026実績,$A171,AX$1+1),"")</f>
        <v/>
      </c>
      <c r="AY171" s="828" t="str">
        <f t="shared" ref="AY171:AY218" ca="1" si="452">IFERROR(OFFSET(貼付け_2027実績,$A171,AY$1+1),"")</f>
        <v/>
      </c>
      <c r="AZ171" s="828" t="str">
        <f t="shared" ref="AZ171:AZ218" ca="1" si="453">IFERROR(OFFSET(貼付け_2024実績,$A171,AZ$1+1),"")</f>
        <v/>
      </c>
      <c r="BA171" s="828" t="str">
        <f t="shared" ref="BA171:BA218" ca="1" si="454">IFERROR(OFFSET(貼付け_2025実績,$A171,BA$1+1),"")</f>
        <v/>
      </c>
      <c r="BB171" s="828" t="str">
        <f t="shared" ref="BB171:BB218" ca="1" si="455">IFERROR(OFFSET(貼付け_2026実績,$A171,BB$1+1),"")</f>
        <v/>
      </c>
      <c r="BC171" s="828" t="str">
        <f t="shared" ref="BC171:BC218" ca="1" si="456">IFERROR(OFFSET(貼付け_2027実績,$A171,BC$1+1),"")</f>
        <v/>
      </c>
      <c r="BD171" s="828" t="str">
        <f t="shared" ref="BD171:BD218" ca="1" si="457">IFERROR(OFFSET(貼付け_2024実績,$A171,BD$1+1),"")</f>
        <v/>
      </c>
      <c r="BE171" s="828" t="str">
        <f t="shared" ref="BE171:BE218" ca="1" si="458">IFERROR(OFFSET(貼付け_2025実績,$A171,BE$1+1),"")</f>
        <v/>
      </c>
      <c r="BF171" s="828" t="str">
        <f t="shared" ref="BF171:BF218" ca="1" si="459">IFERROR(OFFSET(貼付け_2026実績,$A171,BF$1+1),"")</f>
        <v/>
      </c>
      <c r="BG171" s="828" t="str">
        <f t="shared" ref="BG171:BG218" ca="1" si="460">IFERROR(OFFSET(貼付け_2027実績,$A171,BG$1+1),"")</f>
        <v/>
      </c>
      <c r="BH171" s="828" t="str">
        <f t="shared" ref="BH171:BH218" ca="1" si="461">IFERROR(OFFSET(貼付け_2024実績,$A171,BH$1+1),"")</f>
        <v/>
      </c>
      <c r="BI171" s="828" t="str">
        <f t="shared" ref="BI171:BI218" ca="1" si="462">IFERROR(OFFSET(貼付け_2025実績,$A171,BI$1+1),"")</f>
        <v/>
      </c>
      <c r="BJ171" s="828" t="str">
        <f t="shared" ref="BJ171:BJ218" ca="1" si="463">IFERROR(OFFSET(貼付け_2026実績,$A171,BJ$1+1),"")</f>
        <v/>
      </c>
      <c r="BK171" s="828" t="str">
        <f t="shared" ref="BK171:BK218" ca="1" si="464">IFERROR(OFFSET(貼付け_2027実績,$A171,BK$1+1),"")</f>
        <v/>
      </c>
      <c r="BL171" s="828" t="str">
        <f t="shared" ref="BL171:BL218" ca="1" si="465">IFERROR(OFFSET(貼付け_2024実績,$A171,BL$1+1),"")</f>
        <v/>
      </c>
      <c r="BM171" s="828" t="str">
        <f t="shared" ref="BM171:BM218" ca="1" si="466">IFERROR(OFFSET(貼付け_2025実績,$A171,BM$1+1),"")</f>
        <v/>
      </c>
      <c r="BN171" s="828" t="str">
        <f t="shared" ref="BN171:BN218" ca="1" si="467">IFERROR(OFFSET(貼付け_2026実績,$A171,BN$1+1),"")</f>
        <v/>
      </c>
      <c r="BO171" s="828" t="str">
        <f t="shared" ref="BO171:BO218" ca="1" si="468">IFERROR(OFFSET(貼付け_2027実績,$A171,BO$1+1),"")</f>
        <v/>
      </c>
    </row>
    <row r="172" spans="1:68" ht="20.100000000000001" customHeight="1">
      <c r="A172" s="823">
        <v>9</v>
      </c>
      <c r="B172" s="1870"/>
      <c r="C172" s="1872"/>
      <c r="D172" s="824" t="s">
        <v>4391</v>
      </c>
      <c r="E172" s="824"/>
      <c r="F172" s="825"/>
      <c r="G172" s="826" t="s">
        <v>4144</v>
      </c>
      <c r="H172" s="827">
        <f t="shared" ca="1" si="422"/>
        <v>34.799999999999997</v>
      </c>
      <c r="I172" s="827">
        <f t="shared" ca="1" si="422"/>
        <v>34.799999999999997</v>
      </c>
      <c r="J172" s="827">
        <f t="shared" ca="1" si="422"/>
        <v>34.799999999999997</v>
      </c>
      <c r="K172" s="827">
        <f t="shared" ca="1" si="422"/>
        <v>34.799999999999997</v>
      </c>
      <c r="L172" s="828">
        <f t="shared" ca="1" si="423"/>
        <v>0</v>
      </c>
      <c r="M172" s="828">
        <f t="shared" ca="1" si="423"/>
        <v>0</v>
      </c>
      <c r="N172" s="828">
        <f t="shared" ca="1" si="423"/>
        <v>0</v>
      </c>
      <c r="O172" s="828">
        <f t="shared" ca="1" si="423"/>
        <v>0</v>
      </c>
      <c r="P172" s="828">
        <f ca="1">SUM(SUMIFS(OFFSET(貼付け_2024実績,$A172,10,1,199),OFFSET(貼付け_2024実績,4,9,1,199),{"横浜*","川崎*"}))</f>
        <v>0</v>
      </c>
      <c r="Q172" s="828">
        <f ca="1">SUM(SUMIFS(OFFSET(貼付け_2025実績,$A172,10,1,199),OFFSET(貼付け_2025実績,4,9,1,199),{"横浜*","川崎*"}))</f>
        <v>0</v>
      </c>
      <c r="R172" s="828">
        <f ca="1">SUM(SUMIFS(OFFSET(貼付け_2026実績,$A172,10,1,199),OFFSET(貼付け_2026実績,4,9,1,199),{"横浜*","川崎*"}))</f>
        <v>0</v>
      </c>
      <c r="S172" s="828">
        <f ca="1">SUM(SUMIFS(OFFSET(貼付け_2027実績,$A172,10,1,199),OFFSET(貼付け_2027実績,4,9,1,199),{"横浜*","川崎*"}))</f>
        <v>0</v>
      </c>
      <c r="T172" s="828">
        <f t="shared" ca="1" si="424"/>
        <v>0</v>
      </c>
      <c r="U172" s="828">
        <f t="shared" ca="1" si="424"/>
        <v>0</v>
      </c>
      <c r="V172" s="828">
        <f t="shared" ca="1" si="424"/>
        <v>0</v>
      </c>
      <c r="W172" s="828">
        <f t="shared" ca="1" si="424"/>
        <v>0</v>
      </c>
      <c r="X172" s="828">
        <f t="shared" ca="1" si="425"/>
        <v>0</v>
      </c>
      <c r="Y172" s="828">
        <f t="shared" ca="1" si="426"/>
        <v>0</v>
      </c>
      <c r="Z172" s="828">
        <f t="shared" ca="1" si="427"/>
        <v>0</v>
      </c>
      <c r="AA172" s="828">
        <f t="shared" ca="1" si="428"/>
        <v>0</v>
      </c>
      <c r="AB172" s="828" t="str">
        <f t="shared" ca="1" si="429"/>
        <v/>
      </c>
      <c r="AC172" s="828" t="str">
        <f t="shared" ca="1" si="430"/>
        <v/>
      </c>
      <c r="AD172" s="828" t="str">
        <f t="shared" ca="1" si="431"/>
        <v/>
      </c>
      <c r="AE172" s="828" t="str">
        <f t="shared" ca="1" si="432"/>
        <v/>
      </c>
      <c r="AF172" s="828" t="str">
        <f t="shared" ca="1" si="433"/>
        <v/>
      </c>
      <c r="AG172" s="828" t="str">
        <f t="shared" ca="1" si="434"/>
        <v/>
      </c>
      <c r="AH172" s="828" t="str">
        <f t="shared" ca="1" si="435"/>
        <v/>
      </c>
      <c r="AI172" s="828" t="str">
        <f t="shared" ca="1" si="436"/>
        <v/>
      </c>
      <c r="AJ172" s="828" t="str">
        <f t="shared" ca="1" si="437"/>
        <v/>
      </c>
      <c r="AK172" s="828" t="str">
        <f t="shared" ca="1" si="438"/>
        <v/>
      </c>
      <c r="AL172" s="828" t="str">
        <f t="shared" ca="1" si="439"/>
        <v/>
      </c>
      <c r="AM172" s="828" t="str">
        <f t="shared" ca="1" si="440"/>
        <v/>
      </c>
      <c r="AN172" s="828" t="str">
        <f t="shared" ca="1" si="441"/>
        <v/>
      </c>
      <c r="AO172" s="828" t="str">
        <f t="shared" ca="1" si="442"/>
        <v/>
      </c>
      <c r="AP172" s="828" t="str">
        <f t="shared" ca="1" si="443"/>
        <v/>
      </c>
      <c r="AQ172" s="828" t="str">
        <f t="shared" ca="1" si="444"/>
        <v/>
      </c>
      <c r="AR172" s="828" t="str">
        <f t="shared" ca="1" si="445"/>
        <v/>
      </c>
      <c r="AS172" s="828" t="str">
        <f t="shared" ca="1" si="446"/>
        <v/>
      </c>
      <c r="AT172" s="828" t="str">
        <f t="shared" ca="1" si="447"/>
        <v/>
      </c>
      <c r="AU172" s="828" t="str">
        <f t="shared" ca="1" si="448"/>
        <v/>
      </c>
      <c r="AV172" s="828" t="str">
        <f t="shared" ca="1" si="449"/>
        <v/>
      </c>
      <c r="AW172" s="828" t="str">
        <f t="shared" ca="1" si="450"/>
        <v/>
      </c>
      <c r="AX172" s="828" t="str">
        <f t="shared" ca="1" si="451"/>
        <v/>
      </c>
      <c r="AY172" s="828" t="str">
        <f t="shared" ca="1" si="452"/>
        <v/>
      </c>
      <c r="AZ172" s="828" t="str">
        <f t="shared" ca="1" si="453"/>
        <v/>
      </c>
      <c r="BA172" s="828" t="str">
        <f t="shared" ca="1" si="454"/>
        <v/>
      </c>
      <c r="BB172" s="828" t="str">
        <f t="shared" ca="1" si="455"/>
        <v/>
      </c>
      <c r="BC172" s="828" t="str">
        <f t="shared" ca="1" si="456"/>
        <v/>
      </c>
      <c r="BD172" s="828" t="str">
        <f t="shared" ca="1" si="457"/>
        <v/>
      </c>
      <c r="BE172" s="828" t="str">
        <f t="shared" ca="1" si="458"/>
        <v/>
      </c>
      <c r="BF172" s="828" t="str">
        <f t="shared" ca="1" si="459"/>
        <v/>
      </c>
      <c r="BG172" s="828" t="str">
        <f t="shared" ca="1" si="460"/>
        <v/>
      </c>
      <c r="BH172" s="828" t="str">
        <f t="shared" ca="1" si="461"/>
        <v/>
      </c>
      <c r="BI172" s="828" t="str">
        <f t="shared" ca="1" si="462"/>
        <v/>
      </c>
      <c r="BJ172" s="828" t="str">
        <f t="shared" ca="1" si="463"/>
        <v/>
      </c>
      <c r="BK172" s="828" t="str">
        <f t="shared" ca="1" si="464"/>
        <v/>
      </c>
      <c r="BL172" s="828" t="str">
        <f t="shared" ca="1" si="465"/>
        <v/>
      </c>
      <c r="BM172" s="828" t="str">
        <f t="shared" ca="1" si="466"/>
        <v/>
      </c>
      <c r="BN172" s="828" t="str">
        <f t="shared" ca="1" si="467"/>
        <v/>
      </c>
      <c r="BO172" s="828" t="str">
        <f t="shared" ca="1" si="468"/>
        <v/>
      </c>
    </row>
    <row r="173" spans="1:68" ht="20.100000000000001" customHeight="1">
      <c r="A173" s="823">
        <v>10</v>
      </c>
      <c r="B173" s="1871"/>
      <c r="C173" s="1872"/>
      <c r="D173" s="824" t="s">
        <v>4392</v>
      </c>
      <c r="E173" s="824"/>
      <c r="F173" s="825"/>
      <c r="G173" s="826" t="s">
        <v>4144</v>
      </c>
      <c r="H173" s="827">
        <f t="shared" ca="1" si="422"/>
        <v>33.4</v>
      </c>
      <c r="I173" s="827">
        <f t="shared" ca="1" si="422"/>
        <v>33.4</v>
      </c>
      <c r="J173" s="827">
        <f t="shared" ca="1" si="422"/>
        <v>33.4</v>
      </c>
      <c r="K173" s="827">
        <f t="shared" ca="1" si="422"/>
        <v>33.4</v>
      </c>
      <c r="L173" s="828">
        <f t="shared" ca="1" si="423"/>
        <v>0</v>
      </c>
      <c r="M173" s="828">
        <f t="shared" ca="1" si="423"/>
        <v>0</v>
      </c>
      <c r="N173" s="828">
        <f t="shared" ca="1" si="423"/>
        <v>0</v>
      </c>
      <c r="O173" s="828">
        <f t="shared" ca="1" si="423"/>
        <v>0</v>
      </c>
      <c r="P173" s="828">
        <f ca="1">SUM(SUMIFS(OFFSET(貼付け_2024実績,$A173,10,1,199),OFFSET(貼付け_2024実績,4,9,1,199),{"横浜*","川崎*"}))</f>
        <v>0</v>
      </c>
      <c r="Q173" s="828">
        <f ca="1">SUM(SUMIFS(OFFSET(貼付け_2025実績,$A173,10,1,199),OFFSET(貼付け_2025実績,4,9,1,199),{"横浜*","川崎*"}))</f>
        <v>0</v>
      </c>
      <c r="R173" s="828">
        <f ca="1">SUM(SUMIFS(OFFSET(貼付け_2026実績,$A173,10,1,199),OFFSET(貼付け_2026実績,4,9,1,199),{"横浜*","川崎*"}))</f>
        <v>0</v>
      </c>
      <c r="S173" s="828">
        <f ca="1">SUM(SUMIFS(OFFSET(貼付け_2027実績,$A173,10,1,199),OFFSET(貼付け_2027実績,4,9,1,199),{"横浜*","川崎*"}))</f>
        <v>0</v>
      </c>
      <c r="T173" s="828">
        <f t="shared" ca="1" si="424"/>
        <v>0</v>
      </c>
      <c r="U173" s="828">
        <f t="shared" ca="1" si="424"/>
        <v>0</v>
      </c>
      <c r="V173" s="828">
        <f t="shared" ca="1" si="424"/>
        <v>0</v>
      </c>
      <c r="W173" s="828">
        <f t="shared" ca="1" si="424"/>
        <v>0</v>
      </c>
      <c r="X173" s="828">
        <f t="shared" ca="1" si="425"/>
        <v>0</v>
      </c>
      <c r="Y173" s="828">
        <f t="shared" ca="1" si="426"/>
        <v>0</v>
      </c>
      <c r="Z173" s="828">
        <f t="shared" ca="1" si="427"/>
        <v>0</v>
      </c>
      <c r="AA173" s="828">
        <f t="shared" ca="1" si="428"/>
        <v>0</v>
      </c>
      <c r="AB173" s="828" t="str">
        <f t="shared" ca="1" si="429"/>
        <v/>
      </c>
      <c r="AC173" s="828" t="str">
        <f t="shared" ca="1" si="430"/>
        <v/>
      </c>
      <c r="AD173" s="828" t="str">
        <f t="shared" ca="1" si="431"/>
        <v/>
      </c>
      <c r="AE173" s="828" t="str">
        <f t="shared" ca="1" si="432"/>
        <v/>
      </c>
      <c r="AF173" s="828" t="str">
        <f t="shared" ca="1" si="433"/>
        <v/>
      </c>
      <c r="AG173" s="828" t="str">
        <f t="shared" ca="1" si="434"/>
        <v/>
      </c>
      <c r="AH173" s="828" t="str">
        <f t="shared" ca="1" si="435"/>
        <v/>
      </c>
      <c r="AI173" s="828" t="str">
        <f t="shared" ca="1" si="436"/>
        <v/>
      </c>
      <c r="AJ173" s="828" t="str">
        <f t="shared" ca="1" si="437"/>
        <v/>
      </c>
      <c r="AK173" s="828" t="str">
        <f t="shared" ca="1" si="438"/>
        <v/>
      </c>
      <c r="AL173" s="828" t="str">
        <f t="shared" ca="1" si="439"/>
        <v/>
      </c>
      <c r="AM173" s="828" t="str">
        <f t="shared" ca="1" si="440"/>
        <v/>
      </c>
      <c r="AN173" s="828" t="str">
        <f t="shared" ca="1" si="441"/>
        <v/>
      </c>
      <c r="AO173" s="828" t="str">
        <f t="shared" ca="1" si="442"/>
        <v/>
      </c>
      <c r="AP173" s="828" t="str">
        <f t="shared" ca="1" si="443"/>
        <v/>
      </c>
      <c r="AQ173" s="828" t="str">
        <f t="shared" ca="1" si="444"/>
        <v/>
      </c>
      <c r="AR173" s="828" t="str">
        <f t="shared" ca="1" si="445"/>
        <v/>
      </c>
      <c r="AS173" s="828" t="str">
        <f t="shared" ca="1" si="446"/>
        <v/>
      </c>
      <c r="AT173" s="828" t="str">
        <f t="shared" ca="1" si="447"/>
        <v/>
      </c>
      <c r="AU173" s="828" t="str">
        <f t="shared" ca="1" si="448"/>
        <v/>
      </c>
      <c r="AV173" s="828" t="str">
        <f t="shared" ca="1" si="449"/>
        <v/>
      </c>
      <c r="AW173" s="828" t="str">
        <f t="shared" ca="1" si="450"/>
        <v/>
      </c>
      <c r="AX173" s="828" t="str">
        <f t="shared" ca="1" si="451"/>
        <v/>
      </c>
      <c r="AY173" s="828" t="str">
        <f t="shared" ca="1" si="452"/>
        <v/>
      </c>
      <c r="AZ173" s="828" t="str">
        <f t="shared" ca="1" si="453"/>
        <v/>
      </c>
      <c r="BA173" s="828" t="str">
        <f t="shared" ca="1" si="454"/>
        <v/>
      </c>
      <c r="BB173" s="828" t="str">
        <f t="shared" ca="1" si="455"/>
        <v/>
      </c>
      <c r="BC173" s="828" t="str">
        <f t="shared" ca="1" si="456"/>
        <v/>
      </c>
      <c r="BD173" s="828" t="str">
        <f t="shared" ca="1" si="457"/>
        <v/>
      </c>
      <c r="BE173" s="828" t="str">
        <f t="shared" ca="1" si="458"/>
        <v/>
      </c>
      <c r="BF173" s="828" t="str">
        <f t="shared" ca="1" si="459"/>
        <v/>
      </c>
      <c r="BG173" s="828" t="str">
        <f t="shared" ca="1" si="460"/>
        <v/>
      </c>
      <c r="BH173" s="828" t="str">
        <f t="shared" ca="1" si="461"/>
        <v/>
      </c>
      <c r="BI173" s="828" t="str">
        <f t="shared" ca="1" si="462"/>
        <v/>
      </c>
      <c r="BJ173" s="828" t="str">
        <f t="shared" ca="1" si="463"/>
        <v/>
      </c>
      <c r="BK173" s="828" t="str">
        <f t="shared" ca="1" si="464"/>
        <v/>
      </c>
      <c r="BL173" s="828" t="str">
        <f t="shared" ca="1" si="465"/>
        <v/>
      </c>
      <c r="BM173" s="828" t="str">
        <f t="shared" ca="1" si="466"/>
        <v/>
      </c>
      <c r="BN173" s="828" t="str">
        <f t="shared" ca="1" si="467"/>
        <v/>
      </c>
      <c r="BO173" s="828" t="str">
        <f t="shared" ca="1" si="468"/>
        <v/>
      </c>
    </row>
    <row r="174" spans="1:68" ht="20.100000000000001" customHeight="1">
      <c r="A174" s="823">
        <v>11</v>
      </c>
      <c r="B174" s="1870"/>
      <c r="C174" s="1872"/>
      <c r="D174" s="824" t="s">
        <v>4147</v>
      </c>
      <c r="E174" s="824"/>
      <c r="F174" s="825"/>
      <c r="G174" s="826" t="s">
        <v>4144</v>
      </c>
      <c r="H174" s="827">
        <f t="shared" ca="1" si="422"/>
        <v>33.299999999999997</v>
      </c>
      <c r="I174" s="827">
        <f t="shared" ca="1" si="422"/>
        <v>33.299999999999997</v>
      </c>
      <c r="J174" s="827">
        <f t="shared" ca="1" si="422"/>
        <v>33.299999999999997</v>
      </c>
      <c r="K174" s="827">
        <f t="shared" ca="1" si="422"/>
        <v>33.299999999999997</v>
      </c>
      <c r="L174" s="828">
        <f t="shared" ca="1" si="423"/>
        <v>0</v>
      </c>
      <c r="M174" s="828">
        <f t="shared" ca="1" si="423"/>
        <v>0</v>
      </c>
      <c r="N174" s="828">
        <f t="shared" ca="1" si="423"/>
        <v>0</v>
      </c>
      <c r="O174" s="828">
        <f t="shared" ca="1" si="423"/>
        <v>0</v>
      </c>
      <c r="P174" s="828">
        <f ca="1">SUM(SUMIFS(OFFSET(貼付け_2024実績,$A174,10,1,199),OFFSET(貼付け_2024実績,4,9,1,199),{"横浜*","川崎*"}))</f>
        <v>0</v>
      </c>
      <c r="Q174" s="828">
        <f ca="1">SUM(SUMIFS(OFFSET(貼付け_2025実績,$A174,10,1,199),OFFSET(貼付け_2025実績,4,9,1,199),{"横浜*","川崎*"}))</f>
        <v>0</v>
      </c>
      <c r="R174" s="828">
        <f ca="1">SUM(SUMIFS(OFFSET(貼付け_2026実績,$A174,10,1,199),OFFSET(貼付け_2026実績,4,9,1,199),{"横浜*","川崎*"}))</f>
        <v>0</v>
      </c>
      <c r="S174" s="828">
        <f ca="1">SUM(SUMIFS(OFFSET(貼付け_2027実績,$A174,10,1,199),OFFSET(貼付け_2027実績,4,9,1,199),{"横浜*","川崎*"}))</f>
        <v>0</v>
      </c>
      <c r="T174" s="828">
        <f t="shared" ca="1" si="424"/>
        <v>0</v>
      </c>
      <c r="U174" s="828">
        <f t="shared" ca="1" si="424"/>
        <v>0</v>
      </c>
      <c r="V174" s="828">
        <f t="shared" ca="1" si="424"/>
        <v>0</v>
      </c>
      <c r="W174" s="828">
        <f t="shared" ca="1" si="424"/>
        <v>0</v>
      </c>
      <c r="X174" s="828">
        <f t="shared" ca="1" si="425"/>
        <v>0</v>
      </c>
      <c r="Y174" s="828">
        <f t="shared" ca="1" si="426"/>
        <v>0</v>
      </c>
      <c r="Z174" s="828">
        <f t="shared" ca="1" si="427"/>
        <v>0</v>
      </c>
      <c r="AA174" s="828">
        <f t="shared" ca="1" si="428"/>
        <v>0</v>
      </c>
      <c r="AB174" s="828" t="str">
        <f t="shared" ca="1" si="429"/>
        <v/>
      </c>
      <c r="AC174" s="828" t="str">
        <f t="shared" ca="1" si="430"/>
        <v/>
      </c>
      <c r="AD174" s="828" t="str">
        <f t="shared" ca="1" si="431"/>
        <v/>
      </c>
      <c r="AE174" s="828" t="str">
        <f t="shared" ca="1" si="432"/>
        <v/>
      </c>
      <c r="AF174" s="828" t="str">
        <f t="shared" ca="1" si="433"/>
        <v/>
      </c>
      <c r="AG174" s="828" t="str">
        <f t="shared" ca="1" si="434"/>
        <v/>
      </c>
      <c r="AH174" s="828" t="str">
        <f t="shared" ca="1" si="435"/>
        <v/>
      </c>
      <c r="AI174" s="828" t="str">
        <f t="shared" ca="1" si="436"/>
        <v/>
      </c>
      <c r="AJ174" s="828" t="str">
        <f t="shared" ca="1" si="437"/>
        <v/>
      </c>
      <c r="AK174" s="828" t="str">
        <f t="shared" ca="1" si="438"/>
        <v/>
      </c>
      <c r="AL174" s="828" t="str">
        <f t="shared" ca="1" si="439"/>
        <v/>
      </c>
      <c r="AM174" s="828" t="str">
        <f t="shared" ca="1" si="440"/>
        <v/>
      </c>
      <c r="AN174" s="828" t="str">
        <f t="shared" ca="1" si="441"/>
        <v/>
      </c>
      <c r="AO174" s="828" t="str">
        <f t="shared" ca="1" si="442"/>
        <v/>
      </c>
      <c r="AP174" s="828" t="str">
        <f t="shared" ca="1" si="443"/>
        <v/>
      </c>
      <c r="AQ174" s="828" t="str">
        <f t="shared" ca="1" si="444"/>
        <v/>
      </c>
      <c r="AR174" s="828" t="str">
        <f t="shared" ca="1" si="445"/>
        <v/>
      </c>
      <c r="AS174" s="828" t="str">
        <f t="shared" ca="1" si="446"/>
        <v/>
      </c>
      <c r="AT174" s="828" t="str">
        <f t="shared" ca="1" si="447"/>
        <v/>
      </c>
      <c r="AU174" s="828" t="str">
        <f t="shared" ca="1" si="448"/>
        <v/>
      </c>
      <c r="AV174" s="828" t="str">
        <f t="shared" ca="1" si="449"/>
        <v/>
      </c>
      <c r="AW174" s="828" t="str">
        <f t="shared" ca="1" si="450"/>
        <v/>
      </c>
      <c r="AX174" s="828" t="str">
        <f t="shared" ca="1" si="451"/>
        <v/>
      </c>
      <c r="AY174" s="828" t="str">
        <f t="shared" ca="1" si="452"/>
        <v/>
      </c>
      <c r="AZ174" s="828" t="str">
        <f t="shared" ca="1" si="453"/>
        <v/>
      </c>
      <c r="BA174" s="828" t="str">
        <f t="shared" ca="1" si="454"/>
        <v/>
      </c>
      <c r="BB174" s="828" t="str">
        <f t="shared" ca="1" si="455"/>
        <v/>
      </c>
      <c r="BC174" s="828" t="str">
        <f t="shared" ca="1" si="456"/>
        <v/>
      </c>
      <c r="BD174" s="828" t="str">
        <f t="shared" ca="1" si="457"/>
        <v/>
      </c>
      <c r="BE174" s="828" t="str">
        <f t="shared" ca="1" si="458"/>
        <v/>
      </c>
      <c r="BF174" s="828" t="str">
        <f t="shared" ca="1" si="459"/>
        <v/>
      </c>
      <c r="BG174" s="828" t="str">
        <f t="shared" ca="1" si="460"/>
        <v/>
      </c>
      <c r="BH174" s="828" t="str">
        <f t="shared" ca="1" si="461"/>
        <v/>
      </c>
      <c r="BI174" s="828" t="str">
        <f t="shared" ca="1" si="462"/>
        <v/>
      </c>
      <c r="BJ174" s="828" t="str">
        <f t="shared" ca="1" si="463"/>
        <v/>
      </c>
      <c r="BK174" s="828" t="str">
        <f t="shared" ca="1" si="464"/>
        <v/>
      </c>
      <c r="BL174" s="828" t="str">
        <f t="shared" ca="1" si="465"/>
        <v/>
      </c>
      <c r="BM174" s="828" t="str">
        <f t="shared" ca="1" si="466"/>
        <v/>
      </c>
      <c r="BN174" s="828" t="str">
        <f t="shared" ca="1" si="467"/>
        <v/>
      </c>
      <c r="BO174" s="828" t="str">
        <f t="shared" ca="1" si="468"/>
        <v/>
      </c>
    </row>
    <row r="175" spans="1:68" ht="20.100000000000001" customHeight="1">
      <c r="A175" s="823">
        <v>12</v>
      </c>
      <c r="B175" s="1870"/>
      <c r="C175" s="1872"/>
      <c r="D175" s="824" t="s">
        <v>4393</v>
      </c>
      <c r="E175" s="824"/>
      <c r="F175" s="825"/>
      <c r="G175" s="826" t="s">
        <v>4144</v>
      </c>
      <c r="H175" s="827">
        <f t="shared" ca="1" si="422"/>
        <v>36.299999999999997</v>
      </c>
      <c r="I175" s="827">
        <f t="shared" ca="1" si="422"/>
        <v>36.299999999999997</v>
      </c>
      <c r="J175" s="827">
        <f t="shared" ca="1" si="422"/>
        <v>36.299999999999997</v>
      </c>
      <c r="K175" s="827">
        <f t="shared" ca="1" si="422"/>
        <v>36.299999999999997</v>
      </c>
      <c r="L175" s="828">
        <f t="shared" ca="1" si="423"/>
        <v>0</v>
      </c>
      <c r="M175" s="828">
        <f t="shared" ca="1" si="423"/>
        <v>0</v>
      </c>
      <c r="N175" s="828">
        <f t="shared" ca="1" si="423"/>
        <v>0</v>
      </c>
      <c r="O175" s="828">
        <f t="shared" ca="1" si="423"/>
        <v>0</v>
      </c>
      <c r="P175" s="828">
        <f ca="1">SUM(SUMIFS(OFFSET(貼付け_2024実績,$A175,10,1,199),OFFSET(貼付け_2024実績,4,9,1,199),{"横浜*","川崎*"}))</f>
        <v>0</v>
      </c>
      <c r="Q175" s="828">
        <f ca="1">SUM(SUMIFS(OFFSET(貼付け_2025実績,$A175,10,1,199),OFFSET(貼付け_2025実績,4,9,1,199),{"横浜*","川崎*"}))</f>
        <v>0</v>
      </c>
      <c r="R175" s="828">
        <f ca="1">SUM(SUMIFS(OFFSET(貼付け_2026実績,$A175,10,1,199),OFFSET(貼付け_2026実績,4,9,1,199),{"横浜*","川崎*"}))</f>
        <v>0</v>
      </c>
      <c r="S175" s="828">
        <f ca="1">SUM(SUMIFS(OFFSET(貼付け_2027実績,$A175,10,1,199),OFFSET(貼付け_2027実績,4,9,1,199),{"横浜*","川崎*"}))</f>
        <v>0</v>
      </c>
      <c r="T175" s="828">
        <f t="shared" ca="1" si="424"/>
        <v>0</v>
      </c>
      <c r="U175" s="828">
        <f t="shared" ca="1" si="424"/>
        <v>0</v>
      </c>
      <c r="V175" s="828">
        <f t="shared" ca="1" si="424"/>
        <v>0</v>
      </c>
      <c r="W175" s="828">
        <f t="shared" ca="1" si="424"/>
        <v>0</v>
      </c>
      <c r="X175" s="828">
        <f t="shared" ca="1" si="425"/>
        <v>0</v>
      </c>
      <c r="Y175" s="828">
        <f t="shared" ca="1" si="426"/>
        <v>0</v>
      </c>
      <c r="Z175" s="828">
        <f t="shared" ca="1" si="427"/>
        <v>0</v>
      </c>
      <c r="AA175" s="828">
        <f t="shared" ca="1" si="428"/>
        <v>0</v>
      </c>
      <c r="AB175" s="828" t="str">
        <f t="shared" ca="1" si="429"/>
        <v/>
      </c>
      <c r="AC175" s="828" t="str">
        <f t="shared" ca="1" si="430"/>
        <v/>
      </c>
      <c r="AD175" s="828" t="str">
        <f t="shared" ca="1" si="431"/>
        <v/>
      </c>
      <c r="AE175" s="828" t="str">
        <f t="shared" ca="1" si="432"/>
        <v/>
      </c>
      <c r="AF175" s="828" t="str">
        <f t="shared" ca="1" si="433"/>
        <v/>
      </c>
      <c r="AG175" s="828" t="str">
        <f t="shared" ca="1" si="434"/>
        <v/>
      </c>
      <c r="AH175" s="828" t="str">
        <f t="shared" ca="1" si="435"/>
        <v/>
      </c>
      <c r="AI175" s="828" t="str">
        <f t="shared" ca="1" si="436"/>
        <v/>
      </c>
      <c r="AJ175" s="828" t="str">
        <f t="shared" ca="1" si="437"/>
        <v/>
      </c>
      <c r="AK175" s="828" t="str">
        <f t="shared" ca="1" si="438"/>
        <v/>
      </c>
      <c r="AL175" s="828" t="str">
        <f t="shared" ca="1" si="439"/>
        <v/>
      </c>
      <c r="AM175" s="828" t="str">
        <f t="shared" ca="1" si="440"/>
        <v/>
      </c>
      <c r="AN175" s="828" t="str">
        <f t="shared" ca="1" si="441"/>
        <v/>
      </c>
      <c r="AO175" s="828" t="str">
        <f t="shared" ca="1" si="442"/>
        <v/>
      </c>
      <c r="AP175" s="828" t="str">
        <f t="shared" ca="1" si="443"/>
        <v/>
      </c>
      <c r="AQ175" s="828" t="str">
        <f t="shared" ca="1" si="444"/>
        <v/>
      </c>
      <c r="AR175" s="828" t="str">
        <f t="shared" ca="1" si="445"/>
        <v/>
      </c>
      <c r="AS175" s="828" t="str">
        <f t="shared" ca="1" si="446"/>
        <v/>
      </c>
      <c r="AT175" s="828" t="str">
        <f t="shared" ca="1" si="447"/>
        <v/>
      </c>
      <c r="AU175" s="828" t="str">
        <f t="shared" ca="1" si="448"/>
        <v/>
      </c>
      <c r="AV175" s="828" t="str">
        <f t="shared" ca="1" si="449"/>
        <v/>
      </c>
      <c r="AW175" s="828" t="str">
        <f t="shared" ca="1" si="450"/>
        <v/>
      </c>
      <c r="AX175" s="828" t="str">
        <f t="shared" ca="1" si="451"/>
        <v/>
      </c>
      <c r="AY175" s="828" t="str">
        <f t="shared" ca="1" si="452"/>
        <v/>
      </c>
      <c r="AZ175" s="828" t="str">
        <f t="shared" ca="1" si="453"/>
        <v/>
      </c>
      <c r="BA175" s="828" t="str">
        <f t="shared" ca="1" si="454"/>
        <v/>
      </c>
      <c r="BB175" s="828" t="str">
        <f t="shared" ca="1" si="455"/>
        <v/>
      </c>
      <c r="BC175" s="828" t="str">
        <f t="shared" ca="1" si="456"/>
        <v/>
      </c>
      <c r="BD175" s="828" t="str">
        <f t="shared" ca="1" si="457"/>
        <v/>
      </c>
      <c r="BE175" s="828" t="str">
        <f t="shared" ca="1" si="458"/>
        <v/>
      </c>
      <c r="BF175" s="828" t="str">
        <f t="shared" ca="1" si="459"/>
        <v/>
      </c>
      <c r="BG175" s="828" t="str">
        <f t="shared" ca="1" si="460"/>
        <v/>
      </c>
      <c r="BH175" s="828" t="str">
        <f t="shared" ca="1" si="461"/>
        <v/>
      </c>
      <c r="BI175" s="828" t="str">
        <f t="shared" ca="1" si="462"/>
        <v/>
      </c>
      <c r="BJ175" s="828" t="str">
        <f t="shared" ca="1" si="463"/>
        <v/>
      </c>
      <c r="BK175" s="828" t="str">
        <f t="shared" ca="1" si="464"/>
        <v/>
      </c>
      <c r="BL175" s="828" t="str">
        <f t="shared" ca="1" si="465"/>
        <v/>
      </c>
      <c r="BM175" s="828" t="str">
        <f t="shared" ca="1" si="466"/>
        <v/>
      </c>
      <c r="BN175" s="828" t="str">
        <f t="shared" ca="1" si="467"/>
        <v/>
      </c>
      <c r="BO175" s="828" t="str">
        <f t="shared" ca="1" si="468"/>
        <v/>
      </c>
    </row>
    <row r="176" spans="1:68" ht="20.100000000000001" customHeight="1">
      <c r="A176" s="823">
        <v>13</v>
      </c>
      <c r="B176" s="1871"/>
      <c r="C176" s="1872"/>
      <c r="D176" s="824" t="s">
        <v>4149</v>
      </c>
      <c r="E176" s="824"/>
      <c r="F176" s="825"/>
      <c r="G176" s="826" t="s">
        <v>4144</v>
      </c>
      <c r="H176" s="827">
        <f t="shared" ca="1" si="422"/>
        <v>36.5</v>
      </c>
      <c r="I176" s="827">
        <f t="shared" ca="1" si="422"/>
        <v>36.5</v>
      </c>
      <c r="J176" s="827">
        <f t="shared" ca="1" si="422"/>
        <v>36.5</v>
      </c>
      <c r="K176" s="827">
        <f t="shared" ca="1" si="422"/>
        <v>36.5</v>
      </c>
      <c r="L176" s="828">
        <f t="shared" ca="1" si="423"/>
        <v>0</v>
      </c>
      <c r="M176" s="828">
        <f t="shared" ca="1" si="423"/>
        <v>0</v>
      </c>
      <c r="N176" s="828">
        <f t="shared" ca="1" si="423"/>
        <v>0</v>
      </c>
      <c r="O176" s="828">
        <f t="shared" ca="1" si="423"/>
        <v>0</v>
      </c>
      <c r="P176" s="828">
        <f ca="1">SUM(SUMIFS(OFFSET(貼付け_2024実績,$A176,10,1,199),OFFSET(貼付け_2024実績,4,9,1,199),{"横浜*","川崎*"}))</f>
        <v>0</v>
      </c>
      <c r="Q176" s="828">
        <f ca="1">SUM(SUMIFS(OFFSET(貼付け_2025実績,$A176,10,1,199),OFFSET(貼付け_2025実績,4,9,1,199),{"横浜*","川崎*"}))</f>
        <v>0</v>
      </c>
      <c r="R176" s="828">
        <f ca="1">SUM(SUMIFS(OFFSET(貼付け_2026実績,$A176,10,1,199),OFFSET(貼付け_2026実績,4,9,1,199),{"横浜*","川崎*"}))</f>
        <v>0</v>
      </c>
      <c r="S176" s="828">
        <f ca="1">SUM(SUMIFS(OFFSET(貼付け_2027実績,$A176,10,1,199),OFFSET(貼付け_2027実績,4,9,1,199),{"横浜*","川崎*"}))</f>
        <v>0</v>
      </c>
      <c r="T176" s="828">
        <f t="shared" ca="1" si="424"/>
        <v>0</v>
      </c>
      <c r="U176" s="828">
        <f t="shared" ca="1" si="424"/>
        <v>0</v>
      </c>
      <c r="V176" s="828">
        <f t="shared" ca="1" si="424"/>
        <v>0</v>
      </c>
      <c r="W176" s="828">
        <f t="shared" ca="1" si="424"/>
        <v>0</v>
      </c>
      <c r="X176" s="828">
        <f t="shared" ca="1" si="425"/>
        <v>0</v>
      </c>
      <c r="Y176" s="828">
        <f t="shared" ca="1" si="426"/>
        <v>0</v>
      </c>
      <c r="Z176" s="828">
        <f t="shared" ca="1" si="427"/>
        <v>0</v>
      </c>
      <c r="AA176" s="828">
        <f t="shared" ca="1" si="428"/>
        <v>0</v>
      </c>
      <c r="AB176" s="828" t="str">
        <f t="shared" ca="1" si="429"/>
        <v/>
      </c>
      <c r="AC176" s="828" t="str">
        <f t="shared" ca="1" si="430"/>
        <v/>
      </c>
      <c r="AD176" s="828" t="str">
        <f t="shared" ca="1" si="431"/>
        <v/>
      </c>
      <c r="AE176" s="828" t="str">
        <f t="shared" ca="1" si="432"/>
        <v/>
      </c>
      <c r="AF176" s="828" t="str">
        <f t="shared" ca="1" si="433"/>
        <v/>
      </c>
      <c r="AG176" s="828" t="str">
        <f t="shared" ca="1" si="434"/>
        <v/>
      </c>
      <c r="AH176" s="828" t="str">
        <f t="shared" ca="1" si="435"/>
        <v/>
      </c>
      <c r="AI176" s="828" t="str">
        <f t="shared" ca="1" si="436"/>
        <v/>
      </c>
      <c r="AJ176" s="828" t="str">
        <f t="shared" ca="1" si="437"/>
        <v/>
      </c>
      <c r="AK176" s="828" t="str">
        <f t="shared" ca="1" si="438"/>
        <v/>
      </c>
      <c r="AL176" s="828" t="str">
        <f t="shared" ca="1" si="439"/>
        <v/>
      </c>
      <c r="AM176" s="828" t="str">
        <f t="shared" ca="1" si="440"/>
        <v/>
      </c>
      <c r="AN176" s="828" t="str">
        <f t="shared" ca="1" si="441"/>
        <v/>
      </c>
      <c r="AO176" s="828" t="str">
        <f t="shared" ca="1" si="442"/>
        <v/>
      </c>
      <c r="AP176" s="828" t="str">
        <f t="shared" ca="1" si="443"/>
        <v/>
      </c>
      <c r="AQ176" s="828" t="str">
        <f t="shared" ca="1" si="444"/>
        <v/>
      </c>
      <c r="AR176" s="828" t="str">
        <f t="shared" ca="1" si="445"/>
        <v/>
      </c>
      <c r="AS176" s="828" t="str">
        <f t="shared" ca="1" si="446"/>
        <v/>
      </c>
      <c r="AT176" s="828" t="str">
        <f t="shared" ca="1" si="447"/>
        <v/>
      </c>
      <c r="AU176" s="828" t="str">
        <f t="shared" ca="1" si="448"/>
        <v/>
      </c>
      <c r="AV176" s="828" t="str">
        <f t="shared" ca="1" si="449"/>
        <v/>
      </c>
      <c r="AW176" s="828" t="str">
        <f t="shared" ca="1" si="450"/>
        <v/>
      </c>
      <c r="AX176" s="828" t="str">
        <f t="shared" ca="1" si="451"/>
        <v/>
      </c>
      <c r="AY176" s="828" t="str">
        <f t="shared" ca="1" si="452"/>
        <v/>
      </c>
      <c r="AZ176" s="828" t="str">
        <f t="shared" ca="1" si="453"/>
        <v/>
      </c>
      <c r="BA176" s="828" t="str">
        <f t="shared" ca="1" si="454"/>
        <v/>
      </c>
      <c r="BB176" s="828" t="str">
        <f t="shared" ca="1" si="455"/>
        <v/>
      </c>
      <c r="BC176" s="828" t="str">
        <f t="shared" ca="1" si="456"/>
        <v/>
      </c>
      <c r="BD176" s="828" t="str">
        <f t="shared" ca="1" si="457"/>
        <v/>
      </c>
      <c r="BE176" s="828" t="str">
        <f t="shared" ca="1" si="458"/>
        <v/>
      </c>
      <c r="BF176" s="828" t="str">
        <f t="shared" ca="1" si="459"/>
        <v/>
      </c>
      <c r="BG176" s="828" t="str">
        <f t="shared" ca="1" si="460"/>
        <v/>
      </c>
      <c r="BH176" s="828" t="str">
        <f t="shared" ca="1" si="461"/>
        <v/>
      </c>
      <c r="BI176" s="828" t="str">
        <f t="shared" ca="1" si="462"/>
        <v/>
      </c>
      <c r="BJ176" s="828" t="str">
        <f t="shared" ca="1" si="463"/>
        <v/>
      </c>
      <c r="BK176" s="828" t="str">
        <f t="shared" ca="1" si="464"/>
        <v/>
      </c>
      <c r="BL176" s="828" t="str">
        <f t="shared" ca="1" si="465"/>
        <v/>
      </c>
      <c r="BM176" s="828" t="str">
        <f t="shared" ca="1" si="466"/>
        <v/>
      </c>
      <c r="BN176" s="828" t="str">
        <f t="shared" ca="1" si="467"/>
        <v/>
      </c>
      <c r="BO176" s="828" t="str">
        <f t="shared" ca="1" si="468"/>
        <v/>
      </c>
    </row>
    <row r="177" spans="1:67" ht="20.100000000000001" customHeight="1">
      <c r="A177" s="823">
        <v>14</v>
      </c>
      <c r="B177" s="1871"/>
      <c r="C177" s="1872"/>
      <c r="D177" s="824" t="s">
        <v>4150</v>
      </c>
      <c r="E177" s="824"/>
      <c r="F177" s="825"/>
      <c r="G177" s="826" t="s">
        <v>4144</v>
      </c>
      <c r="H177" s="827">
        <f t="shared" ca="1" si="422"/>
        <v>38</v>
      </c>
      <c r="I177" s="827">
        <f t="shared" ca="1" si="422"/>
        <v>38</v>
      </c>
      <c r="J177" s="827">
        <f t="shared" ca="1" si="422"/>
        <v>38</v>
      </c>
      <c r="K177" s="827">
        <f t="shared" ca="1" si="422"/>
        <v>38</v>
      </c>
      <c r="L177" s="828">
        <f t="shared" ca="1" si="423"/>
        <v>0</v>
      </c>
      <c r="M177" s="828">
        <f t="shared" ca="1" si="423"/>
        <v>0</v>
      </c>
      <c r="N177" s="828">
        <f t="shared" ca="1" si="423"/>
        <v>0</v>
      </c>
      <c r="O177" s="828">
        <f t="shared" ca="1" si="423"/>
        <v>0</v>
      </c>
      <c r="P177" s="828">
        <f ca="1">SUM(SUMIFS(OFFSET(貼付け_2024実績,$A177,10,1,199),OFFSET(貼付け_2024実績,4,9,1,199),{"横浜*","川崎*"}))</f>
        <v>0</v>
      </c>
      <c r="Q177" s="828">
        <f ca="1">SUM(SUMIFS(OFFSET(貼付け_2025実績,$A177,10,1,199),OFFSET(貼付け_2025実績,4,9,1,199),{"横浜*","川崎*"}))</f>
        <v>0</v>
      </c>
      <c r="R177" s="828">
        <f ca="1">SUM(SUMIFS(OFFSET(貼付け_2026実績,$A177,10,1,199),OFFSET(貼付け_2026実績,4,9,1,199),{"横浜*","川崎*"}))</f>
        <v>0</v>
      </c>
      <c r="S177" s="828">
        <f ca="1">SUM(SUMIFS(OFFSET(貼付け_2027実績,$A177,10,1,199),OFFSET(貼付け_2027実績,4,9,1,199),{"横浜*","川崎*"}))</f>
        <v>0</v>
      </c>
      <c r="T177" s="828">
        <f t="shared" ca="1" si="424"/>
        <v>0</v>
      </c>
      <c r="U177" s="828">
        <f t="shared" ca="1" si="424"/>
        <v>0</v>
      </c>
      <c r="V177" s="828">
        <f t="shared" ca="1" si="424"/>
        <v>0</v>
      </c>
      <c r="W177" s="828">
        <f t="shared" ca="1" si="424"/>
        <v>0</v>
      </c>
      <c r="X177" s="828">
        <f t="shared" ca="1" si="425"/>
        <v>0</v>
      </c>
      <c r="Y177" s="828">
        <f t="shared" ca="1" si="426"/>
        <v>0</v>
      </c>
      <c r="Z177" s="828">
        <f t="shared" ca="1" si="427"/>
        <v>0</v>
      </c>
      <c r="AA177" s="828">
        <f t="shared" ca="1" si="428"/>
        <v>0</v>
      </c>
      <c r="AB177" s="828" t="str">
        <f t="shared" ca="1" si="429"/>
        <v/>
      </c>
      <c r="AC177" s="828" t="str">
        <f t="shared" ca="1" si="430"/>
        <v/>
      </c>
      <c r="AD177" s="828" t="str">
        <f t="shared" ca="1" si="431"/>
        <v/>
      </c>
      <c r="AE177" s="828" t="str">
        <f t="shared" ca="1" si="432"/>
        <v/>
      </c>
      <c r="AF177" s="828" t="str">
        <f t="shared" ca="1" si="433"/>
        <v/>
      </c>
      <c r="AG177" s="828" t="str">
        <f t="shared" ca="1" si="434"/>
        <v/>
      </c>
      <c r="AH177" s="828" t="str">
        <f t="shared" ca="1" si="435"/>
        <v/>
      </c>
      <c r="AI177" s="828" t="str">
        <f t="shared" ca="1" si="436"/>
        <v/>
      </c>
      <c r="AJ177" s="828" t="str">
        <f t="shared" ca="1" si="437"/>
        <v/>
      </c>
      <c r="AK177" s="828" t="str">
        <f t="shared" ca="1" si="438"/>
        <v/>
      </c>
      <c r="AL177" s="828" t="str">
        <f t="shared" ca="1" si="439"/>
        <v/>
      </c>
      <c r="AM177" s="828" t="str">
        <f t="shared" ca="1" si="440"/>
        <v/>
      </c>
      <c r="AN177" s="828" t="str">
        <f t="shared" ca="1" si="441"/>
        <v/>
      </c>
      <c r="AO177" s="828" t="str">
        <f t="shared" ca="1" si="442"/>
        <v/>
      </c>
      <c r="AP177" s="828" t="str">
        <f t="shared" ca="1" si="443"/>
        <v/>
      </c>
      <c r="AQ177" s="828" t="str">
        <f t="shared" ca="1" si="444"/>
        <v/>
      </c>
      <c r="AR177" s="828" t="str">
        <f t="shared" ca="1" si="445"/>
        <v/>
      </c>
      <c r="AS177" s="828" t="str">
        <f t="shared" ca="1" si="446"/>
        <v/>
      </c>
      <c r="AT177" s="828" t="str">
        <f t="shared" ca="1" si="447"/>
        <v/>
      </c>
      <c r="AU177" s="828" t="str">
        <f t="shared" ca="1" si="448"/>
        <v/>
      </c>
      <c r="AV177" s="828" t="str">
        <f t="shared" ca="1" si="449"/>
        <v/>
      </c>
      <c r="AW177" s="828" t="str">
        <f t="shared" ca="1" si="450"/>
        <v/>
      </c>
      <c r="AX177" s="828" t="str">
        <f t="shared" ca="1" si="451"/>
        <v/>
      </c>
      <c r="AY177" s="828" t="str">
        <f t="shared" ca="1" si="452"/>
        <v/>
      </c>
      <c r="AZ177" s="828" t="str">
        <f t="shared" ca="1" si="453"/>
        <v/>
      </c>
      <c r="BA177" s="828" t="str">
        <f t="shared" ca="1" si="454"/>
        <v/>
      </c>
      <c r="BB177" s="828" t="str">
        <f t="shared" ca="1" si="455"/>
        <v/>
      </c>
      <c r="BC177" s="828" t="str">
        <f t="shared" ca="1" si="456"/>
        <v/>
      </c>
      <c r="BD177" s="828" t="str">
        <f t="shared" ca="1" si="457"/>
        <v/>
      </c>
      <c r="BE177" s="828" t="str">
        <f t="shared" ca="1" si="458"/>
        <v/>
      </c>
      <c r="BF177" s="828" t="str">
        <f t="shared" ca="1" si="459"/>
        <v/>
      </c>
      <c r="BG177" s="828" t="str">
        <f t="shared" ca="1" si="460"/>
        <v/>
      </c>
      <c r="BH177" s="828" t="str">
        <f t="shared" ca="1" si="461"/>
        <v/>
      </c>
      <c r="BI177" s="828" t="str">
        <f t="shared" ca="1" si="462"/>
        <v/>
      </c>
      <c r="BJ177" s="828" t="str">
        <f t="shared" ca="1" si="463"/>
        <v/>
      </c>
      <c r="BK177" s="828" t="str">
        <f t="shared" ca="1" si="464"/>
        <v/>
      </c>
      <c r="BL177" s="828" t="str">
        <f t="shared" ca="1" si="465"/>
        <v/>
      </c>
      <c r="BM177" s="828" t="str">
        <f t="shared" ca="1" si="466"/>
        <v/>
      </c>
      <c r="BN177" s="828" t="str">
        <f t="shared" ca="1" si="467"/>
        <v/>
      </c>
      <c r="BO177" s="828" t="str">
        <f t="shared" ca="1" si="468"/>
        <v/>
      </c>
    </row>
    <row r="178" spans="1:67" ht="20.100000000000001" customHeight="1">
      <c r="A178" s="823">
        <v>15</v>
      </c>
      <c r="B178" s="1870"/>
      <c r="C178" s="1872"/>
      <c r="D178" s="824" t="s">
        <v>4151</v>
      </c>
      <c r="E178" s="824"/>
      <c r="F178" s="825"/>
      <c r="G178" s="826" t="s">
        <v>4144</v>
      </c>
      <c r="H178" s="827">
        <f t="shared" ca="1" si="422"/>
        <v>38.9</v>
      </c>
      <c r="I178" s="827">
        <f t="shared" ca="1" si="422"/>
        <v>38.9</v>
      </c>
      <c r="J178" s="827">
        <f t="shared" ca="1" si="422"/>
        <v>38.9</v>
      </c>
      <c r="K178" s="827">
        <f t="shared" ca="1" si="422"/>
        <v>38.9</v>
      </c>
      <c r="L178" s="828">
        <f t="shared" ca="1" si="423"/>
        <v>0</v>
      </c>
      <c r="M178" s="828">
        <f t="shared" ca="1" si="423"/>
        <v>0</v>
      </c>
      <c r="N178" s="828">
        <f t="shared" ca="1" si="423"/>
        <v>0</v>
      </c>
      <c r="O178" s="828">
        <f t="shared" ca="1" si="423"/>
        <v>0</v>
      </c>
      <c r="P178" s="828">
        <f ca="1">SUM(SUMIFS(OFFSET(貼付け_2024実績,$A178,10,1,199),OFFSET(貼付け_2024実績,4,9,1,199),{"横浜*","川崎*"}))</f>
        <v>0</v>
      </c>
      <c r="Q178" s="828">
        <f ca="1">SUM(SUMIFS(OFFSET(貼付け_2025実績,$A178,10,1,199),OFFSET(貼付け_2025実績,4,9,1,199),{"横浜*","川崎*"}))</f>
        <v>0</v>
      </c>
      <c r="R178" s="828">
        <f ca="1">SUM(SUMIFS(OFFSET(貼付け_2026実績,$A178,10,1,199),OFFSET(貼付け_2026実績,4,9,1,199),{"横浜*","川崎*"}))</f>
        <v>0</v>
      </c>
      <c r="S178" s="828">
        <f ca="1">SUM(SUMIFS(OFFSET(貼付け_2027実績,$A178,10,1,199),OFFSET(貼付け_2027実績,4,9,1,199),{"横浜*","川崎*"}))</f>
        <v>0</v>
      </c>
      <c r="T178" s="828">
        <f t="shared" ca="1" si="424"/>
        <v>0</v>
      </c>
      <c r="U178" s="828">
        <f t="shared" ca="1" si="424"/>
        <v>0</v>
      </c>
      <c r="V178" s="828">
        <f t="shared" ca="1" si="424"/>
        <v>0</v>
      </c>
      <c r="W178" s="828">
        <f t="shared" ca="1" si="424"/>
        <v>0</v>
      </c>
      <c r="X178" s="828">
        <f t="shared" ca="1" si="425"/>
        <v>0</v>
      </c>
      <c r="Y178" s="828">
        <f t="shared" ca="1" si="426"/>
        <v>0</v>
      </c>
      <c r="Z178" s="828">
        <f t="shared" ca="1" si="427"/>
        <v>0</v>
      </c>
      <c r="AA178" s="828">
        <f t="shared" ca="1" si="428"/>
        <v>0</v>
      </c>
      <c r="AB178" s="828" t="str">
        <f t="shared" ca="1" si="429"/>
        <v/>
      </c>
      <c r="AC178" s="828" t="str">
        <f t="shared" ca="1" si="430"/>
        <v/>
      </c>
      <c r="AD178" s="828" t="str">
        <f t="shared" ca="1" si="431"/>
        <v/>
      </c>
      <c r="AE178" s="828" t="str">
        <f t="shared" ca="1" si="432"/>
        <v/>
      </c>
      <c r="AF178" s="828" t="str">
        <f t="shared" ca="1" si="433"/>
        <v/>
      </c>
      <c r="AG178" s="828" t="str">
        <f t="shared" ca="1" si="434"/>
        <v/>
      </c>
      <c r="AH178" s="828" t="str">
        <f t="shared" ca="1" si="435"/>
        <v/>
      </c>
      <c r="AI178" s="828" t="str">
        <f t="shared" ca="1" si="436"/>
        <v/>
      </c>
      <c r="AJ178" s="828" t="str">
        <f t="shared" ca="1" si="437"/>
        <v/>
      </c>
      <c r="AK178" s="828" t="str">
        <f t="shared" ca="1" si="438"/>
        <v/>
      </c>
      <c r="AL178" s="828" t="str">
        <f t="shared" ca="1" si="439"/>
        <v/>
      </c>
      <c r="AM178" s="828" t="str">
        <f t="shared" ca="1" si="440"/>
        <v/>
      </c>
      <c r="AN178" s="828" t="str">
        <f t="shared" ca="1" si="441"/>
        <v/>
      </c>
      <c r="AO178" s="828" t="str">
        <f t="shared" ca="1" si="442"/>
        <v/>
      </c>
      <c r="AP178" s="828" t="str">
        <f t="shared" ca="1" si="443"/>
        <v/>
      </c>
      <c r="AQ178" s="828" t="str">
        <f t="shared" ca="1" si="444"/>
        <v/>
      </c>
      <c r="AR178" s="828" t="str">
        <f t="shared" ca="1" si="445"/>
        <v/>
      </c>
      <c r="AS178" s="828" t="str">
        <f t="shared" ca="1" si="446"/>
        <v/>
      </c>
      <c r="AT178" s="828" t="str">
        <f t="shared" ca="1" si="447"/>
        <v/>
      </c>
      <c r="AU178" s="828" t="str">
        <f t="shared" ca="1" si="448"/>
        <v/>
      </c>
      <c r="AV178" s="828" t="str">
        <f t="shared" ca="1" si="449"/>
        <v/>
      </c>
      <c r="AW178" s="828" t="str">
        <f t="shared" ca="1" si="450"/>
        <v/>
      </c>
      <c r="AX178" s="828" t="str">
        <f t="shared" ca="1" si="451"/>
        <v/>
      </c>
      <c r="AY178" s="828" t="str">
        <f t="shared" ca="1" si="452"/>
        <v/>
      </c>
      <c r="AZ178" s="828" t="str">
        <f t="shared" ca="1" si="453"/>
        <v/>
      </c>
      <c r="BA178" s="828" t="str">
        <f t="shared" ca="1" si="454"/>
        <v/>
      </c>
      <c r="BB178" s="828" t="str">
        <f t="shared" ca="1" si="455"/>
        <v/>
      </c>
      <c r="BC178" s="828" t="str">
        <f t="shared" ca="1" si="456"/>
        <v/>
      </c>
      <c r="BD178" s="828" t="str">
        <f t="shared" ca="1" si="457"/>
        <v/>
      </c>
      <c r="BE178" s="828" t="str">
        <f t="shared" ca="1" si="458"/>
        <v/>
      </c>
      <c r="BF178" s="828" t="str">
        <f t="shared" ca="1" si="459"/>
        <v/>
      </c>
      <c r="BG178" s="828" t="str">
        <f t="shared" ca="1" si="460"/>
        <v/>
      </c>
      <c r="BH178" s="828" t="str">
        <f t="shared" ca="1" si="461"/>
        <v/>
      </c>
      <c r="BI178" s="828" t="str">
        <f t="shared" ca="1" si="462"/>
        <v/>
      </c>
      <c r="BJ178" s="828" t="str">
        <f t="shared" ca="1" si="463"/>
        <v/>
      </c>
      <c r="BK178" s="828" t="str">
        <f t="shared" ca="1" si="464"/>
        <v/>
      </c>
      <c r="BL178" s="828" t="str">
        <f t="shared" ca="1" si="465"/>
        <v/>
      </c>
      <c r="BM178" s="828" t="str">
        <f t="shared" ca="1" si="466"/>
        <v/>
      </c>
      <c r="BN178" s="828" t="str">
        <f t="shared" ca="1" si="467"/>
        <v/>
      </c>
      <c r="BO178" s="828" t="str">
        <f t="shared" ca="1" si="468"/>
        <v/>
      </c>
    </row>
    <row r="179" spans="1:67" ht="20.100000000000001" customHeight="1">
      <c r="A179" s="823">
        <v>16</v>
      </c>
      <c r="B179" s="1870"/>
      <c r="C179" s="1872"/>
      <c r="D179" s="824" t="s">
        <v>4152</v>
      </c>
      <c r="E179" s="818"/>
      <c r="F179" s="825"/>
      <c r="G179" s="826" t="s">
        <v>4144</v>
      </c>
      <c r="H179" s="827">
        <f t="shared" ca="1" si="422"/>
        <v>41.8</v>
      </c>
      <c r="I179" s="827">
        <f t="shared" ca="1" si="422"/>
        <v>41.8</v>
      </c>
      <c r="J179" s="827">
        <f t="shared" ca="1" si="422"/>
        <v>41.8</v>
      </c>
      <c r="K179" s="827">
        <f t="shared" ca="1" si="422"/>
        <v>41.8</v>
      </c>
      <c r="L179" s="828">
        <f t="shared" ca="1" si="423"/>
        <v>0</v>
      </c>
      <c r="M179" s="828">
        <f t="shared" ca="1" si="423"/>
        <v>0</v>
      </c>
      <c r="N179" s="828">
        <f t="shared" ca="1" si="423"/>
        <v>0</v>
      </c>
      <c r="O179" s="828">
        <f t="shared" ca="1" si="423"/>
        <v>0</v>
      </c>
      <c r="P179" s="828">
        <f ca="1">SUM(SUMIFS(OFFSET(貼付け_2024実績,$A179,10,1,199),OFFSET(貼付け_2024実績,4,9,1,199),{"横浜*","川崎*"}))</f>
        <v>0</v>
      </c>
      <c r="Q179" s="828">
        <f ca="1">SUM(SUMIFS(OFFSET(貼付け_2025実績,$A179,10,1,199),OFFSET(貼付け_2025実績,4,9,1,199),{"横浜*","川崎*"}))</f>
        <v>0</v>
      </c>
      <c r="R179" s="828">
        <f ca="1">SUM(SUMIFS(OFFSET(貼付け_2026実績,$A179,10,1,199),OFFSET(貼付け_2026実績,4,9,1,199),{"横浜*","川崎*"}))</f>
        <v>0</v>
      </c>
      <c r="S179" s="828">
        <f ca="1">SUM(SUMIFS(OFFSET(貼付け_2027実績,$A179,10,1,199),OFFSET(貼付け_2027実績,4,9,1,199),{"横浜*","川崎*"}))</f>
        <v>0</v>
      </c>
      <c r="T179" s="828">
        <f t="shared" ca="1" si="424"/>
        <v>0</v>
      </c>
      <c r="U179" s="828">
        <f t="shared" ca="1" si="424"/>
        <v>0</v>
      </c>
      <c r="V179" s="828">
        <f t="shared" ca="1" si="424"/>
        <v>0</v>
      </c>
      <c r="W179" s="828">
        <f t="shared" ca="1" si="424"/>
        <v>0</v>
      </c>
      <c r="X179" s="828">
        <f t="shared" ca="1" si="425"/>
        <v>0</v>
      </c>
      <c r="Y179" s="828">
        <f t="shared" ca="1" si="426"/>
        <v>0</v>
      </c>
      <c r="Z179" s="828">
        <f t="shared" ca="1" si="427"/>
        <v>0</v>
      </c>
      <c r="AA179" s="828">
        <f t="shared" ca="1" si="428"/>
        <v>0</v>
      </c>
      <c r="AB179" s="828" t="str">
        <f t="shared" ca="1" si="429"/>
        <v/>
      </c>
      <c r="AC179" s="828" t="str">
        <f t="shared" ca="1" si="430"/>
        <v/>
      </c>
      <c r="AD179" s="828" t="str">
        <f t="shared" ca="1" si="431"/>
        <v/>
      </c>
      <c r="AE179" s="828" t="str">
        <f t="shared" ca="1" si="432"/>
        <v/>
      </c>
      <c r="AF179" s="828" t="str">
        <f t="shared" ca="1" si="433"/>
        <v/>
      </c>
      <c r="AG179" s="828" t="str">
        <f t="shared" ca="1" si="434"/>
        <v/>
      </c>
      <c r="AH179" s="828" t="str">
        <f t="shared" ca="1" si="435"/>
        <v/>
      </c>
      <c r="AI179" s="828" t="str">
        <f t="shared" ca="1" si="436"/>
        <v/>
      </c>
      <c r="AJ179" s="828" t="str">
        <f t="shared" ca="1" si="437"/>
        <v/>
      </c>
      <c r="AK179" s="828" t="str">
        <f t="shared" ca="1" si="438"/>
        <v/>
      </c>
      <c r="AL179" s="828" t="str">
        <f t="shared" ca="1" si="439"/>
        <v/>
      </c>
      <c r="AM179" s="828" t="str">
        <f t="shared" ca="1" si="440"/>
        <v/>
      </c>
      <c r="AN179" s="828" t="str">
        <f t="shared" ca="1" si="441"/>
        <v/>
      </c>
      <c r="AO179" s="828" t="str">
        <f t="shared" ca="1" si="442"/>
        <v/>
      </c>
      <c r="AP179" s="828" t="str">
        <f t="shared" ca="1" si="443"/>
        <v/>
      </c>
      <c r="AQ179" s="828" t="str">
        <f t="shared" ca="1" si="444"/>
        <v/>
      </c>
      <c r="AR179" s="828" t="str">
        <f t="shared" ca="1" si="445"/>
        <v/>
      </c>
      <c r="AS179" s="828" t="str">
        <f t="shared" ca="1" si="446"/>
        <v/>
      </c>
      <c r="AT179" s="828" t="str">
        <f t="shared" ca="1" si="447"/>
        <v/>
      </c>
      <c r="AU179" s="828" t="str">
        <f t="shared" ca="1" si="448"/>
        <v/>
      </c>
      <c r="AV179" s="828" t="str">
        <f t="shared" ca="1" si="449"/>
        <v/>
      </c>
      <c r="AW179" s="828" t="str">
        <f t="shared" ca="1" si="450"/>
        <v/>
      </c>
      <c r="AX179" s="828" t="str">
        <f t="shared" ca="1" si="451"/>
        <v/>
      </c>
      <c r="AY179" s="828" t="str">
        <f t="shared" ca="1" si="452"/>
        <v/>
      </c>
      <c r="AZ179" s="828" t="str">
        <f t="shared" ca="1" si="453"/>
        <v/>
      </c>
      <c r="BA179" s="828" t="str">
        <f t="shared" ca="1" si="454"/>
        <v/>
      </c>
      <c r="BB179" s="828" t="str">
        <f t="shared" ca="1" si="455"/>
        <v/>
      </c>
      <c r="BC179" s="828" t="str">
        <f t="shared" ca="1" si="456"/>
        <v/>
      </c>
      <c r="BD179" s="828" t="str">
        <f t="shared" ca="1" si="457"/>
        <v/>
      </c>
      <c r="BE179" s="828" t="str">
        <f t="shared" ca="1" si="458"/>
        <v/>
      </c>
      <c r="BF179" s="828" t="str">
        <f t="shared" ca="1" si="459"/>
        <v/>
      </c>
      <c r="BG179" s="828" t="str">
        <f t="shared" ca="1" si="460"/>
        <v/>
      </c>
      <c r="BH179" s="828" t="str">
        <f t="shared" ca="1" si="461"/>
        <v/>
      </c>
      <c r="BI179" s="828" t="str">
        <f t="shared" ca="1" si="462"/>
        <v/>
      </c>
      <c r="BJ179" s="828" t="str">
        <f t="shared" ca="1" si="463"/>
        <v/>
      </c>
      <c r="BK179" s="828" t="str">
        <f t="shared" ca="1" si="464"/>
        <v/>
      </c>
      <c r="BL179" s="828" t="str">
        <f t="shared" ca="1" si="465"/>
        <v/>
      </c>
      <c r="BM179" s="828" t="str">
        <f t="shared" ca="1" si="466"/>
        <v/>
      </c>
      <c r="BN179" s="828" t="str">
        <f t="shared" ca="1" si="467"/>
        <v/>
      </c>
      <c r="BO179" s="828" t="str">
        <f t="shared" ca="1" si="468"/>
        <v/>
      </c>
    </row>
    <row r="180" spans="1:67" ht="20.100000000000001" customHeight="1">
      <c r="A180" s="823">
        <v>17</v>
      </c>
      <c r="B180" s="1870"/>
      <c r="C180" s="1872"/>
      <c r="D180" s="824" t="s">
        <v>4153</v>
      </c>
      <c r="E180" s="824"/>
      <c r="F180" s="825"/>
      <c r="G180" s="826" t="s">
        <v>3777</v>
      </c>
      <c r="H180" s="827">
        <f t="shared" ca="1" si="422"/>
        <v>40</v>
      </c>
      <c r="I180" s="827">
        <f t="shared" ca="1" si="422"/>
        <v>40</v>
      </c>
      <c r="J180" s="827">
        <f t="shared" ca="1" si="422"/>
        <v>40</v>
      </c>
      <c r="K180" s="827">
        <f t="shared" ca="1" si="422"/>
        <v>40</v>
      </c>
      <c r="L180" s="828">
        <f t="shared" ca="1" si="423"/>
        <v>0</v>
      </c>
      <c r="M180" s="828">
        <f t="shared" ca="1" si="423"/>
        <v>0</v>
      </c>
      <c r="N180" s="828">
        <f t="shared" ca="1" si="423"/>
        <v>0</v>
      </c>
      <c r="O180" s="828">
        <f t="shared" ca="1" si="423"/>
        <v>0</v>
      </c>
      <c r="P180" s="828">
        <f ca="1">SUM(SUMIFS(OFFSET(貼付け_2024実績,$A180,10,1,199),OFFSET(貼付け_2024実績,4,9,1,199),{"横浜*","川崎*"}))</f>
        <v>0</v>
      </c>
      <c r="Q180" s="828">
        <f ca="1">SUM(SUMIFS(OFFSET(貼付け_2025実績,$A180,10,1,199),OFFSET(貼付け_2025実績,4,9,1,199),{"横浜*","川崎*"}))</f>
        <v>0</v>
      </c>
      <c r="R180" s="828">
        <f ca="1">SUM(SUMIFS(OFFSET(貼付け_2026実績,$A180,10,1,199),OFFSET(貼付け_2026実績,4,9,1,199),{"横浜*","川崎*"}))</f>
        <v>0</v>
      </c>
      <c r="S180" s="828">
        <f ca="1">SUM(SUMIFS(OFFSET(貼付け_2027実績,$A180,10,1,199),OFFSET(貼付け_2027実績,4,9,1,199),{"横浜*","川崎*"}))</f>
        <v>0</v>
      </c>
      <c r="T180" s="828">
        <f t="shared" ca="1" si="424"/>
        <v>0</v>
      </c>
      <c r="U180" s="828">
        <f t="shared" ca="1" si="424"/>
        <v>0</v>
      </c>
      <c r="V180" s="828">
        <f t="shared" ca="1" si="424"/>
        <v>0</v>
      </c>
      <c r="W180" s="828">
        <f t="shared" ca="1" si="424"/>
        <v>0</v>
      </c>
      <c r="X180" s="828">
        <f t="shared" ca="1" si="425"/>
        <v>0</v>
      </c>
      <c r="Y180" s="828">
        <f t="shared" ca="1" si="426"/>
        <v>0</v>
      </c>
      <c r="Z180" s="828">
        <f t="shared" ca="1" si="427"/>
        <v>0</v>
      </c>
      <c r="AA180" s="828">
        <f t="shared" ca="1" si="428"/>
        <v>0</v>
      </c>
      <c r="AB180" s="828" t="str">
        <f t="shared" ca="1" si="429"/>
        <v/>
      </c>
      <c r="AC180" s="828" t="str">
        <f t="shared" ca="1" si="430"/>
        <v/>
      </c>
      <c r="AD180" s="828" t="str">
        <f t="shared" ca="1" si="431"/>
        <v/>
      </c>
      <c r="AE180" s="828" t="str">
        <f t="shared" ca="1" si="432"/>
        <v/>
      </c>
      <c r="AF180" s="828" t="str">
        <f t="shared" ca="1" si="433"/>
        <v/>
      </c>
      <c r="AG180" s="828" t="str">
        <f t="shared" ca="1" si="434"/>
        <v/>
      </c>
      <c r="AH180" s="828" t="str">
        <f t="shared" ca="1" si="435"/>
        <v/>
      </c>
      <c r="AI180" s="828" t="str">
        <f t="shared" ca="1" si="436"/>
        <v/>
      </c>
      <c r="AJ180" s="828" t="str">
        <f t="shared" ca="1" si="437"/>
        <v/>
      </c>
      <c r="AK180" s="828" t="str">
        <f t="shared" ca="1" si="438"/>
        <v/>
      </c>
      <c r="AL180" s="828" t="str">
        <f t="shared" ca="1" si="439"/>
        <v/>
      </c>
      <c r="AM180" s="828" t="str">
        <f t="shared" ca="1" si="440"/>
        <v/>
      </c>
      <c r="AN180" s="828" t="str">
        <f t="shared" ca="1" si="441"/>
        <v/>
      </c>
      <c r="AO180" s="828" t="str">
        <f t="shared" ca="1" si="442"/>
        <v/>
      </c>
      <c r="AP180" s="828" t="str">
        <f t="shared" ca="1" si="443"/>
        <v/>
      </c>
      <c r="AQ180" s="828" t="str">
        <f t="shared" ca="1" si="444"/>
        <v/>
      </c>
      <c r="AR180" s="828" t="str">
        <f t="shared" ca="1" si="445"/>
        <v/>
      </c>
      <c r="AS180" s="828" t="str">
        <f t="shared" ca="1" si="446"/>
        <v/>
      </c>
      <c r="AT180" s="828" t="str">
        <f t="shared" ca="1" si="447"/>
        <v/>
      </c>
      <c r="AU180" s="828" t="str">
        <f t="shared" ca="1" si="448"/>
        <v/>
      </c>
      <c r="AV180" s="828" t="str">
        <f t="shared" ca="1" si="449"/>
        <v/>
      </c>
      <c r="AW180" s="828" t="str">
        <f t="shared" ca="1" si="450"/>
        <v/>
      </c>
      <c r="AX180" s="828" t="str">
        <f t="shared" ca="1" si="451"/>
        <v/>
      </c>
      <c r="AY180" s="828" t="str">
        <f t="shared" ca="1" si="452"/>
        <v/>
      </c>
      <c r="AZ180" s="828" t="str">
        <f t="shared" ca="1" si="453"/>
        <v/>
      </c>
      <c r="BA180" s="828" t="str">
        <f t="shared" ca="1" si="454"/>
        <v/>
      </c>
      <c r="BB180" s="828" t="str">
        <f t="shared" ca="1" si="455"/>
        <v/>
      </c>
      <c r="BC180" s="828" t="str">
        <f t="shared" ca="1" si="456"/>
        <v/>
      </c>
      <c r="BD180" s="828" t="str">
        <f t="shared" ca="1" si="457"/>
        <v/>
      </c>
      <c r="BE180" s="828" t="str">
        <f t="shared" ca="1" si="458"/>
        <v/>
      </c>
      <c r="BF180" s="828" t="str">
        <f t="shared" ca="1" si="459"/>
        <v/>
      </c>
      <c r="BG180" s="828" t="str">
        <f t="shared" ca="1" si="460"/>
        <v/>
      </c>
      <c r="BH180" s="828" t="str">
        <f t="shared" ca="1" si="461"/>
        <v/>
      </c>
      <c r="BI180" s="828" t="str">
        <f t="shared" ca="1" si="462"/>
        <v/>
      </c>
      <c r="BJ180" s="828" t="str">
        <f t="shared" ca="1" si="463"/>
        <v/>
      </c>
      <c r="BK180" s="828" t="str">
        <f t="shared" ca="1" si="464"/>
        <v/>
      </c>
      <c r="BL180" s="828" t="str">
        <f t="shared" ca="1" si="465"/>
        <v/>
      </c>
      <c r="BM180" s="828" t="str">
        <f t="shared" ca="1" si="466"/>
        <v/>
      </c>
      <c r="BN180" s="828" t="str">
        <f t="shared" ca="1" si="467"/>
        <v/>
      </c>
      <c r="BO180" s="828" t="str">
        <f t="shared" ca="1" si="468"/>
        <v/>
      </c>
    </row>
    <row r="181" spans="1:67" ht="20.100000000000001" customHeight="1">
      <c r="A181" s="823">
        <v>18</v>
      </c>
      <c r="B181" s="1870"/>
      <c r="C181" s="1872"/>
      <c r="D181" s="824" t="s">
        <v>4154</v>
      </c>
      <c r="E181" s="824"/>
      <c r="F181" s="825"/>
      <c r="G181" s="826" t="s">
        <v>3777</v>
      </c>
      <c r="H181" s="827">
        <f t="shared" ca="1" si="422"/>
        <v>34.1</v>
      </c>
      <c r="I181" s="827">
        <f t="shared" ca="1" si="422"/>
        <v>34.1</v>
      </c>
      <c r="J181" s="827">
        <f t="shared" ca="1" si="422"/>
        <v>34.1</v>
      </c>
      <c r="K181" s="827">
        <f t="shared" ca="1" si="422"/>
        <v>34.1</v>
      </c>
      <c r="L181" s="828">
        <f t="shared" ca="1" si="423"/>
        <v>0</v>
      </c>
      <c r="M181" s="828">
        <f t="shared" ca="1" si="423"/>
        <v>0</v>
      </c>
      <c r="N181" s="828">
        <f t="shared" ca="1" si="423"/>
        <v>0</v>
      </c>
      <c r="O181" s="828">
        <f t="shared" ca="1" si="423"/>
        <v>0</v>
      </c>
      <c r="P181" s="828">
        <f ca="1">SUM(SUMIFS(OFFSET(貼付け_2024実績,$A181,10,1,199),OFFSET(貼付け_2024実績,4,9,1,199),{"横浜*","川崎*"}))</f>
        <v>0</v>
      </c>
      <c r="Q181" s="828">
        <f ca="1">SUM(SUMIFS(OFFSET(貼付け_2025実績,$A181,10,1,199),OFFSET(貼付け_2025実績,4,9,1,199),{"横浜*","川崎*"}))</f>
        <v>0</v>
      </c>
      <c r="R181" s="828">
        <f ca="1">SUM(SUMIFS(OFFSET(貼付け_2026実績,$A181,10,1,199),OFFSET(貼付け_2026実績,4,9,1,199),{"横浜*","川崎*"}))</f>
        <v>0</v>
      </c>
      <c r="S181" s="828">
        <f ca="1">SUM(SUMIFS(OFFSET(貼付け_2027実績,$A181,10,1,199),OFFSET(貼付け_2027実績,4,9,1,199),{"横浜*","川崎*"}))</f>
        <v>0</v>
      </c>
      <c r="T181" s="828">
        <f t="shared" ca="1" si="424"/>
        <v>0</v>
      </c>
      <c r="U181" s="828">
        <f t="shared" ca="1" si="424"/>
        <v>0</v>
      </c>
      <c r="V181" s="828">
        <f t="shared" ca="1" si="424"/>
        <v>0</v>
      </c>
      <c r="W181" s="828">
        <f t="shared" ca="1" si="424"/>
        <v>0</v>
      </c>
      <c r="X181" s="828">
        <f t="shared" ca="1" si="425"/>
        <v>0</v>
      </c>
      <c r="Y181" s="828">
        <f t="shared" ca="1" si="426"/>
        <v>0</v>
      </c>
      <c r="Z181" s="828">
        <f t="shared" ca="1" si="427"/>
        <v>0</v>
      </c>
      <c r="AA181" s="828">
        <f t="shared" ca="1" si="428"/>
        <v>0</v>
      </c>
      <c r="AB181" s="828" t="str">
        <f t="shared" ca="1" si="429"/>
        <v/>
      </c>
      <c r="AC181" s="828" t="str">
        <f t="shared" ca="1" si="430"/>
        <v/>
      </c>
      <c r="AD181" s="828" t="str">
        <f t="shared" ca="1" si="431"/>
        <v/>
      </c>
      <c r="AE181" s="828" t="str">
        <f t="shared" ca="1" si="432"/>
        <v/>
      </c>
      <c r="AF181" s="828" t="str">
        <f t="shared" ca="1" si="433"/>
        <v/>
      </c>
      <c r="AG181" s="828" t="str">
        <f t="shared" ca="1" si="434"/>
        <v/>
      </c>
      <c r="AH181" s="828" t="str">
        <f t="shared" ca="1" si="435"/>
        <v/>
      </c>
      <c r="AI181" s="828" t="str">
        <f t="shared" ca="1" si="436"/>
        <v/>
      </c>
      <c r="AJ181" s="828" t="str">
        <f t="shared" ca="1" si="437"/>
        <v/>
      </c>
      <c r="AK181" s="828" t="str">
        <f t="shared" ca="1" si="438"/>
        <v/>
      </c>
      <c r="AL181" s="828" t="str">
        <f t="shared" ca="1" si="439"/>
        <v/>
      </c>
      <c r="AM181" s="828" t="str">
        <f t="shared" ca="1" si="440"/>
        <v/>
      </c>
      <c r="AN181" s="828" t="str">
        <f t="shared" ca="1" si="441"/>
        <v/>
      </c>
      <c r="AO181" s="828" t="str">
        <f t="shared" ca="1" si="442"/>
        <v/>
      </c>
      <c r="AP181" s="828" t="str">
        <f t="shared" ca="1" si="443"/>
        <v/>
      </c>
      <c r="AQ181" s="828" t="str">
        <f t="shared" ca="1" si="444"/>
        <v/>
      </c>
      <c r="AR181" s="828" t="str">
        <f t="shared" ca="1" si="445"/>
        <v/>
      </c>
      <c r="AS181" s="828" t="str">
        <f t="shared" ca="1" si="446"/>
        <v/>
      </c>
      <c r="AT181" s="828" t="str">
        <f t="shared" ca="1" si="447"/>
        <v/>
      </c>
      <c r="AU181" s="828" t="str">
        <f t="shared" ca="1" si="448"/>
        <v/>
      </c>
      <c r="AV181" s="828" t="str">
        <f t="shared" ca="1" si="449"/>
        <v/>
      </c>
      <c r="AW181" s="828" t="str">
        <f t="shared" ca="1" si="450"/>
        <v/>
      </c>
      <c r="AX181" s="828" t="str">
        <f t="shared" ca="1" si="451"/>
        <v/>
      </c>
      <c r="AY181" s="828" t="str">
        <f t="shared" ca="1" si="452"/>
        <v/>
      </c>
      <c r="AZ181" s="828" t="str">
        <f t="shared" ca="1" si="453"/>
        <v/>
      </c>
      <c r="BA181" s="828" t="str">
        <f t="shared" ca="1" si="454"/>
        <v/>
      </c>
      <c r="BB181" s="828" t="str">
        <f t="shared" ca="1" si="455"/>
        <v/>
      </c>
      <c r="BC181" s="828" t="str">
        <f t="shared" ca="1" si="456"/>
        <v/>
      </c>
      <c r="BD181" s="828" t="str">
        <f t="shared" ca="1" si="457"/>
        <v/>
      </c>
      <c r="BE181" s="828" t="str">
        <f t="shared" ca="1" si="458"/>
        <v/>
      </c>
      <c r="BF181" s="828" t="str">
        <f t="shared" ca="1" si="459"/>
        <v/>
      </c>
      <c r="BG181" s="828" t="str">
        <f t="shared" ca="1" si="460"/>
        <v/>
      </c>
      <c r="BH181" s="828" t="str">
        <f t="shared" ca="1" si="461"/>
        <v/>
      </c>
      <c r="BI181" s="828" t="str">
        <f t="shared" ca="1" si="462"/>
        <v/>
      </c>
      <c r="BJ181" s="828" t="str">
        <f t="shared" ca="1" si="463"/>
        <v/>
      </c>
      <c r="BK181" s="828" t="str">
        <f t="shared" ca="1" si="464"/>
        <v/>
      </c>
      <c r="BL181" s="828" t="str">
        <f t="shared" ca="1" si="465"/>
        <v/>
      </c>
      <c r="BM181" s="828" t="str">
        <f t="shared" ca="1" si="466"/>
        <v/>
      </c>
      <c r="BN181" s="828" t="str">
        <f t="shared" ca="1" si="467"/>
        <v/>
      </c>
      <c r="BO181" s="828" t="str">
        <f t="shared" ca="1" si="468"/>
        <v/>
      </c>
    </row>
    <row r="182" spans="1:67" ht="20.100000000000001" customHeight="1">
      <c r="A182" s="823">
        <v>19</v>
      </c>
      <c r="B182" s="1871"/>
      <c r="C182" s="1872"/>
      <c r="D182" s="824" t="s">
        <v>4394</v>
      </c>
      <c r="E182" s="824"/>
      <c r="F182" s="825"/>
      <c r="G182" s="826" t="s">
        <v>3777</v>
      </c>
      <c r="H182" s="827">
        <f t="shared" ca="1" si="422"/>
        <v>50.1</v>
      </c>
      <c r="I182" s="827">
        <f t="shared" ca="1" si="422"/>
        <v>50.1</v>
      </c>
      <c r="J182" s="827">
        <f t="shared" ca="1" si="422"/>
        <v>50.1</v>
      </c>
      <c r="K182" s="827">
        <f t="shared" ca="1" si="422"/>
        <v>50.1</v>
      </c>
      <c r="L182" s="828">
        <f t="shared" ca="1" si="423"/>
        <v>0</v>
      </c>
      <c r="M182" s="828">
        <f t="shared" ca="1" si="423"/>
        <v>0</v>
      </c>
      <c r="N182" s="828">
        <f t="shared" ca="1" si="423"/>
        <v>0</v>
      </c>
      <c r="O182" s="828">
        <f t="shared" ca="1" si="423"/>
        <v>0</v>
      </c>
      <c r="P182" s="828">
        <f ca="1">SUM(SUMIFS(OFFSET(貼付け_2024実績,$A182,10,1,199),OFFSET(貼付け_2024実績,4,9,1,199),{"横浜*","川崎*"}))</f>
        <v>0</v>
      </c>
      <c r="Q182" s="828">
        <f ca="1">SUM(SUMIFS(OFFSET(貼付け_2025実績,$A182,10,1,199),OFFSET(貼付け_2025実績,4,9,1,199),{"横浜*","川崎*"}))</f>
        <v>0</v>
      </c>
      <c r="R182" s="828">
        <f ca="1">SUM(SUMIFS(OFFSET(貼付け_2026実績,$A182,10,1,199),OFFSET(貼付け_2026実績,4,9,1,199),{"横浜*","川崎*"}))</f>
        <v>0</v>
      </c>
      <c r="S182" s="828">
        <f ca="1">SUM(SUMIFS(OFFSET(貼付け_2027実績,$A182,10,1,199),OFFSET(貼付け_2027実績,4,9,1,199),{"横浜*","川崎*"}))</f>
        <v>0</v>
      </c>
      <c r="T182" s="828">
        <f t="shared" ca="1" si="424"/>
        <v>0</v>
      </c>
      <c r="U182" s="828">
        <f t="shared" ca="1" si="424"/>
        <v>0</v>
      </c>
      <c r="V182" s="828">
        <f t="shared" ca="1" si="424"/>
        <v>0</v>
      </c>
      <c r="W182" s="828">
        <f t="shared" ca="1" si="424"/>
        <v>0</v>
      </c>
      <c r="X182" s="828">
        <f t="shared" ca="1" si="425"/>
        <v>0</v>
      </c>
      <c r="Y182" s="828">
        <f t="shared" ca="1" si="426"/>
        <v>0</v>
      </c>
      <c r="Z182" s="828">
        <f t="shared" ca="1" si="427"/>
        <v>0</v>
      </c>
      <c r="AA182" s="828">
        <f t="shared" ca="1" si="428"/>
        <v>0</v>
      </c>
      <c r="AB182" s="828" t="str">
        <f t="shared" ca="1" si="429"/>
        <v/>
      </c>
      <c r="AC182" s="828" t="str">
        <f t="shared" ca="1" si="430"/>
        <v/>
      </c>
      <c r="AD182" s="828" t="str">
        <f t="shared" ca="1" si="431"/>
        <v/>
      </c>
      <c r="AE182" s="828" t="str">
        <f t="shared" ca="1" si="432"/>
        <v/>
      </c>
      <c r="AF182" s="828" t="str">
        <f t="shared" ca="1" si="433"/>
        <v/>
      </c>
      <c r="AG182" s="828" t="str">
        <f t="shared" ca="1" si="434"/>
        <v/>
      </c>
      <c r="AH182" s="828" t="str">
        <f t="shared" ca="1" si="435"/>
        <v/>
      </c>
      <c r="AI182" s="828" t="str">
        <f t="shared" ca="1" si="436"/>
        <v/>
      </c>
      <c r="AJ182" s="828" t="str">
        <f t="shared" ca="1" si="437"/>
        <v/>
      </c>
      <c r="AK182" s="828" t="str">
        <f t="shared" ca="1" si="438"/>
        <v/>
      </c>
      <c r="AL182" s="828" t="str">
        <f t="shared" ca="1" si="439"/>
        <v/>
      </c>
      <c r="AM182" s="828" t="str">
        <f t="shared" ca="1" si="440"/>
        <v/>
      </c>
      <c r="AN182" s="828" t="str">
        <f t="shared" ca="1" si="441"/>
        <v/>
      </c>
      <c r="AO182" s="828" t="str">
        <f t="shared" ca="1" si="442"/>
        <v/>
      </c>
      <c r="AP182" s="828" t="str">
        <f t="shared" ca="1" si="443"/>
        <v/>
      </c>
      <c r="AQ182" s="828" t="str">
        <f t="shared" ca="1" si="444"/>
        <v/>
      </c>
      <c r="AR182" s="828" t="str">
        <f t="shared" ca="1" si="445"/>
        <v/>
      </c>
      <c r="AS182" s="828" t="str">
        <f t="shared" ca="1" si="446"/>
        <v/>
      </c>
      <c r="AT182" s="828" t="str">
        <f t="shared" ca="1" si="447"/>
        <v/>
      </c>
      <c r="AU182" s="828" t="str">
        <f t="shared" ca="1" si="448"/>
        <v/>
      </c>
      <c r="AV182" s="828" t="str">
        <f t="shared" ca="1" si="449"/>
        <v/>
      </c>
      <c r="AW182" s="828" t="str">
        <f t="shared" ca="1" si="450"/>
        <v/>
      </c>
      <c r="AX182" s="828" t="str">
        <f t="shared" ca="1" si="451"/>
        <v/>
      </c>
      <c r="AY182" s="828" t="str">
        <f t="shared" ca="1" si="452"/>
        <v/>
      </c>
      <c r="AZ182" s="828" t="str">
        <f t="shared" ca="1" si="453"/>
        <v/>
      </c>
      <c r="BA182" s="828" t="str">
        <f t="shared" ca="1" si="454"/>
        <v/>
      </c>
      <c r="BB182" s="828" t="str">
        <f t="shared" ca="1" si="455"/>
        <v/>
      </c>
      <c r="BC182" s="828" t="str">
        <f t="shared" ca="1" si="456"/>
        <v/>
      </c>
      <c r="BD182" s="828" t="str">
        <f t="shared" ca="1" si="457"/>
        <v/>
      </c>
      <c r="BE182" s="828" t="str">
        <f t="shared" ca="1" si="458"/>
        <v/>
      </c>
      <c r="BF182" s="828" t="str">
        <f t="shared" ca="1" si="459"/>
        <v/>
      </c>
      <c r="BG182" s="828" t="str">
        <f t="shared" ca="1" si="460"/>
        <v/>
      </c>
      <c r="BH182" s="828" t="str">
        <f t="shared" ca="1" si="461"/>
        <v/>
      </c>
      <c r="BI182" s="828" t="str">
        <f t="shared" ca="1" si="462"/>
        <v/>
      </c>
      <c r="BJ182" s="828" t="str">
        <f t="shared" ca="1" si="463"/>
        <v/>
      </c>
      <c r="BK182" s="828" t="str">
        <f t="shared" ca="1" si="464"/>
        <v/>
      </c>
      <c r="BL182" s="828" t="str">
        <f t="shared" ca="1" si="465"/>
        <v/>
      </c>
      <c r="BM182" s="828" t="str">
        <f t="shared" ca="1" si="466"/>
        <v/>
      </c>
      <c r="BN182" s="828" t="str">
        <f t="shared" ca="1" si="467"/>
        <v/>
      </c>
      <c r="BO182" s="828" t="str">
        <f t="shared" ca="1" si="468"/>
        <v/>
      </c>
    </row>
    <row r="183" spans="1:67" ht="20.100000000000001" customHeight="1">
      <c r="A183" s="823">
        <v>20</v>
      </c>
      <c r="B183" s="1870"/>
      <c r="C183" s="1872"/>
      <c r="D183" s="824" t="s">
        <v>4395</v>
      </c>
      <c r="E183" s="824"/>
      <c r="F183" s="825"/>
      <c r="G183" s="826" t="s">
        <v>4158</v>
      </c>
      <c r="H183" s="827">
        <f t="shared" ca="1" si="422"/>
        <v>46.1</v>
      </c>
      <c r="I183" s="827">
        <f t="shared" ca="1" si="422"/>
        <v>46.1</v>
      </c>
      <c r="J183" s="827">
        <f t="shared" ca="1" si="422"/>
        <v>46.1</v>
      </c>
      <c r="K183" s="827">
        <f t="shared" ca="1" si="422"/>
        <v>46.1</v>
      </c>
      <c r="L183" s="828">
        <f t="shared" ca="1" si="423"/>
        <v>0</v>
      </c>
      <c r="M183" s="828">
        <f t="shared" ca="1" si="423"/>
        <v>0</v>
      </c>
      <c r="N183" s="828">
        <f t="shared" ca="1" si="423"/>
        <v>0</v>
      </c>
      <c r="O183" s="828">
        <f t="shared" ca="1" si="423"/>
        <v>0</v>
      </c>
      <c r="P183" s="828">
        <f ca="1">SUM(SUMIFS(OFFSET(貼付け_2024実績,$A183,10,1,199),OFFSET(貼付け_2024実績,4,9,1,199),{"横浜*","川崎*"}))</f>
        <v>0</v>
      </c>
      <c r="Q183" s="828">
        <f ca="1">SUM(SUMIFS(OFFSET(貼付け_2025実績,$A183,10,1,199),OFFSET(貼付け_2025実績,4,9,1,199),{"横浜*","川崎*"}))</f>
        <v>0</v>
      </c>
      <c r="R183" s="828">
        <f ca="1">SUM(SUMIFS(OFFSET(貼付け_2026実績,$A183,10,1,199),OFFSET(貼付け_2026実績,4,9,1,199),{"横浜*","川崎*"}))</f>
        <v>0</v>
      </c>
      <c r="S183" s="828">
        <f ca="1">SUM(SUMIFS(OFFSET(貼付け_2027実績,$A183,10,1,199),OFFSET(貼付け_2027実績,4,9,1,199),{"横浜*","川崎*"}))</f>
        <v>0</v>
      </c>
      <c r="T183" s="828">
        <f t="shared" ca="1" si="424"/>
        <v>0</v>
      </c>
      <c r="U183" s="828">
        <f t="shared" ca="1" si="424"/>
        <v>0</v>
      </c>
      <c r="V183" s="828">
        <f t="shared" ca="1" si="424"/>
        <v>0</v>
      </c>
      <c r="W183" s="828">
        <f t="shared" ca="1" si="424"/>
        <v>0</v>
      </c>
      <c r="X183" s="828">
        <f t="shared" ca="1" si="425"/>
        <v>0</v>
      </c>
      <c r="Y183" s="828">
        <f t="shared" ca="1" si="426"/>
        <v>0</v>
      </c>
      <c r="Z183" s="828">
        <f t="shared" ca="1" si="427"/>
        <v>0</v>
      </c>
      <c r="AA183" s="828">
        <f t="shared" ca="1" si="428"/>
        <v>0</v>
      </c>
      <c r="AB183" s="828" t="str">
        <f t="shared" ca="1" si="429"/>
        <v/>
      </c>
      <c r="AC183" s="828" t="str">
        <f t="shared" ca="1" si="430"/>
        <v/>
      </c>
      <c r="AD183" s="828" t="str">
        <f t="shared" ca="1" si="431"/>
        <v/>
      </c>
      <c r="AE183" s="828" t="str">
        <f t="shared" ca="1" si="432"/>
        <v/>
      </c>
      <c r="AF183" s="828" t="str">
        <f t="shared" ca="1" si="433"/>
        <v/>
      </c>
      <c r="AG183" s="828" t="str">
        <f t="shared" ca="1" si="434"/>
        <v/>
      </c>
      <c r="AH183" s="828" t="str">
        <f t="shared" ca="1" si="435"/>
        <v/>
      </c>
      <c r="AI183" s="828" t="str">
        <f t="shared" ca="1" si="436"/>
        <v/>
      </c>
      <c r="AJ183" s="828" t="str">
        <f t="shared" ca="1" si="437"/>
        <v/>
      </c>
      <c r="AK183" s="828" t="str">
        <f t="shared" ca="1" si="438"/>
        <v/>
      </c>
      <c r="AL183" s="828" t="str">
        <f t="shared" ca="1" si="439"/>
        <v/>
      </c>
      <c r="AM183" s="828" t="str">
        <f t="shared" ca="1" si="440"/>
        <v/>
      </c>
      <c r="AN183" s="828" t="str">
        <f t="shared" ca="1" si="441"/>
        <v/>
      </c>
      <c r="AO183" s="828" t="str">
        <f t="shared" ca="1" si="442"/>
        <v/>
      </c>
      <c r="AP183" s="828" t="str">
        <f t="shared" ca="1" si="443"/>
        <v/>
      </c>
      <c r="AQ183" s="828" t="str">
        <f t="shared" ca="1" si="444"/>
        <v/>
      </c>
      <c r="AR183" s="828" t="str">
        <f t="shared" ca="1" si="445"/>
        <v/>
      </c>
      <c r="AS183" s="828" t="str">
        <f t="shared" ca="1" si="446"/>
        <v/>
      </c>
      <c r="AT183" s="828" t="str">
        <f t="shared" ca="1" si="447"/>
        <v/>
      </c>
      <c r="AU183" s="828" t="str">
        <f t="shared" ca="1" si="448"/>
        <v/>
      </c>
      <c r="AV183" s="828" t="str">
        <f t="shared" ca="1" si="449"/>
        <v/>
      </c>
      <c r="AW183" s="828" t="str">
        <f t="shared" ca="1" si="450"/>
        <v/>
      </c>
      <c r="AX183" s="828" t="str">
        <f t="shared" ca="1" si="451"/>
        <v/>
      </c>
      <c r="AY183" s="828" t="str">
        <f t="shared" ca="1" si="452"/>
        <v/>
      </c>
      <c r="AZ183" s="828" t="str">
        <f t="shared" ca="1" si="453"/>
        <v/>
      </c>
      <c r="BA183" s="828" t="str">
        <f t="shared" ca="1" si="454"/>
        <v/>
      </c>
      <c r="BB183" s="828" t="str">
        <f t="shared" ca="1" si="455"/>
        <v/>
      </c>
      <c r="BC183" s="828" t="str">
        <f t="shared" ca="1" si="456"/>
        <v/>
      </c>
      <c r="BD183" s="828" t="str">
        <f t="shared" ca="1" si="457"/>
        <v/>
      </c>
      <c r="BE183" s="828" t="str">
        <f t="shared" ca="1" si="458"/>
        <v/>
      </c>
      <c r="BF183" s="828" t="str">
        <f t="shared" ca="1" si="459"/>
        <v/>
      </c>
      <c r="BG183" s="828" t="str">
        <f t="shared" ca="1" si="460"/>
        <v/>
      </c>
      <c r="BH183" s="828" t="str">
        <f t="shared" ca="1" si="461"/>
        <v/>
      </c>
      <c r="BI183" s="828" t="str">
        <f t="shared" ca="1" si="462"/>
        <v/>
      </c>
      <c r="BJ183" s="828" t="str">
        <f t="shared" ca="1" si="463"/>
        <v/>
      </c>
      <c r="BK183" s="828" t="str">
        <f t="shared" ca="1" si="464"/>
        <v/>
      </c>
      <c r="BL183" s="828" t="str">
        <f t="shared" ca="1" si="465"/>
        <v/>
      </c>
      <c r="BM183" s="828" t="str">
        <f t="shared" ca="1" si="466"/>
        <v/>
      </c>
      <c r="BN183" s="828" t="str">
        <f t="shared" ca="1" si="467"/>
        <v/>
      </c>
      <c r="BO183" s="828" t="str">
        <f t="shared" ca="1" si="468"/>
        <v/>
      </c>
    </row>
    <row r="184" spans="1:67" ht="20.100000000000001" customHeight="1">
      <c r="A184" s="823">
        <v>21</v>
      </c>
      <c r="B184" s="1871"/>
      <c r="C184" s="1872"/>
      <c r="D184" s="824" t="s">
        <v>4396</v>
      </c>
      <c r="E184" s="818"/>
      <c r="F184" s="825"/>
      <c r="G184" s="826" t="s">
        <v>3777</v>
      </c>
      <c r="H184" s="827">
        <f t="shared" ca="1" si="422"/>
        <v>54.7</v>
      </c>
      <c r="I184" s="827">
        <f t="shared" ca="1" si="422"/>
        <v>54.7</v>
      </c>
      <c r="J184" s="827">
        <f t="shared" ca="1" si="422"/>
        <v>54.7</v>
      </c>
      <c r="K184" s="827">
        <f t="shared" ca="1" si="422"/>
        <v>54.7</v>
      </c>
      <c r="L184" s="828">
        <f t="shared" ca="1" si="423"/>
        <v>0</v>
      </c>
      <c r="M184" s="828">
        <f t="shared" ca="1" si="423"/>
        <v>0</v>
      </c>
      <c r="N184" s="828">
        <f t="shared" ca="1" si="423"/>
        <v>0</v>
      </c>
      <c r="O184" s="828">
        <f t="shared" ca="1" si="423"/>
        <v>0</v>
      </c>
      <c r="P184" s="828">
        <f ca="1">SUM(SUMIFS(OFFSET(貼付け_2024実績,$A184,10,1,199),OFFSET(貼付け_2024実績,4,9,1,199),{"横浜*","川崎*"}))</f>
        <v>0</v>
      </c>
      <c r="Q184" s="828">
        <f ca="1">SUM(SUMIFS(OFFSET(貼付け_2025実績,$A184,10,1,199),OFFSET(貼付け_2025実績,4,9,1,199),{"横浜*","川崎*"}))</f>
        <v>0</v>
      </c>
      <c r="R184" s="828">
        <f ca="1">SUM(SUMIFS(OFFSET(貼付け_2026実績,$A184,10,1,199),OFFSET(貼付け_2026実績,4,9,1,199),{"横浜*","川崎*"}))</f>
        <v>0</v>
      </c>
      <c r="S184" s="828">
        <f ca="1">SUM(SUMIFS(OFFSET(貼付け_2027実績,$A184,10,1,199),OFFSET(貼付け_2027実績,4,9,1,199),{"横浜*","川崎*"}))</f>
        <v>0</v>
      </c>
      <c r="T184" s="828">
        <f t="shared" ca="1" si="424"/>
        <v>0</v>
      </c>
      <c r="U184" s="828">
        <f t="shared" ca="1" si="424"/>
        <v>0</v>
      </c>
      <c r="V184" s="828">
        <f t="shared" ca="1" si="424"/>
        <v>0</v>
      </c>
      <c r="W184" s="828">
        <f t="shared" ca="1" si="424"/>
        <v>0</v>
      </c>
      <c r="X184" s="828">
        <f t="shared" ca="1" si="425"/>
        <v>0</v>
      </c>
      <c r="Y184" s="828">
        <f t="shared" ca="1" si="426"/>
        <v>0</v>
      </c>
      <c r="Z184" s="828">
        <f t="shared" ca="1" si="427"/>
        <v>0</v>
      </c>
      <c r="AA184" s="828">
        <f t="shared" ca="1" si="428"/>
        <v>0</v>
      </c>
      <c r="AB184" s="828" t="str">
        <f t="shared" ca="1" si="429"/>
        <v/>
      </c>
      <c r="AC184" s="828" t="str">
        <f t="shared" ca="1" si="430"/>
        <v/>
      </c>
      <c r="AD184" s="828" t="str">
        <f t="shared" ca="1" si="431"/>
        <v/>
      </c>
      <c r="AE184" s="828" t="str">
        <f t="shared" ca="1" si="432"/>
        <v/>
      </c>
      <c r="AF184" s="828" t="str">
        <f t="shared" ca="1" si="433"/>
        <v/>
      </c>
      <c r="AG184" s="828" t="str">
        <f t="shared" ca="1" si="434"/>
        <v/>
      </c>
      <c r="AH184" s="828" t="str">
        <f t="shared" ca="1" si="435"/>
        <v/>
      </c>
      <c r="AI184" s="828" t="str">
        <f t="shared" ca="1" si="436"/>
        <v/>
      </c>
      <c r="AJ184" s="828" t="str">
        <f t="shared" ca="1" si="437"/>
        <v/>
      </c>
      <c r="AK184" s="828" t="str">
        <f t="shared" ca="1" si="438"/>
        <v/>
      </c>
      <c r="AL184" s="828" t="str">
        <f t="shared" ca="1" si="439"/>
        <v/>
      </c>
      <c r="AM184" s="828" t="str">
        <f t="shared" ca="1" si="440"/>
        <v/>
      </c>
      <c r="AN184" s="828" t="str">
        <f t="shared" ca="1" si="441"/>
        <v/>
      </c>
      <c r="AO184" s="828" t="str">
        <f t="shared" ca="1" si="442"/>
        <v/>
      </c>
      <c r="AP184" s="828" t="str">
        <f t="shared" ca="1" si="443"/>
        <v/>
      </c>
      <c r="AQ184" s="828" t="str">
        <f t="shared" ca="1" si="444"/>
        <v/>
      </c>
      <c r="AR184" s="828" t="str">
        <f t="shared" ca="1" si="445"/>
        <v/>
      </c>
      <c r="AS184" s="828" t="str">
        <f t="shared" ca="1" si="446"/>
        <v/>
      </c>
      <c r="AT184" s="828" t="str">
        <f t="shared" ca="1" si="447"/>
        <v/>
      </c>
      <c r="AU184" s="828" t="str">
        <f t="shared" ca="1" si="448"/>
        <v/>
      </c>
      <c r="AV184" s="828" t="str">
        <f t="shared" ca="1" si="449"/>
        <v/>
      </c>
      <c r="AW184" s="828" t="str">
        <f t="shared" ca="1" si="450"/>
        <v/>
      </c>
      <c r="AX184" s="828" t="str">
        <f t="shared" ca="1" si="451"/>
        <v/>
      </c>
      <c r="AY184" s="828" t="str">
        <f t="shared" ca="1" si="452"/>
        <v/>
      </c>
      <c r="AZ184" s="828" t="str">
        <f t="shared" ca="1" si="453"/>
        <v/>
      </c>
      <c r="BA184" s="828" t="str">
        <f t="shared" ca="1" si="454"/>
        <v/>
      </c>
      <c r="BB184" s="828" t="str">
        <f t="shared" ca="1" si="455"/>
        <v/>
      </c>
      <c r="BC184" s="828" t="str">
        <f t="shared" ca="1" si="456"/>
        <v/>
      </c>
      <c r="BD184" s="828" t="str">
        <f t="shared" ca="1" si="457"/>
        <v/>
      </c>
      <c r="BE184" s="828" t="str">
        <f t="shared" ca="1" si="458"/>
        <v/>
      </c>
      <c r="BF184" s="828" t="str">
        <f t="shared" ca="1" si="459"/>
        <v/>
      </c>
      <c r="BG184" s="828" t="str">
        <f t="shared" ca="1" si="460"/>
        <v/>
      </c>
      <c r="BH184" s="828" t="str">
        <f t="shared" ca="1" si="461"/>
        <v/>
      </c>
      <c r="BI184" s="828" t="str">
        <f t="shared" ca="1" si="462"/>
        <v/>
      </c>
      <c r="BJ184" s="828" t="str">
        <f t="shared" ca="1" si="463"/>
        <v/>
      </c>
      <c r="BK184" s="828" t="str">
        <f t="shared" ca="1" si="464"/>
        <v/>
      </c>
      <c r="BL184" s="828" t="str">
        <f t="shared" ca="1" si="465"/>
        <v/>
      </c>
      <c r="BM184" s="828" t="str">
        <f t="shared" ca="1" si="466"/>
        <v/>
      </c>
      <c r="BN184" s="828" t="str">
        <f t="shared" ca="1" si="467"/>
        <v/>
      </c>
      <c r="BO184" s="828" t="str">
        <f t="shared" ca="1" si="468"/>
        <v/>
      </c>
    </row>
    <row r="185" spans="1:67" ht="20.100000000000001" customHeight="1">
      <c r="A185" s="823">
        <v>22</v>
      </c>
      <c r="B185" s="1870"/>
      <c r="C185" s="1872"/>
      <c r="D185" s="824" t="s">
        <v>4397</v>
      </c>
      <c r="E185" s="824"/>
      <c r="F185" s="825"/>
      <c r="G185" s="826" t="s">
        <v>4158</v>
      </c>
      <c r="H185" s="827">
        <f t="shared" ca="1" si="422"/>
        <v>38.4</v>
      </c>
      <c r="I185" s="827">
        <f t="shared" ca="1" si="422"/>
        <v>38.4</v>
      </c>
      <c r="J185" s="827">
        <f t="shared" ca="1" si="422"/>
        <v>38.4</v>
      </c>
      <c r="K185" s="827">
        <f t="shared" ca="1" si="422"/>
        <v>38.4</v>
      </c>
      <c r="L185" s="828">
        <f t="shared" ca="1" si="423"/>
        <v>0</v>
      </c>
      <c r="M185" s="828">
        <f t="shared" ca="1" si="423"/>
        <v>0</v>
      </c>
      <c r="N185" s="828">
        <f t="shared" ca="1" si="423"/>
        <v>0</v>
      </c>
      <c r="O185" s="828">
        <f t="shared" ca="1" si="423"/>
        <v>0</v>
      </c>
      <c r="P185" s="828">
        <f ca="1">SUM(SUMIFS(OFFSET(貼付け_2024実績,$A185,10,1,199),OFFSET(貼付け_2024実績,4,9,1,199),{"横浜*","川崎*"}))</f>
        <v>0</v>
      </c>
      <c r="Q185" s="828">
        <f ca="1">SUM(SUMIFS(OFFSET(貼付け_2025実績,$A185,10,1,199),OFFSET(貼付け_2025実績,4,9,1,199),{"横浜*","川崎*"}))</f>
        <v>0</v>
      </c>
      <c r="R185" s="828">
        <f ca="1">SUM(SUMIFS(OFFSET(貼付け_2026実績,$A185,10,1,199),OFFSET(貼付け_2026実績,4,9,1,199),{"横浜*","川崎*"}))</f>
        <v>0</v>
      </c>
      <c r="S185" s="828">
        <f ca="1">SUM(SUMIFS(OFFSET(貼付け_2027実績,$A185,10,1,199),OFFSET(貼付け_2027実績,4,9,1,199),{"横浜*","川崎*"}))</f>
        <v>0</v>
      </c>
      <c r="T185" s="828">
        <f t="shared" ca="1" si="424"/>
        <v>0</v>
      </c>
      <c r="U185" s="828">
        <f t="shared" ca="1" si="424"/>
        <v>0</v>
      </c>
      <c r="V185" s="828">
        <f t="shared" ca="1" si="424"/>
        <v>0</v>
      </c>
      <c r="W185" s="828">
        <f t="shared" ca="1" si="424"/>
        <v>0</v>
      </c>
      <c r="X185" s="828">
        <f t="shared" ca="1" si="425"/>
        <v>0</v>
      </c>
      <c r="Y185" s="828">
        <f t="shared" ca="1" si="426"/>
        <v>0</v>
      </c>
      <c r="Z185" s="828">
        <f t="shared" ca="1" si="427"/>
        <v>0</v>
      </c>
      <c r="AA185" s="828">
        <f t="shared" ca="1" si="428"/>
        <v>0</v>
      </c>
      <c r="AB185" s="828" t="str">
        <f t="shared" ca="1" si="429"/>
        <v/>
      </c>
      <c r="AC185" s="828" t="str">
        <f t="shared" ca="1" si="430"/>
        <v/>
      </c>
      <c r="AD185" s="828" t="str">
        <f t="shared" ca="1" si="431"/>
        <v/>
      </c>
      <c r="AE185" s="828" t="str">
        <f t="shared" ca="1" si="432"/>
        <v/>
      </c>
      <c r="AF185" s="828" t="str">
        <f t="shared" ca="1" si="433"/>
        <v/>
      </c>
      <c r="AG185" s="828" t="str">
        <f t="shared" ca="1" si="434"/>
        <v/>
      </c>
      <c r="AH185" s="828" t="str">
        <f t="shared" ca="1" si="435"/>
        <v/>
      </c>
      <c r="AI185" s="828" t="str">
        <f t="shared" ca="1" si="436"/>
        <v/>
      </c>
      <c r="AJ185" s="828" t="str">
        <f t="shared" ca="1" si="437"/>
        <v/>
      </c>
      <c r="AK185" s="828" t="str">
        <f t="shared" ca="1" si="438"/>
        <v/>
      </c>
      <c r="AL185" s="828" t="str">
        <f t="shared" ca="1" si="439"/>
        <v/>
      </c>
      <c r="AM185" s="828" t="str">
        <f t="shared" ca="1" si="440"/>
        <v/>
      </c>
      <c r="AN185" s="828" t="str">
        <f t="shared" ca="1" si="441"/>
        <v/>
      </c>
      <c r="AO185" s="828" t="str">
        <f t="shared" ca="1" si="442"/>
        <v/>
      </c>
      <c r="AP185" s="828" t="str">
        <f t="shared" ca="1" si="443"/>
        <v/>
      </c>
      <c r="AQ185" s="828" t="str">
        <f t="shared" ca="1" si="444"/>
        <v/>
      </c>
      <c r="AR185" s="828" t="str">
        <f t="shared" ca="1" si="445"/>
        <v/>
      </c>
      <c r="AS185" s="828" t="str">
        <f t="shared" ca="1" si="446"/>
        <v/>
      </c>
      <c r="AT185" s="828" t="str">
        <f t="shared" ca="1" si="447"/>
        <v/>
      </c>
      <c r="AU185" s="828" t="str">
        <f t="shared" ca="1" si="448"/>
        <v/>
      </c>
      <c r="AV185" s="828" t="str">
        <f t="shared" ca="1" si="449"/>
        <v/>
      </c>
      <c r="AW185" s="828" t="str">
        <f t="shared" ca="1" si="450"/>
        <v/>
      </c>
      <c r="AX185" s="828" t="str">
        <f t="shared" ca="1" si="451"/>
        <v/>
      </c>
      <c r="AY185" s="828" t="str">
        <f t="shared" ca="1" si="452"/>
        <v/>
      </c>
      <c r="AZ185" s="828" t="str">
        <f t="shared" ca="1" si="453"/>
        <v/>
      </c>
      <c r="BA185" s="828" t="str">
        <f t="shared" ca="1" si="454"/>
        <v/>
      </c>
      <c r="BB185" s="828" t="str">
        <f t="shared" ca="1" si="455"/>
        <v/>
      </c>
      <c r="BC185" s="828" t="str">
        <f t="shared" ca="1" si="456"/>
        <v/>
      </c>
      <c r="BD185" s="828" t="str">
        <f t="shared" ca="1" si="457"/>
        <v/>
      </c>
      <c r="BE185" s="828" t="str">
        <f t="shared" ca="1" si="458"/>
        <v/>
      </c>
      <c r="BF185" s="828" t="str">
        <f t="shared" ca="1" si="459"/>
        <v/>
      </c>
      <c r="BG185" s="828" t="str">
        <f t="shared" ca="1" si="460"/>
        <v/>
      </c>
      <c r="BH185" s="828" t="str">
        <f t="shared" ca="1" si="461"/>
        <v/>
      </c>
      <c r="BI185" s="828" t="str">
        <f t="shared" ca="1" si="462"/>
        <v/>
      </c>
      <c r="BJ185" s="828" t="str">
        <f t="shared" ca="1" si="463"/>
        <v/>
      </c>
      <c r="BK185" s="828" t="str">
        <f t="shared" ca="1" si="464"/>
        <v/>
      </c>
      <c r="BL185" s="828" t="str">
        <f t="shared" ca="1" si="465"/>
        <v/>
      </c>
      <c r="BM185" s="828" t="str">
        <f t="shared" ca="1" si="466"/>
        <v/>
      </c>
      <c r="BN185" s="828" t="str">
        <f t="shared" ca="1" si="467"/>
        <v/>
      </c>
      <c r="BO185" s="828" t="str">
        <f t="shared" ca="1" si="468"/>
        <v/>
      </c>
    </row>
    <row r="186" spans="1:67" ht="20.100000000000001" customHeight="1">
      <c r="A186" s="823">
        <v>23</v>
      </c>
      <c r="B186" s="1870"/>
      <c r="C186" s="1872"/>
      <c r="D186" s="824" t="s">
        <v>4398</v>
      </c>
      <c r="E186" s="824"/>
      <c r="F186" s="825"/>
      <c r="G186" s="826" t="s">
        <v>3777</v>
      </c>
      <c r="H186" s="827">
        <f t="shared" ca="1" si="422"/>
        <v>28.7</v>
      </c>
      <c r="I186" s="827">
        <f t="shared" ca="1" si="422"/>
        <v>28.7</v>
      </c>
      <c r="J186" s="827">
        <f t="shared" ca="1" si="422"/>
        <v>28.7</v>
      </c>
      <c r="K186" s="827">
        <f t="shared" ca="1" si="422"/>
        <v>28.7</v>
      </c>
      <c r="L186" s="828">
        <f t="shared" ca="1" si="423"/>
        <v>0</v>
      </c>
      <c r="M186" s="828">
        <f t="shared" ca="1" si="423"/>
        <v>0</v>
      </c>
      <c r="N186" s="828">
        <f t="shared" ca="1" si="423"/>
        <v>0</v>
      </c>
      <c r="O186" s="828">
        <f t="shared" ca="1" si="423"/>
        <v>0</v>
      </c>
      <c r="P186" s="828">
        <f ca="1">SUM(SUMIFS(OFFSET(貼付け_2024実績,$A186,10,1,199),OFFSET(貼付け_2024実績,4,9,1,199),{"横浜*","川崎*"}))</f>
        <v>0</v>
      </c>
      <c r="Q186" s="828">
        <f ca="1">SUM(SUMIFS(OFFSET(貼付け_2025実績,$A186,10,1,199),OFFSET(貼付け_2025実績,4,9,1,199),{"横浜*","川崎*"}))</f>
        <v>0</v>
      </c>
      <c r="R186" s="828">
        <f ca="1">SUM(SUMIFS(OFFSET(貼付け_2026実績,$A186,10,1,199),OFFSET(貼付け_2026実績,4,9,1,199),{"横浜*","川崎*"}))</f>
        <v>0</v>
      </c>
      <c r="S186" s="828">
        <f ca="1">SUM(SUMIFS(OFFSET(貼付け_2027実績,$A186,10,1,199),OFFSET(貼付け_2027実績,4,9,1,199),{"横浜*","川崎*"}))</f>
        <v>0</v>
      </c>
      <c r="T186" s="828">
        <f t="shared" ca="1" si="424"/>
        <v>0</v>
      </c>
      <c r="U186" s="828">
        <f t="shared" ca="1" si="424"/>
        <v>0</v>
      </c>
      <c r="V186" s="828">
        <f t="shared" ca="1" si="424"/>
        <v>0</v>
      </c>
      <c r="W186" s="828">
        <f t="shared" ca="1" si="424"/>
        <v>0</v>
      </c>
      <c r="X186" s="828">
        <f t="shared" ca="1" si="425"/>
        <v>0</v>
      </c>
      <c r="Y186" s="828">
        <f t="shared" ca="1" si="426"/>
        <v>0</v>
      </c>
      <c r="Z186" s="828">
        <f t="shared" ca="1" si="427"/>
        <v>0</v>
      </c>
      <c r="AA186" s="828">
        <f t="shared" ca="1" si="428"/>
        <v>0</v>
      </c>
      <c r="AB186" s="828" t="str">
        <f t="shared" ca="1" si="429"/>
        <v/>
      </c>
      <c r="AC186" s="828" t="str">
        <f t="shared" ca="1" si="430"/>
        <v/>
      </c>
      <c r="AD186" s="828" t="str">
        <f t="shared" ca="1" si="431"/>
        <v/>
      </c>
      <c r="AE186" s="828" t="str">
        <f t="shared" ca="1" si="432"/>
        <v/>
      </c>
      <c r="AF186" s="828" t="str">
        <f t="shared" ca="1" si="433"/>
        <v/>
      </c>
      <c r="AG186" s="828" t="str">
        <f t="shared" ca="1" si="434"/>
        <v/>
      </c>
      <c r="AH186" s="828" t="str">
        <f t="shared" ca="1" si="435"/>
        <v/>
      </c>
      <c r="AI186" s="828" t="str">
        <f t="shared" ca="1" si="436"/>
        <v/>
      </c>
      <c r="AJ186" s="828" t="str">
        <f t="shared" ca="1" si="437"/>
        <v/>
      </c>
      <c r="AK186" s="828" t="str">
        <f t="shared" ca="1" si="438"/>
        <v/>
      </c>
      <c r="AL186" s="828" t="str">
        <f t="shared" ca="1" si="439"/>
        <v/>
      </c>
      <c r="AM186" s="828" t="str">
        <f t="shared" ca="1" si="440"/>
        <v/>
      </c>
      <c r="AN186" s="828" t="str">
        <f t="shared" ca="1" si="441"/>
        <v/>
      </c>
      <c r="AO186" s="828" t="str">
        <f t="shared" ca="1" si="442"/>
        <v/>
      </c>
      <c r="AP186" s="828" t="str">
        <f t="shared" ca="1" si="443"/>
        <v/>
      </c>
      <c r="AQ186" s="828" t="str">
        <f t="shared" ca="1" si="444"/>
        <v/>
      </c>
      <c r="AR186" s="828" t="str">
        <f t="shared" ca="1" si="445"/>
        <v/>
      </c>
      <c r="AS186" s="828" t="str">
        <f t="shared" ca="1" si="446"/>
        <v/>
      </c>
      <c r="AT186" s="828" t="str">
        <f t="shared" ca="1" si="447"/>
        <v/>
      </c>
      <c r="AU186" s="828" t="str">
        <f t="shared" ca="1" si="448"/>
        <v/>
      </c>
      <c r="AV186" s="828" t="str">
        <f t="shared" ca="1" si="449"/>
        <v/>
      </c>
      <c r="AW186" s="828" t="str">
        <f t="shared" ca="1" si="450"/>
        <v/>
      </c>
      <c r="AX186" s="828" t="str">
        <f t="shared" ca="1" si="451"/>
        <v/>
      </c>
      <c r="AY186" s="828" t="str">
        <f t="shared" ca="1" si="452"/>
        <v/>
      </c>
      <c r="AZ186" s="828" t="str">
        <f t="shared" ca="1" si="453"/>
        <v/>
      </c>
      <c r="BA186" s="828" t="str">
        <f t="shared" ca="1" si="454"/>
        <v/>
      </c>
      <c r="BB186" s="828" t="str">
        <f t="shared" ca="1" si="455"/>
        <v/>
      </c>
      <c r="BC186" s="828" t="str">
        <f t="shared" ca="1" si="456"/>
        <v/>
      </c>
      <c r="BD186" s="828" t="str">
        <f t="shared" ca="1" si="457"/>
        <v/>
      </c>
      <c r="BE186" s="828" t="str">
        <f t="shared" ca="1" si="458"/>
        <v/>
      </c>
      <c r="BF186" s="828" t="str">
        <f t="shared" ca="1" si="459"/>
        <v/>
      </c>
      <c r="BG186" s="828" t="str">
        <f t="shared" ca="1" si="460"/>
        <v/>
      </c>
      <c r="BH186" s="828" t="str">
        <f t="shared" ca="1" si="461"/>
        <v/>
      </c>
      <c r="BI186" s="828" t="str">
        <f t="shared" ca="1" si="462"/>
        <v/>
      </c>
      <c r="BJ186" s="828" t="str">
        <f t="shared" ca="1" si="463"/>
        <v/>
      </c>
      <c r="BK186" s="828" t="str">
        <f t="shared" ca="1" si="464"/>
        <v/>
      </c>
      <c r="BL186" s="828" t="str">
        <f t="shared" ca="1" si="465"/>
        <v/>
      </c>
      <c r="BM186" s="828" t="str">
        <f t="shared" ca="1" si="466"/>
        <v/>
      </c>
      <c r="BN186" s="828" t="str">
        <f t="shared" ca="1" si="467"/>
        <v/>
      </c>
      <c r="BO186" s="828" t="str">
        <f t="shared" ca="1" si="468"/>
        <v/>
      </c>
    </row>
    <row r="187" spans="1:67" ht="20.100000000000001" customHeight="1">
      <c r="A187" s="823">
        <v>24</v>
      </c>
      <c r="B187" s="1870"/>
      <c r="C187" s="1872"/>
      <c r="D187" s="824" t="s">
        <v>4399</v>
      </c>
      <c r="E187" s="818"/>
      <c r="F187" s="825"/>
      <c r="G187" s="826" t="s">
        <v>3777</v>
      </c>
      <c r="H187" s="827">
        <f t="shared" ref="H187:K202" ca="1" si="469">H25</f>
        <v>28.9</v>
      </c>
      <c r="I187" s="827">
        <f t="shared" ca="1" si="469"/>
        <v>28.9</v>
      </c>
      <c r="J187" s="827">
        <f t="shared" ca="1" si="469"/>
        <v>28.9</v>
      </c>
      <c r="K187" s="827">
        <f t="shared" ca="1" si="469"/>
        <v>28.9</v>
      </c>
      <c r="L187" s="828">
        <f t="shared" ref="L187:O218" ca="1" si="470">P187+T187</f>
        <v>0</v>
      </c>
      <c r="M187" s="828">
        <f t="shared" ca="1" si="470"/>
        <v>0</v>
      </c>
      <c r="N187" s="828">
        <f t="shared" ca="1" si="470"/>
        <v>0</v>
      </c>
      <c r="O187" s="828">
        <f t="shared" ca="1" si="470"/>
        <v>0</v>
      </c>
      <c r="P187" s="828">
        <f ca="1">SUM(SUMIFS(OFFSET(貼付け_2024実績,$A187,10,1,199),OFFSET(貼付け_2024実績,4,9,1,199),{"横浜*","川崎*"}))</f>
        <v>0</v>
      </c>
      <c r="Q187" s="828">
        <f ca="1">SUM(SUMIFS(OFFSET(貼付け_2025実績,$A187,10,1,199),OFFSET(貼付け_2025実績,4,9,1,199),{"横浜*","川崎*"}))</f>
        <v>0</v>
      </c>
      <c r="R187" s="828">
        <f ca="1">SUM(SUMIFS(OFFSET(貼付け_2026実績,$A187,10,1,199),OFFSET(貼付け_2026実績,4,9,1,199),{"横浜*","川崎*"}))</f>
        <v>0</v>
      </c>
      <c r="S187" s="828">
        <f ca="1">SUM(SUMIFS(OFFSET(貼付け_2027実績,$A187,10,1,199),OFFSET(貼付け_2027実績,4,9,1,199),{"横浜*","川崎*"}))</f>
        <v>0</v>
      </c>
      <c r="T187" s="828">
        <f t="shared" ref="T187:W218" ca="1" si="471">SUM(X187,AB187,AF187,AJ187,AN187,AR187,AV187,AZ187,BD187,BH187,BL187)</f>
        <v>0</v>
      </c>
      <c r="U187" s="828">
        <f t="shared" ca="1" si="471"/>
        <v>0</v>
      </c>
      <c r="V187" s="828">
        <f t="shared" ca="1" si="471"/>
        <v>0</v>
      </c>
      <c r="W187" s="828">
        <f t="shared" ca="1" si="471"/>
        <v>0</v>
      </c>
      <c r="X187" s="828">
        <f t="shared" ca="1" si="425"/>
        <v>0</v>
      </c>
      <c r="Y187" s="828">
        <f t="shared" ca="1" si="426"/>
        <v>0</v>
      </c>
      <c r="Z187" s="828">
        <f t="shared" ca="1" si="427"/>
        <v>0</v>
      </c>
      <c r="AA187" s="828">
        <f t="shared" ca="1" si="428"/>
        <v>0</v>
      </c>
      <c r="AB187" s="828" t="str">
        <f t="shared" ca="1" si="429"/>
        <v/>
      </c>
      <c r="AC187" s="828" t="str">
        <f t="shared" ca="1" si="430"/>
        <v/>
      </c>
      <c r="AD187" s="828" t="str">
        <f t="shared" ca="1" si="431"/>
        <v/>
      </c>
      <c r="AE187" s="828" t="str">
        <f t="shared" ca="1" si="432"/>
        <v/>
      </c>
      <c r="AF187" s="828" t="str">
        <f t="shared" ca="1" si="433"/>
        <v/>
      </c>
      <c r="AG187" s="828" t="str">
        <f t="shared" ca="1" si="434"/>
        <v/>
      </c>
      <c r="AH187" s="828" t="str">
        <f t="shared" ca="1" si="435"/>
        <v/>
      </c>
      <c r="AI187" s="828" t="str">
        <f t="shared" ca="1" si="436"/>
        <v/>
      </c>
      <c r="AJ187" s="828" t="str">
        <f t="shared" ca="1" si="437"/>
        <v/>
      </c>
      <c r="AK187" s="828" t="str">
        <f t="shared" ca="1" si="438"/>
        <v/>
      </c>
      <c r="AL187" s="828" t="str">
        <f t="shared" ca="1" si="439"/>
        <v/>
      </c>
      <c r="AM187" s="828" t="str">
        <f t="shared" ca="1" si="440"/>
        <v/>
      </c>
      <c r="AN187" s="828" t="str">
        <f t="shared" ca="1" si="441"/>
        <v/>
      </c>
      <c r="AO187" s="828" t="str">
        <f t="shared" ca="1" si="442"/>
        <v/>
      </c>
      <c r="AP187" s="828" t="str">
        <f t="shared" ca="1" si="443"/>
        <v/>
      </c>
      <c r="AQ187" s="828" t="str">
        <f t="shared" ca="1" si="444"/>
        <v/>
      </c>
      <c r="AR187" s="828" t="str">
        <f t="shared" ca="1" si="445"/>
        <v/>
      </c>
      <c r="AS187" s="828" t="str">
        <f t="shared" ca="1" si="446"/>
        <v/>
      </c>
      <c r="AT187" s="828" t="str">
        <f t="shared" ca="1" si="447"/>
        <v/>
      </c>
      <c r="AU187" s="828" t="str">
        <f t="shared" ca="1" si="448"/>
        <v/>
      </c>
      <c r="AV187" s="828" t="str">
        <f t="shared" ca="1" si="449"/>
        <v/>
      </c>
      <c r="AW187" s="828" t="str">
        <f t="shared" ca="1" si="450"/>
        <v/>
      </c>
      <c r="AX187" s="828" t="str">
        <f t="shared" ca="1" si="451"/>
        <v/>
      </c>
      <c r="AY187" s="828" t="str">
        <f t="shared" ca="1" si="452"/>
        <v/>
      </c>
      <c r="AZ187" s="828" t="str">
        <f t="shared" ca="1" si="453"/>
        <v/>
      </c>
      <c r="BA187" s="828" t="str">
        <f t="shared" ca="1" si="454"/>
        <v/>
      </c>
      <c r="BB187" s="828" t="str">
        <f t="shared" ca="1" si="455"/>
        <v/>
      </c>
      <c r="BC187" s="828" t="str">
        <f t="shared" ca="1" si="456"/>
        <v/>
      </c>
      <c r="BD187" s="828" t="str">
        <f t="shared" ca="1" si="457"/>
        <v/>
      </c>
      <c r="BE187" s="828" t="str">
        <f t="shared" ca="1" si="458"/>
        <v/>
      </c>
      <c r="BF187" s="828" t="str">
        <f t="shared" ca="1" si="459"/>
        <v/>
      </c>
      <c r="BG187" s="828" t="str">
        <f t="shared" ca="1" si="460"/>
        <v/>
      </c>
      <c r="BH187" s="828" t="str">
        <f t="shared" ca="1" si="461"/>
        <v/>
      </c>
      <c r="BI187" s="828" t="str">
        <f t="shared" ca="1" si="462"/>
        <v/>
      </c>
      <c r="BJ187" s="828" t="str">
        <f t="shared" ca="1" si="463"/>
        <v/>
      </c>
      <c r="BK187" s="828" t="str">
        <f t="shared" ca="1" si="464"/>
        <v/>
      </c>
      <c r="BL187" s="828" t="str">
        <f t="shared" ca="1" si="465"/>
        <v/>
      </c>
      <c r="BM187" s="828" t="str">
        <f t="shared" ca="1" si="466"/>
        <v/>
      </c>
      <c r="BN187" s="828" t="str">
        <f t="shared" ca="1" si="467"/>
        <v/>
      </c>
      <c r="BO187" s="828" t="str">
        <f t="shared" ca="1" si="468"/>
        <v/>
      </c>
    </row>
    <row r="188" spans="1:67" ht="20.100000000000001" customHeight="1">
      <c r="A188" s="823">
        <v>25</v>
      </c>
      <c r="B188" s="1870"/>
      <c r="C188" s="1872"/>
      <c r="D188" s="824" t="s">
        <v>4400</v>
      </c>
      <c r="E188" s="824"/>
      <c r="F188" s="825"/>
      <c r="G188" s="826" t="s">
        <v>3777</v>
      </c>
      <c r="H188" s="827">
        <f t="shared" ca="1" si="469"/>
        <v>28.3</v>
      </c>
      <c r="I188" s="827">
        <f t="shared" ca="1" si="469"/>
        <v>28.3</v>
      </c>
      <c r="J188" s="827">
        <f t="shared" ca="1" si="469"/>
        <v>28.3</v>
      </c>
      <c r="K188" s="827">
        <f t="shared" ca="1" si="469"/>
        <v>28.3</v>
      </c>
      <c r="L188" s="828">
        <f t="shared" ca="1" si="470"/>
        <v>0</v>
      </c>
      <c r="M188" s="828">
        <f t="shared" ca="1" si="470"/>
        <v>0</v>
      </c>
      <c r="N188" s="828">
        <f t="shared" ca="1" si="470"/>
        <v>0</v>
      </c>
      <c r="O188" s="828">
        <f t="shared" ca="1" si="470"/>
        <v>0</v>
      </c>
      <c r="P188" s="828">
        <f ca="1">SUM(SUMIFS(OFFSET(貼付け_2024実績,$A188,10,1,199),OFFSET(貼付け_2024実績,4,9,1,199),{"横浜*","川崎*"}))</f>
        <v>0</v>
      </c>
      <c r="Q188" s="828">
        <f ca="1">SUM(SUMIFS(OFFSET(貼付け_2025実績,$A188,10,1,199),OFFSET(貼付け_2025実績,4,9,1,199),{"横浜*","川崎*"}))</f>
        <v>0</v>
      </c>
      <c r="R188" s="828">
        <f ca="1">SUM(SUMIFS(OFFSET(貼付け_2026実績,$A188,10,1,199),OFFSET(貼付け_2026実績,4,9,1,199),{"横浜*","川崎*"}))</f>
        <v>0</v>
      </c>
      <c r="S188" s="828">
        <f ca="1">SUM(SUMIFS(OFFSET(貼付け_2027実績,$A188,10,1,199),OFFSET(貼付け_2027実績,4,9,1,199),{"横浜*","川崎*"}))</f>
        <v>0</v>
      </c>
      <c r="T188" s="828">
        <f t="shared" ca="1" si="471"/>
        <v>0</v>
      </c>
      <c r="U188" s="828">
        <f t="shared" ca="1" si="471"/>
        <v>0</v>
      </c>
      <c r="V188" s="828">
        <f t="shared" ca="1" si="471"/>
        <v>0</v>
      </c>
      <c r="W188" s="828">
        <f t="shared" ca="1" si="471"/>
        <v>0</v>
      </c>
      <c r="X188" s="828">
        <f t="shared" ca="1" si="425"/>
        <v>0</v>
      </c>
      <c r="Y188" s="828">
        <f t="shared" ca="1" si="426"/>
        <v>0</v>
      </c>
      <c r="Z188" s="828">
        <f t="shared" ca="1" si="427"/>
        <v>0</v>
      </c>
      <c r="AA188" s="828">
        <f t="shared" ca="1" si="428"/>
        <v>0</v>
      </c>
      <c r="AB188" s="828" t="str">
        <f t="shared" ca="1" si="429"/>
        <v/>
      </c>
      <c r="AC188" s="828" t="str">
        <f t="shared" ca="1" si="430"/>
        <v/>
      </c>
      <c r="AD188" s="828" t="str">
        <f t="shared" ca="1" si="431"/>
        <v/>
      </c>
      <c r="AE188" s="828" t="str">
        <f t="shared" ca="1" si="432"/>
        <v/>
      </c>
      <c r="AF188" s="828" t="str">
        <f t="shared" ca="1" si="433"/>
        <v/>
      </c>
      <c r="AG188" s="828" t="str">
        <f t="shared" ca="1" si="434"/>
        <v/>
      </c>
      <c r="AH188" s="828" t="str">
        <f t="shared" ca="1" si="435"/>
        <v/>
      </c>
      <c r="AI188" s="828" t="str">
        <f t="shared" ca="1" si="436"/>
        <v/>
      </c>
      <c r="AJ188" s="828" t="str">
        <f t="shared" ca="1" si="437"/>
        <v/>
      </c>
      <c r="AK188" s="828" t="str">
        <f t="shared" ca="1" si="438"/>
        <v/>
      </c>
      <c r="AL188" s="828" t="str">
        <f t="shared" ca="1" si="439"/>
        <v/>
      </c>
      <c r="AM188" s="828" t="str">
        <f t="shared" ca="1" si="440"/>
        <v/>
      </c>
      <c r="AN188" s="828" t="str">
        <f t="shared" ca="1" si="441"/>
        <v/>
      </c>
      <c r="AO188" s="828" t="str">
        <f t="shared" ca="1" si="442"/>
        <v/>
      </c>
      <c r="AP188" s="828" t="str">
        <f t="shared" ca="1" si="443"/>
        <v/>
      </c>
      <c r="AQ188" s="828" t="str">
        <f t="shared" ca="1" si="444"/>
        <v/>
      </c>
      <c r="AR188" s="828" t="str">
        <f t="shared" ca="1" si="445"/>
        <v/>
      </c>
      <c r="AS188" s="828" t="str">
        <f t="shared" ca="1" si="446"/>
        <v/>
      </c>
      <c r="AT188" s="828" t="str">
        <f t="shared" ca="1" si="447"/>
        <v/>
      </c>
      <c r="AU188" s="828" t="str">
        <f t="shared" ca="1" si="448"/>
        <v/>
      </c>
      <c r="AV188" s="828" t="str">
        <f t="shared" ca="1" si="449"/>
        <v/>
      </c>
      <c r="AW188" s="828" t="str">
        <f t="shared" ca="1" si="450"/>
        <v/>
      </c>
      <c r="AX188" s="828" t="str">
        <f t="shared" ca="1" si="451"/>
        <v/>
      </c>
      <c r="AY188" s="828" t="str">
        <f t="shared" ca="1" si="452"/>
        <v/>
      </c>
      <c r="AZ188" s="828" t="str">
        <f t="shared" ca="1" si="453"/>
        <v/>
      </c>
      <c r="BA188" s="828" t="str">
        <f t="shared" ca="1" si="454"/>
        <v/>
      </c>
      <c r="BB188" s="828" t="str">
        <f t="shared" ca="1" si="455"/>
        <v/>
      </c>
      <c r="BC188" s="828" t="str">
        <f t="shared" ca="1" si="456"/>
        <v/>
      </c>
      <c r="BD188" s="828" t="str">
        <f t="shared" ca="1" si="457"/>
        <v/>
      </c>
      <c r="BE188" s="828" t="str">
        <f t="shared" ca="1" si="458"/>
        <v/>
      </c>
      <c r="BF188" s="828" t="str">
        <f t="shared" ca="1" si="459"/>
        <v/>
      </c>
      <c r="BG188" s="828" t="str">
        <f t="shared" ca="1" si="460"/>
        <v/>
      </c>
      <c r="BH188" s="828" t="str">
        <f t="shared" ca="1" si="461"/>
        <v/>
      </c>
      <c r="BI188" s="828" t="str">
        <f t="shared" ca="1" si="462"/>
        <v/>
      </c>
      <c r="BJ188" s="828" t="str">
        <f t="shared" ca="1" si="463"/>
        <v/>
      </c>
      <c r="BK188" s="828" t="str">
        <f t="shared" ca="1" si="464"/>
        <v/>
      </c>
      <c r="BL188" s="828" t="str">
        <f t="shared" ca="1" si="465"/>
        <v/>
      </c>
      <c r="BM188" s="828" t="str">
        <f t="shared" ca="1" si="466"/>
        <v/>
      </c>
      <c r="BN188" s="828" t="str">
        <f t="shared" ca="1" si="467"/>
        <v/>
      </c>
      <c r="BO188" s="828" t="str">
        <f t="shared" ca="1" si="468"/>
        <v/>
      </c>
    </row>
    <row r="189" spans="1:67" ht="20.100000000000001" customHeight="1">
      <c r="A189" s="823">
        <v>26</v>
      </c>
      <c r="B189" s="1870"/>
      <c r="C189" s="1872"/>
      <c r="D189" s="824" t="s">
        <v>4401</v>
      </c>
      <c r="E189" s="824"/>
      <c r="F189" s="825"/>
      <c r="G189" s="826" t="s">
        <v>3777</v>
      </c>
      <c r="H189" s="827">
        <f t="shared" ca="1" si="469"/>
        <v>26.1</v>
      </c>
      <c r="I189" s="827">
        <f t="shared" ca="1" si="469"/>
        <v>26.1</v>
      </c>
      <c r="J189" s="827">
        <f t="shared" ca="1" si="469"/>
        <v>26.1</v>
      </c>
      <c r="K189" s="827">
        <f t="shared" ca="1" si="469"/>
        <v>26.1</v>
      </c>
      <c r="L189" s="828">
        <f t="shared" ca="1" si="470"/>
        <v>0</v>
      </c>
      <c r="M189" s="828">
        <f t="shared" ca="1" si="470"/>
        <v>0</v>
      </c>
      <c r="N189" s="828">
        <f t="shared" ca="1" si="470"/>
        <v>0</v>
      </c>
      <c r="O189" s="828">
        <f t="shared" ca="1" si="470"/>
        <v>0</v>
      </c>
      <c r="P189" s="828">
        <f ca="1">SUM(SUMIFS(OFFSET(貼付け_2024実績,$A189,10,1,199),OFFSET(貼付け_2024実績,4,9,1,199),{"横浜*","川崎*"}))</f>
        <v>0</v>
      </c>
      <c r="Q189" s="828">
        <f ca="1">SUM(SUMIFS(OFFSET(貼付け_2025実績,$A189,10,1,199),OFFSET(貼付け_2025実績,4,9,1,199),{"横浜*","川崎*"}))</f>
        <v>0</v>
      </c>
      <c r="R189" s="828">
        <f ca="1">SUM(SUMIFS(OFFSET(貼付け_2026実績,$A189,10,1,199),OFFSET(貼付け_2026実績,4,9,1,199),{"横浜*","川崎*"}))</f>
        <v>0</v>
      </c>
      <c r="S189" s="828">
        <f ca="1">SUM(SUMIFS(OFFSET(貼付け_2027実績,$A189,10,1,199),OFFSET(貼付け_2027実績,4,9,1,199),{"横浜*","川崎*"}))</f>
        <v>0</v>
      </c>
      <c r="T189" s="828">
        <f t="shared" ca="1" si="471"/>
        <v>0</v>
      </c>
      <c r="U189" s="828">
        <f t="shared" ca="1" si="471"/>
        <v>0</v>
      </c>
      <c r="V189" s="828">
        <f t="shared" ca="1" si="471"/>
        <v>0</v>
      </c>
      <c r="W189" s="828">
        <f t="shared" ca="1" si="471"/>
        <v>0</v>
      </c>
      <c r="X189" s="828">
        <f t="shared" ca="1" si="425"/>
        <v>0</v>
      </c>
      <c r="Y189" s="828">
        <f t="shared" ca="1" si="426"/>
        <v>0</v>
      </c>
      <c r="Z189" s="828">
        <f t="shared" ca="1" si="427"/>
        <v>0</v>
      </c>
      <c r="AA189" s="828">
        <f t="shared" ca="1" si="428"/>
        <v>0</v>
      </c>
      <c r="AB189" s="828" t="str">
        <f t="shared" ca="1" si="429"/>
        <v/>
      </c>
      <c r="AC189" s="828" t="str">
        <f t="shared" ca="1" si="430"/>
        <v/>
      </c>
      <c r="AD189" s="828" t="str">
        <f t="shared" ca="1" si="431"/>
        <v/>
      </c>
      <c r="AE189" s="828" t="str">
        <f t="shared" ca="1" si="432"/>
        <v/>
      </c>
      <c r="AF189" s="828" t="str">
        <f t="shared" ca="1" si="433"/>
        <v/>
      </c>
      <c r="AG189" s="828" t="str">
        <f t="shared" ca="1" si="434"/>
        <v/>
      </c>
      <c r="AH189" s="828" t="str">
        <f t="shared" ca="1" si="435"/>
        <v/>
      </c>
      <c r="AI189" s="828" t="str">
        <f t="shared" ca="1" si="436"/>
        <v/>
      </c>
      <c r="AJ189" s="828" t="str">
        <f t="shared" ca="1" si="437"/>
        <v/>
      </c>
      <c r="AK189" s="828" t="str">
        <f t="shared" ca="1" si="438"/>
        <v/>
      </c>
      <c r="AL189" s="828" t="str">
        <f t="shared" ca="1" si="439"/>
        <v/>
      </c>
      <c r="AM189" s="828" t="str">
        <f t="shared" ca="1" si="440"/>
        <v/>
      </c>
      <c r="AN189" s="828" t="str">
        <f t="shared" ca="1" si="441"/>
        <v/>
      </c>
      <c r="AO189" s="828" t="str">
        <f t="shared" ca="1" si="442"/>
        <v/>
      </c>
      <c r="AP189" s="828" t="str">
        <f t="shared" ca="1" si="443"/>
        <v/>
      </c>
      <c r="AQ189" s="828" t="str">
        <f t="shared" ca="1" si="444"/>
        <v/>
      </c>
      <c r="AR189" s="828" t="str">
        <f t="shared" ca="1" si="445"/>
        <v/>
      </c>
      <c r="AS189" s="828" t="str">
        <f t="shared" ca="1" si="446"/>
        <v/>
      </c>
      <c r="AT189" s="828" t="str">
        <f t="shared" ca="1" si="447"/>
        <v/>
      </c>
      <c r="AU189" s="828" t="str">
        <f t="shared" ca="1" si="448"/>
        <v/>
      </c>
      <c r="AV189" s="828" t="str">
        <f t="shared" ca="1" si="449"/>
        <v/>
      </c>
      <c r="AW189" s="828" t="str">
        <f t="shared" ca="1" si="450"/>
        <v/>
      </c>
      <c r="AX189" s="828" t="str">
        <f t="shared" ca="1" si="451"/>
        <v/>
      </c>
      <c r="AY189" s="828" t="str">
        <f t="shared" ca="1" si="452"/>
        <v/>
      </c>
      <c r="AZ189" s="828" t="str">
        <f t="shared" ca="1" si="453"/>
        <v/>
      </c>
      <c r="BA189" s="828" t="str">
        <f t="shared" ca="1" si="454"/>
        <v/>
      </c>
      <c r="BB189" s="828" t="str">
        <f t="shared" ca="1" si="455"/>
        <v/>
      </c>
      <c r="BC189" s="828" t="str">
        <f t="shared" ca="1" si="456"/>
        <v/>
      </c>
      <c r="BD189" s="828" t="str">
        <f t="shared" ca="1" si="457"/>
        <v/>
      </c>
      <c r="BE189" s="828" t="str">
        <f t="shared" ca="1" si="458"/>
        <v/>
      </c>
      <c r="BF189" s="828" t="str">
        <f t="shared" ca="1" si="459"/>
        <v/>
      </c>
      <c r="BG189" s="828" t="str">
        <f t="shared" ca="1" si="460"/>
        <v/>
      </c>
      <c r="BH189" s="828" t="str">
        <f t="shared" ca="1" si="461"/>
        <v/>
      </c>
      <c r="BI189" s="828" t="str">
        <f t="shared" ca="1" si="462"/>
        <v/>
      </c>
      <c r="BJ189" s="828" t="str">
        <f t="shared" ca="1" si="463"/>
        <v/>
      </c>
      <c r="BK189" s="828" t="str">
        <f t="shared" ca="1" si="464"/>
        <v/>
      </c>
      <c r="BL189" s="828" t="str">
        <f t="shared" ca="1" si="465"/>
        <v/>
      </c>
      <c r="BM189" s="828" t="str">
        <f t="shared" ca="1" si="466"/>
        <v/>
      </c>
      <c r="BN189" s="828" t="str">
        <f t="shared" ca="1" si="467"/>
        <v/>
      </c>
      <c r="BO189" s="828" t="str">
        <f t="shared" ca="1" si="468"/>
        <v/>
      </c>
    </row>
    <row r="190" spans="1:67" ht="20.100000000000001" customHeight="1">
      <c r="A190" s="823">
        <v>27</v>
      </c>
      <c r="B190" s="1870"/>
      <c r="C190" s="1872"/>
      <c r="D190" s="824" t="s">
        <v>4402</v>
      </c>
      <c r="E190" s="824"/>
      <c r="F190" s="825"/>
      <c r="G190" s="826" t="s">
        <v>3777</v>
      </c>
      <c r="H190" s="827">
        <f t="shared" ca="1" si="469"/>
        <v>24.2</v>
      </c>
      <c r="I190" s="827">
        <f t="shared" ca="1" si="469"/>
        <v>24.2</v>
      </c>
      <c r="J190" s="827">
        <f t="shared" ca="1" si="469"/>
        <v>24.2</v>
      </c>
      <c r="K190" s="827">
        <f t="shared" ca="1" si="469"/>
        <v>24.2</v>
      </c>
      <c r="L190" s="828">
        <f t="shared" ca="1" si="470"/>
        <v>0</v>
      </c>
      <c r="M190" s="828">
        <f t="shared" ca="1" si="470"/>
        <v>0</v>
      </c>
      <c r="N190" s="828">
        <f t="shared" ca="1" si="470"/>
        <v>0</v>
      </c>
      <c r="O190" s="828">
        <f t="shared" ca="1" si="470"/>
        <v>0</v>
      </c>
      <c r="P190" s="828">
        <f ca="1">SUM(SUMIFS(OFFSET(貼付け_2024実績,$A190,10,1,199),OFFSET(貼付け_2024実績,4,9,1,199),{"横浜*","川崎*"}))</f>
        <v>0</v>
      </c>
      <c r="Q190" s="828">
        <f ca="1">SUM(SUMIFS(OFFSET(貼付け_2025実績,$A190,10,1,199),OFFSET(貼付け_2025実績,4,9,1,199),{"横浜*","川崎*"}))</f>
        <v>0</v>
      </c>
      <c r="R190" s="828">
        <f ca="1">SUM(SUMIFS(OFFSET(貼付け_2026実績,$A190,10,1,199),OFFSET(貼付け_2026実績,4,9,1,199),{"横浜*","川崎*"}))</f>
        <v>0</v>
      </c>
      <c r="S190" s="828">
        <f ca="1">SUM(SUMIFS(OFFSET(貼付け_2027実績,$A190,10,1,199),OFFSET(貼付け_2027実績,4,9,1,199),{"横浜*","川崎*"}))</f>
        <v>0</v>
      </c>
      <c r="T190" s="828">
        <f t="shared" ca="1" si="471"/>
        <v>0</v>
      </c>
      <c r="U190" s="828">
        <f t="shared" ca="1" si="471"/>
        <v>0</v>
      </c>
      <c r="V190" s="828">
        <f t="shared" ca="1" si="471"/>
        <v>0</v>
      </c>
      <c r="W190" s="828">
        <f t="shared" ca="1" si="471"/>
        <v>0</v>
      </c>
      <c r="X190" s="828">
        <f t="shared" ca="1" si="425"/>
        <v>0</v>
      </c>
      <c r="Y190" s="828">
        <f t="shared" ca="1" si="426"/>
        <v>0</v>
      </c>
      <c r="Z190" s="828">
        <f t="shared" ca="1" si="427"/>
        <v>0</v>
      </c>
      <c r="AA190" s="828">
        <f t="shared" ca="1" si="428"/>
        <v>0</v>
      </c>
      <c r="AB190" s="828" t="str">
        <f t="shared" ca="1" si="429"/>
        <v/>
      </c>
      <c r="AC190" s="828" t="str">
        <f t="shared" ca="1" si="430"/>
        <v/>
      </c>
      <c r="AD190" s="828" t="str">
        <f t="shared" ca="1" si="431"/>
        <v/>
      </c>
      <c r="AE190" s="828" t="str">
        <f t="shared" ca="1" si="432"/>
        <v/>
      </c>
      <c r="AF190" s="828" t="str">
        <f t="shared" ca="1" si="433"/>
        <v/>
      </c>
      <c r="AG190" s="828" t="str">
        <f t="shared" ca="1" si="434"/>
        <v/>
      </c>
      <c r="AH190" s="828" t="str">
        <f t="shared" ca="1" si="435"/>
        <v/>
      </c>
      <c r="AI190" s="828" t="str">
        <f t="shared" ca="1" si="436"/>
        <v/>
      </c>
      <c r="AJ190" s="828" t="str">
        <f t="shared" ca="1" si="437"/>
        <v/>
      </c>
      <c r="AK190" s="828" t="str">
        <f t="shared" ca="1" si="438"/>
        <v/>
      </c>
      <c r="AL190" s="828" t="str">
        <f t="shared" ca="1" si="439"/>
        <v/>
      </c>
      <c r="AM190" s="828" t="str">
        <f t="shared" ca="1" si="440"/>
        <v/>
      </c>
      <c r="AN190" s="828" t="str">
        <f t="shared" ca="1" si="441"/>
        <v/>
      </c>
      <c r="AO190" s="828" t="str">
        <f t="shared" ca="1" si="442"/>
        <v/>
      </c>
      <c r="AP190" s="828" t="str">
        <f t="shared" ca="1" si="443"/>
        <v/>
      </c>
      <c r="AQ190" s="828" t="str">
        <f t="shared" ca="1" si="444"/>
        <v/>
      </c>
      <c r="AR190" s="828" t="str">
        <f t="shared" ca="1" si="445"/>
        <v/>
      </c>
      <c r="AS190" s="828" t="str">
        <f t="shared" ca="1" si="446"/>
        <v/>
      </c>
      <c r="AT190" s="828" t="str">
        <f t="shared" ca="1" si="447"/>
        <v/>
      </c>
      <c r="AU190" s="828" t="str">
        <f t="shared" ca="1" si="448"/>
        <v/>
      </c>
      <c r="AV190" s="828" t="str">
        <f t="shared" ca="1" si="449"/>
        <v/>
      </c>
      <c r="AW190" s="828" t="str">
        <f t="shared" ca="1" si="450"/>
        <v/>
      </c>
      <c r="AX190" s="828" t="str">
        <f t="shared" ca="1" si="451"/>
        <v/>
      </c>
      <c r="AY190" s="828" t="str">
        <f t="shared" ca="1" si="452"/>
        <v/>
      </c>
      <c r="AZ190" s="828" t="str">
        <f t="shared" ca="1" si="453"/>
        <v/>
      </c>
      <c r="BA190" s="828" t="str">
        <f t="shared" ca="1" si="454"/>
        <v/>
      </c>
      <c r="BB190" s="828" t="str">
        <f t="shared" ca="1" si="455"/>
        <v/>
      </c>
      <c r="BC190" s="828" t="str">
        <f t="shared" ca="1" si="456"/>
        <v/>
      </c>
      <c r="BD190" s="828" t="str">
        <f t="shared" ca="1" si="457"/>
        <v/>
      </c>
      <c r="BE190" s="828" t="str">
        <f t="shared" ca="1" si="458"/>
        <v/>
      </c>
      <c r="BF190" s="828" t="str">
        <f t="shared" ca="1" si="459"/>
        <v/>
      </c>
      <c r="BG190" s="828" t="str">
        <f t="shared" ca="1" si="460"/>
        <v/>
      </c>
      <c r="BH190" s="828" t="str">
        <f t="shared" ca="1" si="461"/>
        <v/>
      </c>
      <c r="BI190" s="828" t="str">
        <f t="shared" ca="1" si="462"/>
        <v/>
      </c>
      <c r="BJ190" s="828" t="str">
        <f t="shared" ca="1" si="463"/>
        <v/>
      </c>
      <c r="BK190" s="828" t="str">
        <f t="shared" ca="1" si="464"/>
        <v/>
      </c>
      <c r="BL190" s="828" t="str">
        <f t="shared" ca="1" si="465"/>
        <v/>
      </c>
      <c r="BM190" s="828" t="str">
        <f t="shared" ca="1" si="466"/>
        <v/>
      </c>
      <c r="BN190" s="828" t="str">
        <f t="shared" ca="1" si="467"/>
        <v/>
      </c>
      <c r="BO190" s="828" t="str">
        <f t="shared" ca="1" si="468"/>
        <v/>
      </c>
    </row>
    <row r="191" spans="1:67" ht="20.100000000000001" customHeight="1">
      <c r="A191" s="823">
        <v>28</v>
      </c>
      <c r="B191" s="1870"/>
      <c r="C191" s="1872"/>
      <c r="D191" s="824" t="s">
        <v>4403</v>
      </c>
      <c r="E191" s="824"/>
      <c r="F191" s="825"/>
      <c r="G191" s="826" t="s">
        <v>3777</v>
      </c>
      <c r="H191" s="827">
        <f t="shared" ca="1" si="469"/>
        <v>27.8</v>
      </c>
      <c r="I191" s="827">
        <f t="shared" ca="1" si="469"/>
        <v>27.8</v>
      </c>
      <c r="J191" s="827">
        <f t="shared" ca="1" si="469"/>
        <v>27.8</v>
      </c>
      <c r="K191" s="827">
        <f t="shared" ca="1" si="469"/>
        <v>27.8</v>
      </c>
      <c r="L191" s="828">
        <f t="shared" ca="1" si="470"/>
        <v>0</v>
      </c>
      <c r="M191" s="828">
        <f t="shared" ca="1" si="470"/>
        <v>0</v>
      </c>
      <c r="N191" s="828">
        <f t="shared" ca="1" si="470"/>
        <v>0</v>
      </c>
      <c r="O191" s="828">
        <f t="shared" ca="1" si="470"/>
        <v>0</v>
      </c>
      <c r="P191" s="828">
        <f ca="1">SUM(SUMIFS(OFFSET(貼付け_2024実績,$A191,10,1,199),OFFSET(貼付け_2024実績,4,9,1,199),{"横浜*","川崎*"}))</f>
        <v>0</v>
      </c>
      <c r="Q191" s="828">
        <f ca="1">SUM(SUMIFS(OFFSET(貼付け_2025実績,$A191,10,1,199),OFFSET(貼付け_2025実績,4,9,1,199),{"横浜*","川崎*"}))</f>
        <v>0</v>
      </c>
      <c r="R191" s="828">
        <f ca="1">SUM(SUMIFS(OFFSET(貼付け_2026実績,$A191,10,1,199),OFFSET(貼付け_2026実績,4,9,1,199),{"横浜*","川崎*"}))</f>
        <v>0</v>
      </c>
      <c r="S191" s="828">
        <f ca="1">SUM(SUMIFS(OFFSET(貼付け_2027実績,$A191,10,1,199),OFFSET(貼付け_2027実績,4,9,1,199),{"横浜*","川崎*"}))</f>
        <v>0</v>
      </c>
      <c r="T191" s="828">
        <f t="shared" ca="1" si="471"/>
        <v>0</v>
      </c>
      <c r="U191" s="828">
        <f t="shared" ca="1" si="471"/>
        <v>0</v>
      </c>
      <c r="V191" s="828">
        <f t="shared" ca="1" si="471"/>
        <v>0</v>
      </c>
      <c r="W191" s="828">
        <f t="shared" ca="1" si="471"/>
        <v>0</v>
      </c>
      <c r="X191" s="828">
        <f t="shared" ca="1" si="425"/>
        <v>0</v>
      </c>
      <c r="Y191" s="828">
        <f t="shared" ca="1" si="426"/>
        <v>0</v>
      </c>
      <c r="Z191" s="828">
        <f t="shared" ca="1" si="427"/>
        <v>0</v>
      </c>
      <c r="AA191" s="828">
        <f t="shared" ca="1" si="428"/>
        <v>0</v>
      </c>
      <c r="AB191" s="828" t="str">
        <f t="shared" ca="1" si="429"/>
        <v/>
      </c>
      <c r="AC191" s="828" t="str">
        <f t="shared" ca="1" si="430"/>
        <v/>
      </c>
      <c r="AD191" s="828" t="str">
        <f t="shared" ca="1" si="431"/>
        <v/>
      </c>
      <c r="AE191" s="828" t="str">
        <f t="shared" ca="1" si="432"/>
        <v/>
      </c>
      <c r="AF191" s="828" t="str">
        <f t="shared" ca="1" si="433"/>
        <v/>
      </c>
      <c r="AG191" s="828" t="str">
        <f t="shared" ca="1" si="434"/>
        <v/>
      </c>
      <c r="AH191" s="828" t="str">
        <f t="shared" ca="1" si="435"/>
        <v/>
      </c>
      <c r="AI191" s="828" t="str">
        <f t="shared" ca="1" si="436"/>
        <v/>
      </c>
      <c r="AJ191" s="828" t="str">
        <f t="shared" ca="1" si="437"/>
        <v/>
      </c>
      <c r="AK191" s="828" t="str">
        <f t="shared" ca="1" si="438"/>
        <v/>
      </c>
      <c r="AL191" s="828" t="str">
        <f t="shared" ca="1" si="439"/>
        <v/>
      </c>
      <c r="AM191" s="828" t="str">
        <f t="shared" ca="1" si="440"/>
        <v/>
      </c>
      <c r="AN191" s="828" t="str">
        <f t="shared" ca="1" si="441"/>
        <v/>
      </c>
      <c r="AO191" s="828" t="str">
        <f t="shared" ca="1" si="442"/>
        <v/>
      </c>
      <c r="AP191" s="828" t="str">
        <f t="shared" ca="1" si="443"/>
        <v/>
      </c>
      <c r="AQ191" s="828" t="str">
        <f t="shared" ca="1" si="444"/>
        <v/>
      </c>
      <c r="AR191" s="828" t="str">
        <f t="shared" ca="1" si="445"/>
        <v/>
      </c>
      <c r="AS191" s="828" t="str">
        <f t="shared" ca="1" si="446"/>
        <v/>
      </c>
      <c r="AT191" s="828" t="str">
        <f t="shared" ca="1" si="447"/>
        <v/>
      </c>
      <c r="AU191" s="828" t="str">
        <f t="shared" ca="1" si="448"/>
        <v/>
      </c>
      <c r="AV191" s="828" t="str">
        <f t="shared" ca="1" si="449"/>
        <v/>
      </c>
      <c r="AW191" s="828" t="str">
        <f t="shared" ca="1" si="450"/>
        <v/>
      </c>
      <c r="AX191" s="828" t="str">
        <f t="shared" ca="1" si="451"/>
        <v/>
      </c>
      <c r="AY191" s="828" t="str">
        <f t="shared" ca="1" si="452"/>
        <v/>
      </c>
      <c r="AZ191" s="828" t="str">
        <f t="shared" ca="1" si="453"/>
        <v/>
      </c>
      <c r="BA191" s="828" t="str">
        <f t="shared" ca="1" si="454"/>
        <v/>
      </c>
      <c r="BB191" s="828" t="str">
        <f t="shared" ca="1" si="455"/>
        <v/>
      </c>
      <c r="BC191" s="828" t="str">
        <f t="shared" ca="1" si="456"/>
        <v/>
      </c>
      <c r="BD191" s="828" t="str">
        <f t="shared" ca="1" si="457"/>
        <v/>
      </c>
      <c r="BE191" s="828" t="str">
        <f t="shared" ca="1" si="458"/>
        <v/>
      </c>
      <c r="BF191" s="828" t="str">
        <f t="shared" ca="1" si="459"/>
        <v/>
      </c>
      <c r="BG191" s="828" t="str">
        <f t="shared" ca="1" si="460"/>
        <v/>
      </c>
      <c r="BH191" s="828" t="str">
        <f t="shared" ca="1" si="461"/>
        <v/>
      </c>
      <c r="BI191" s="828" t="str">
        <f t="shared" ca="1" si="462"/>
        <v/>
      </c>
      <c r="BJ191" s="828" t="str">
        <f t="shared" ca="1" si="463"/>
        <v/>
      </c>
      <c r="BK191" s="828" t="str">
        <f t="shared" ca="1" si="464"/>
        <v/>
      </c>
      <c r="BL191" s="828" t="str">
        <f t="shared" ca="1" si="465"/>
        <v/>
      </c>
      <c r="BM191" s="828" t="str">
        <f t="shared" ca="1" si="466"/>
        <v/>
      </c>
      <c r="BN191" s="828" t="str">
        <f t="shared" ca="1" si="467"/>
        <v/>
      </c>
      <c r="BO191" s="828" t="str">
        <f t="shared" ca="1" si="468"/>
        <v/>
      </c>
    </row>
    <row r="192" spans="1:67" ht="20.100000000000001" customHeight="1">
      <c r="A192" s="823">
        <v>29</v>
      </c>
      <c r="B192" s="1870"/>
      <c r="C192" s="1872"/>
      <c r="D192" s="824" t="s">
        <v>4169</v>
      </c>
      <c r="E192" s="824"/>
      <c r="F192" s="825"/>
      <c r="G192" s="826" t="s">
        <v>3777</v>
      </c>
      <c r="H192" s="827">
        <f t="shared" ca="1" si="469"/>
        <v>29</v>
      </c>
      <c r="I192" s="827">
        <f t="shared" ca="1" si="469"/>
        <v>29</v>
      </c>
      <c r="J192" s="827">
        <f t="shared" ca="1" si="469"/>
        <v>29</v>
      </c>
      <c r="K192" s="827">
        <f t="shared" ca="1" si="469"/>
        <v>29</v>
      </c>
      <c r="L192" s="828">
        <f t="shared" ca="1" si="470"/>
        <v>0</v>
      </c>
      <c r="M192" s="828">
        <f t="shared" ca="1" si="470"/>
        <v>0</v>
      </c>
      <c r="N192" s="828">
        <f t="shared" ca="1" si="470"/>
        <v>0</v>
      </c>
      <c r="O192" s="828">
        <f t="shared" ca="1" si="470"/>
        <v>0</v>
      </c>
      <c r="P192" s="828">
        <f ca="1">SUM(SUMIFS(OFFSET(貼付け_2024実績,$A192,10,1,199),OFFSET(貼付け_2024実績,4,9,1,199),{"横浜*","川崎*"}))</f>
        <v>0</v>
      </c>
      <c r="Q192" s="828">
        <f ca="1">SUM(SUMIFS(OFFSET(貼付け_2025実績,$A192,10,1,199),OFFSET(貼付け_2025実績,4,9,1,199),{"横浜*","川崎*"}))</f>
        <v>0</v>
      </c>
      <c r="R192" s="828">
        <f ca="1">SUM(SUMIFS(OFFSET(貼付け_2026実績,$A192,10,1,199),OFFSET(貼付け_2026実績,4,9,1,199),{"横浜*","川崎*"}))</f>
        <v>0</v>
      </c>
      <c r="S192" s="828">
        <f ca="1">SUM(SUMIFS(OFFSET(貼付け_2027実績,$A192,10,1,199),OFFSET(貼付け_2027実績,4,9,1,199),{"横浜*","川崎*"}))</f>
        <v>0</v>
      </c>
      <c r="T192" s="828">
        <f t="shared" ca="1" si="471"/>
        <v>0</v>
      </c>
      <c r="U192" s="828">
        <f t="shared" ca="1" si="471"/>
        <v>0</v>
      </c>
      <c r="V192" s="828">
        <f t="shared" ca="1" si="471"/>
        <v>0</v>
      </c>
      <c r="W192" s="828">
        <f t="shared" ca="1" si="471"/>
        <v>0</v>
      </c>
      <c r="X192" s="828">
        <f t="shared" ca="1" si="425"/>
        <v>0</v>
      </c>
      <c r="Y192" s="828">
        <f t="shared" ca="1" si="426"/>
        <v>0</v>
      </c>
      <c r="Z192" s="828">
        <f t="shared" ca="1" si="427"/>
        <v>0</v>
      </c>
      <c r="AA192" s="828">
        <f t="shared" ca="1" si="428"/>
        <v>0</v>
      </c>
      <c r="AB192" s="828" t="str">
        <f t="shared" ca="1" si="429"/>
        <v/>
      </c>
      <c r="AC192" s="828" t="str">
        <f t="shared" ca="1" si="430"/>
        <v/>
      </c>
      <c r="AD192" s="828" t="str">
        <f t="shared" ca="1" si="431"/>
        <v/>
      </c>
      <c r="AE192" s="828" t="str">
        <f t="shared" ca="1" si="432"/>
        <v/>
      </c>
      <c r="AF192" s="828" t="str">
        <f t="shared" ca="1" si="433"/>
        <v/>
      </c>
      <c r="AG192" s="828" t="str">
        <f t="shared" ca="1" si="434"/>
        <v/>
      </c>
      <c r="AH192" s="828" t="str">
        <f t="shared" ca="1" si="435"/>
        <v/>
      </c>
      <c r="AI192" s="828" t="str">
        <f t="shared" ca="1" si="436"/>
        <v/>
      </c>
      <c r="AJ192" s="828" t="str">
        <f t="shared" ca="1" si="437"/>
        <v/>
      </c>
      <c r="AK192" s="828" t="str">
        <f t="shared" ca="1" si="438"/>
        <v/>
      </c>
      <c r="AL192" s="828" t="str">
        <f t="shared" ca="1" si="439"/>
        <v/>
      </c>
      <c r="AM192" s="828" t="str">
        <f t="shared" ca="1" si="440"/>
        <v/>
      </c>
      <c r="AN192" s="828" t="str">
        <f t="shared" ca="1" si="441"/>
        <v/>
      </c>
      <c r="AO192" s="828" t="str">
        <f t="shared" ca="1" si="442"/>
        <v/>
      </c>
      <c r="AP192" s="828" t="str">
        <f t="shared" ca="1" si="443"/>
        <v/>
      </c>
      <c r="AQ192" s="828" t="str">
        <f t="shared" ca="1" si="444"/>
        <v/>
      </c>
      <c r="AR192" s="828" t="str">
        <f t="shared" ca="1" si="445"/>
        <v/>
      </c>
      <c r="AS192" s="828" t="str">
        <f t="shared" ca="1" si="446"/>
        <v/>
      </c>
      <c r="AT192" s="828" t="str">
        <f t="shared" ca="1" si="447"/>
        <v/>
      </c>
      <c r="AU192" s="828" t="str">
        <f t="shared" ca="1" si="448"/>
        <v/>
      </c>
      <c r="AV192" s="828" t="str">
        <f t="shared" ca="1" si="449"/>
        <v/>
      </c>
      <c r="AW192" s="828" t="str">
        <f t="shared" ca="1" si="450"/>
        <v/>
      </c>
      <c r="AX192" s="828" t="str">
        <f t="shared" ca="1" si="451"/>
        <v/>
      </c>
      <c r="AY192" s="828" t="str">
        <f t="shared" ca="1" si="452"/>
        <v/>
      </c>
      <c r="AZ192" s="828" t="str">
        <f t="shared" ca="1" si="453"/>
        <v/>
      </c>
      <c r="BA192" s="828" t="str">
        <f t="shared" ca="1" si="454"/>
        <v/>
      </c>
      <c r="BB192" s="828" t="str">
        <f t="shared" ca="1" si="455"/>
        <v/>
      </c>
      <c r="BC192" s="828" t="str">
        <f t="shared" ca="1" si="456"/>
        <v/>
      </c>
      <c r="BD192" s="828" t="str">
        <f t="shared" ca="1" si="457"/>
        <v/>
      </c>
      <c r="BE192" s="828" t="str">
        <f t="shared" ca="1" si="458"/>
        <v/>
      </c>
      <c r="BF192" s="828" t="str">
        <f t="shared" ca="1" si="459"/>
        <v/>
      </c>
      <c r="BG192" s="828" t="str">
        <f t="shared" ca="1" si="460"/>
        <v/>
      </c>
      <c r="BH192" s="828" t="str">
        <f t="shared" ca="1" si="461"/>
        <v/>
      </c>
      <c r="BI192" s="828" t="str">
        <f t="shared" ca="1" si="462"/>
        <v/>
      </c>
      <c r="BJ192" s="828" t="str">
        <f t="shared" ca="1" si="463"/>
        <v/>
      </c>
      <c r="BK192" s="828" t="str">
        <f t="shared" ca="1" si="464"/>
        <v/>
      </c>
      <c r="BL192" s="828" t="str">
        <f t="shared" ca="1" si="465"/>
        <v/>
      </c>
      <c r="BM192" s="828" t="str">
        <f t="shared" ca="1" si="466"/>
        <v/>
      </c>
      <c r="BN192" s="828" t="str">
        <f t="shared" ca="1" si="467"/>
        <v/>
      </c>
      <c r="BO192" s="828" t="str">
        <f t="shared" ca="1" si="468"/>
        <v/>
      </c>
    </row>
    <row r="193" spans="1:67" ht="20.100000000000001" customHeight="1">
      <c r="A193" s="823">
        <v>30</v>
      </c>
      <c r="B193" s="1870"/>
      <c r="C193" s="1872"/>
      <c r="D193" s="824" t="s">
        <v>4170</v>
      </c>
      <c r="E193" s="818"/>
      <c r="F193" s="825"/>
      <c r="G193" s="826" t="s">
        <v>3777</v>
      </c>
      <c r="H193" s="827">
        <f t="shared" ca="1" si="469"/>
        <v>37.299999999999997</v>
      </c>
      <c r="I193" s="827">
        <f t="shared" ca="1" si="469"/>
        <v>37.299999999999997</v>
      </c>
      <c r="J193" s="827">
        <f t="shared" ca="1" si="469"/>
        <v>37.299999999999997</v>
      </c>
      <c r="K193" s="827">
        <f t="shared" ca="1" si="469"/>
        <v>37.299999999999997</v>
      </c>
      <c r="L193" s="828">
        <f t="shared" ca="1" si="470"/>
        <v>0</v>
      </c>
      <c r="M193" s="828">
        <f t="shared" ca="1" si="470"/>
        <v>0</v>
      </c>
      <c r="N193" s="828">
        <f t="shared" ca="1" si="470"/>
        <v>0</v>
      </c>
      <c r="O193" s="828">
        <f t="shared" ca="1" si="470"/>
        <v>0</v>
      </c>
      <c r="P193" s="828">
        <f ca="1">SUM(SUMIFS(OFFSET(貼付け_2024実績,$A193,10,1,199),OFFSET(貼付け_2024実績,4,9,1,199),{"横浜*","川崎*"}))</f>
        <v>0</v>
      </c>
      <c r="Q193" s="828">
        <f ca="1">SUM(SUMIFS(OFFSET(貼付け_2025実績,$A193,10,1,199),OFFSET(貼付け_2025実績,4,9,1,199),{"横浜*","川崎*"}))</f>
        <v>0</v>
      </c>
      <c r="R193" s="828">
        <f ca="1">SUM(SUMIFS(OFFSET(貼付け_2026実績,$A193,10,1,199),OFFSET(貼付け_2026実績,4,9,1,199),{"横浜*","川崎*"}))</f>
        <v>0</v>
      </c>
      <c r="S193" s="828">
        <f ca="1">SUM(SUMIFS(OFFSET(貼付け_2027実績,$A193,10,1,199),OFFSET(貼付け_2027実績,4,9,1,199),{"横浜*","川崎*"}))</f>
        <v>0</v>
      </c>
      <c r="T193" s="828">
        <f t="shared" ca="1" si="471"/>
        <v>0</v>
      </c>
      <c r="U193" s="828">
        <f t="shared" ca="1" si="471"/>
        <v>0</v>
      </c>
      <c r="V193" s="828">
        <f t="shared" ca="1" si="471"/>
        <v>0</v>
      </c>
      <c r="W193" s="828">
        <f t="shared" ca="1" si="471"/>
        <v>0</v>
      </c>
      <c r="X193" s="828">
        <f t="shared" ca="1" si="425"/>
        <v>0</v>
      </c>
      <c r="Y193" s="828">
        <f t="shared" ca="1" si="426"/>
        <v>0</v>
      </c>
      <c r="Z193" s="828">
        <f t="shared" ca="1" si="427"/>
        <v>0</v>
      </c>
      <c r="AA193" s="828">
        <f t="shared" ca="1" si="428"/>
        <v>0</v>
      </c>
      <c r="AB193" s="828" t="str">
        <f t="shared" ca="1" si="429"/>
        <v/>
      </c>
      <c r="AC193" s="828" t="str">
        <f t="shared" ca="1" si="430"/>
        <v/>
      </c>
      <c r="AD193" s="828" t="str">
        <f t="shared" ca="1" si="431"/>
        <v/>
      </c>
      <c r="AE193" s="828" t="str">
        <f t="shared" ca="1" si="432"/>
        <v/>
      </c>
      <c r="AF193" s="828" t="str">
        <f t="shared" ca="1" si="433"/>
        <v/>
      </c>
      <c r="AG193" s="828" t="str">
        <f t="shared" ca="1" si="434"/>
        <v/>
      </c>
      <c r="AH193" s="828" t="str">
        <f t="shared" ca="1" si="435"/>
        <v/>
      </c>
      <c r="AI193" s="828" t="str">
        <f t="shared" ca="1" si="436"/>
        <v/>
      </c>
      <c r="AJ193" s="828" t="str">
        <f t="shared" ca="1" si="437"/>
        <v/>
      </c>
      <c r="AK193" s="828" t="str">
        <f t="shared" ca="1" si="438"/>
        <v/>
      </c>
      <c r="AL193" s="828" t="str">
        <f t="shared" ca="1" si="439"/>
        <v/>
      </c>
      <c r="AM193" s="828" t="str">
        <f t="shared" ca="1" si="440"/>
        <v/>
      </c>
      <c r="AN193" s="828" t="str">
        <f t="shared" ca="1" si="441"/>
        <v/>
      </c>
      <c r="AO193" s="828" t="str">
        <f t="shared" ca="1" si="442"/>
        <v/>
      </c>
      <c r="AP193" s="828" t="str">
        <f t="shared" ca="1" si="443"/>
        <v/>
      </c>
      <c r="AQ193" s="828" t="str">
        <f t="shared" ca="1" si="444"/>
        <v/>
      </c>
      <c r="AR193" s="828" t="str">
        <f t="shared" ca="1" si="445"/>
        <v/>
      </c>
      <c r="AS193" s="828" t="str">
        <f t="shared" ca="1" si="446"/>
        <v/>
      </c>
      <c r="AT193" s="828" t="str">
        <f t="shared" ca="1" si="447"/>
        <v/>
      </c>
      <c r="AU193" s="828" t="str">
        <f t="shared" ca="1" si="448"/>
        <v/>
      </c>
      <c r="AV193" s="828" t="str">
        <f t="shared" ca="1" si="449"/>
        <v/>
      </c>
      <c r="AW193" s="828" t="str">
        <f t="shared" ca="1" si="450"/>
        <v/>
      </c>
      <c r="AX193" s="828" t="str">
        <f t="shared" ca="1" si="451"/>
        <v/>
      </c>
      <c r="AY193" s="828" t="str">
        <f t="shared" ca="1" si="452"/>
        <v/>
      </c>
      <c r="AZ193" s="828" t="str">
        <f t="shared" ca="1" si="453"/>
        <v/>
      </c>
      <c r="BA193" s="828" t="str">
        <f t="shared" ca="1" si="454"/>
        <v/>
      </c>
      <c r="BB193" s="828" t="str">
        <f t="shared" ca="1" si="455"/>
        <v/>
      </c>
      <c r="BC193" s="828" t="str">
        <f t="shared" ca="1" si="456"/>
        <v/>
      </c>
      <c r="BD193" s="828" t="str">
        <f t="shared" ca="1" si="457"/>
        <v/>
      </c>
      <c r="BE193" s="828" t="str">
        <f t="shared" ca="1" si="458"/>
        <v/>
      </c>
      <c r="BF193" s="828" t="str">
        <f t="shared" ca="1" si="459"/>
        <v/>
      </c>
      <c r="BG193" s="828" t="str">
        <f t="shared" ca="1" si="460"/>
        <v/>
      </c>
      <c r="BH193" s="828" t="str">
        <f t="shared" ca="1" si="461"/>
        <v/>
      </c>
      <c r="BI193" s="828" t="str">
        <f t="shared" ca="1" si="462"/>
        <v/>
      </c>
      <c r="BJ193" s="828" t="str">
        <f t="shared" ca="1" si="463"/>
        <v/>
      </c>
      <c r="BK193" s="828" t="str">
        <f t="shared" ca="1" si="464"/>
        <v/>
      </c>
      <c r="BL193" s="828" t="str">
        <f t="shared" ca="1" si="465"/>
        <v/>
      </c>
      <c r="BM193" s="828" t="str">
        <f t="shared" ca="1" si="466"/>
        <v/>
      </c>
      <c r="BN193" s="828" t="str">
        <f t="shared" ca="1" si="467"/>
        <v/>
      </c>
      <c r="BO193" s="828" t="str">
        <f t="shared" ca="1" si="468"/>
        <v/>
      </c>
    </row>
    <row r="194" spans="1:67" ht="20.100000000000001" customHeight="1">
      <c r="A194" s="823">
        <v>31</v>
      </c>
      <c r="B194" s="1870"/>
      <c r="C194" s="1872"/>
      <c r="D194" s="824" t="s">
        <v>4171</v>
      </c>
      <c r="E194" s="824"/>
      <c r="F194" s="825"/>
      <c r="G194" s="826" t="s">
        <v>4158</v>
      </c>
      <c r="H194" s="827">
        <f t="shared" ca="1" si="469"/>
        <v>18.399999999999999</v>
      </c>
      <c r="I194" s="827">
        <f t="shared" ca="1" si="469"/>
        <v>18.399999999999999</v>
      </c>
      <c r="J194" s="827">
        <f t="shared" ca="1" si="469"/>
        <v>18.399999999999999</v>
      </c>
      <c r="K194" s="827">
        <f t="shared" ca="1" si="469"/>
        <v>18.399999999999999</v>
      </c>
      <c r="L194" s="828">
        <f t="shared" ca="1" si="470"/>
        <v>0</v>
      </c>
      <c r="M194" s="828">
        <f t="shared" ca="1" si="470"/>
        <v>0</v>
      </c>
      <c r="N194" s="828">
        <f t="shared" ca="1" si="470"/>
        <v>0</v>
      </c>
      <c r="O194" s="828">
        <f t="shared" ca="1" si="470"/>
        <v>0</v>
      </c>
      <c r="P194" s="828">
        <f ca="1">SUM(SUMIFS(OFFSET(貼付け_2024実績,$A194,10,1,199),OFFSET(貼付け_2024実績,4,9,1,199),{"横浜*","川崎*"}))</f>
        <v>0</v>
      </c>
      <c r="Q194" s="828">
        <f ca="1">SUM(SUMIFS(OFFSET(貼付け_2025実績,$A194,10,1,199),OFFSET(貼付け_2025実績,4,9,1,199),{"横浜*","川崎*"}))</f>
        <v>0</v>
      </c>
      <c r="R194" s="828">
        <f ca="1">SUM(SUMIFS(OFFSET(貼付け_2026実績,$A194,10,1,199),OFFSET(貼付け_2026実績,4,9,1,199),{"横浜*","川崎*"}))</f>
        <v>0</v>
      </c>
      <c r="S194" s="828">
        <f ca="1">SUM(SUMIFS(OFFSET(貼付け_2027実績,$A194,10,1,199),OFFSET(貼付け_2027実績,4,9,1,199),{"横浜*","川崎*"}))</f>
        <v>0</v>
      </c>
      <c r="T194" s="828">
        <f t="shared" ca="1" si="471"/>
        <v>0</v>
      </c>
      <c r="U194" s="828">
        <f t="shared" ca="1" si="471"/>
        <v>0</v>
      </c>
      <c r="V194" s="828">
        <f t="shared" ca="1" si="471"/>
        <v>0</v>
      </c>
      <c r="W194" s="828">
        <f t="shared" ca="1" si="471"/>
        <v>0</v>
      </c>
      <c r="X194" s="828">
        <f t="shared" ca="1" si="425"/>
        <v>0</v>
      </c>
      <c r="Y194" s="828">
        <f t="shared" ca="1" si="426"/>
        <v>0</v>
      </c>
      <c r="Z194" s="828">
        <f t="shared" ca="1" si="427"/>
        <v>0</v>
      </c>
      <c r="AA194" s="828">
        <f t="shared" ca="1" si="428"/>
        <v>0</v>
      </c>
      <c r="AB194" s="828" t="str">
        <f t="shared" ca="1" si="429"/>
        <v/>
      </c>
      <c r="AC194" s="828" t="str">
        <f t="shared" ca="1" si="430"/>
        <v/>
      </c>
      <c r="AD194" s="828" t="str">
        <f t="shared" ca="1" si="431"/>
        <v/>
      </c>
      <c r="AE194" s="828" t="str">
        <f t="shared" ca="1" si="432"/>
        <v/>
      </c>
      <c r="AF194" s="828" t="str">
        <f t="shared" ca="1" si="433"/>
        <v/>
      </c>
      <c r="AG194" s="828" t="str">
        <f t="shared" ca="1" si="434"/>
        <v/>
      </c>
      <c r="AH194" s="828" t="str">
        <f t="shared" ca="1" si="435"/>
        <v/>
      </c>
      <c r="AI194" s="828" t="str">
        <f t="shared" ca="1" si="436"/>
        <v/>
      </c>
      <c r="AJ194" s="828" t="str">
        <f t="shared" ca="1" si="437"/>
        <v/>
      </c>
      <c r="AK194" s="828" t="str">
        <f t="shared" ca="1" si="438"/>
        <v/>
      </c>
      <c r="AL194" s="828" t="str">
        <f t="shared" ca="1" si="439"/>
        <v/>
      </c>
      <c r="AM194" s="828" t="str">
        <f t="shared" ca="1" si="440"/>
        <v/>
      </c>
      <c r="AN194" s="828" t="str">
        <f t="shared" ca="1" si="441"/>
        <v/>
      </c>
      <c r="AO194" s="828" t="str">
        <f t="shared" ca="1" si="442"/>
        <v/>
      </c>
      <c r="AP194" s="828" t="str">
        <f t="shared" ca="1" si="443"/>
        <v/>
      </c>
      <c r="AQ194" s="828" t="str">
        <f t="shared" ca="1" si="444"/>
        <v/>
      </c>
      <c r="AR194" s="828" t="str">
        <f t="shared" ca="1" si="445"/>
        <v/>
      </c>
      <c r="AS194" s="828" t="str">
        <f t="shared" ca="1" si="446"/>
        <v/>
      </c>
      <c r="AT194" s="828" t="str">
        <f t="shared" ca="1" si="447"/>
        <v/>
      </c>
      <c r="AU194" s="828" t="str">
        <f t="shared" ca="1" si="448"/>
        <v/>
      </c>
      <c r="AV194" s="828" t="str">
        <f t="shared" ca="1" si="449"/>
        <v/>
      </c>
      <c r="AW194" s="828" t="str">
        <f t="shared" ca="1" si="450"/>
        <v/>
      </c>
      <c r="AX194" s="828" t="str">
        <f t="shared" ca="1" si="451"/>
        <v/>
      </c>
      <c r="AY194" s="828" t="str">
        <f t="shared" ca="1" si="452"/>
        <v/>
      </c>
      <c r="AZ194" s="828" t="str">
        <f t="shared" ca="1" si="453"/>
        <v/>
      </c>
      <c r="BA194" s="828" t="str">
        <f t="shared" ca="1" si="454"/>
        <v/>
      </c>
      <c r="BB194" s="828" t="str">
        <f t="shared" ca="1" si="455"/>
        <v/>
      </c>
      <c r="BC194" s="828" t="str">
        <f t="shared" ca="1" si="456"/>
        <v/>
      </c>
      <c r="BD194" s="828" t="str">
        <f t="shared" ca="1" si="457"/>
        <v/>
      </c>
      <c r="BE194" s="828" t="str">
        <f t="shared" ca="1" si="458"/>
        <v/>
      </c>
      <c r="BF194" s="828" t="str">
        <f t="shared" ca="1" si="459"/>
        <v/>
      </c>
      <c r="BG194" s="828" t="str">
        <f t="shared" ca="1" si="460"/>
        <v/>
      </c>
      <c r="BH194" s="828" t="str">
        <f t="shared" ca="1" si="461"/>
        <v/>
      </c>
      <c r="BI194" s="828" t="str">
        <f t="shared" ca="1" si="462"/>
        <v/>
      </c>
      <c r="BJ194" s="828" t="str">
        <f t="shared" ca="1" si="463"/>
        <v/>
      </c>
      <c r="BK194" s="828" t="str">
        <f t="shared" ca="1" si="464"/>
        <v/>
      </c>
      <c r="BL194" s="828" t="str">
        <f t="shared" ca="1" si="465"/>
        <v/>
      </c>
      <c r="BM194" s="828" t="str">
        <f t="shared" ca="1" si="466"/>
        <v/>
      </c>
      <c r="BN194" s="828" t="str">
        <f t="shared" ca="1" si="467"/>
        <v/>
      </c>
      <c r="BO194" s="828" t="str">
        <f t="shared" ca="1" si="468"/>
        <v/>
      </c>
    </row>
    <row r="195" spans="1:67" ht="20.100000000000001" customHeight="1">
      <c r="A195" s="823">
        <v>32</v>
      </c>
      <c r="B195" s="1870"/>
      <c r="C195" s="1872"/>
      <c r="D195" s="824" t="s">
        <v>4172</v>
      </c>
      <c r="E195" s="824"/>
      <c r="F195" s="825"/>
      <c r="G195" s="826" t="s">
        <v>4158</v>
      </c>
      <c r="H195" s="827">
        <f t="shared" ca="1" si="469"/>
        <v>3.23</v>
      </c>
      <c r="I195" s="827">
        <f t="shared" ca="1" si="469"/>
        <v>3.23</v>
      </c>
      <c r="J195" s="827">
        <f t="shared" ca="1" si="469"/>
        <v>3.23</v>
      </c>
      <c r="K195" s="827">
        <f t="shared" ca="1" si="469"/>
        <v>3.23</v>
      </c>
      <c r="L195" s="828">
        <f t="shared" ca="1" si="470"/>
        <v>0</v>
      </c>
      <c r="M195" s="828">
        <f t="shared" ca="1" si="470"/>
        <v>0</v>
      </c>
      <c r="N195" s="828">
        <f t="shared" ca="1" si="470"/>
        <v>0</v>
      </c>
      <c r="O195" s="828">
        <f t="shared" ca="1" si="470"/>
        <v>0</v>
      </c>
      <c r="P195" s="828">
        <f ca="1">SUM(SUMIFS(OFFSET(貼付け_2024実績,$A195,10,1,199),OFFSET(貼付け_2024実績,4,9,1,199),{"横浜*","川崎*"}))</f>
        <v>0</v>
      </c>
      <c r="Q195" s="828">
        <f ca="1">SUM(SUMIFS(OFFSET(貼付け_2025実績,$A195,10,1,199),OFFSET(貼付け_2025実績,4,9,1,199),{"横浜*","川崎*"}))</f>
        <v>0</v>
      </c>
      <c r="R195" s="828">
        <f ca="1">SUM(SUMIFS(OFFSET(貼付け_2026実績,$A195,10,1,199),OFFSET(貼付け_2026実績,4,9,1,199),{"横浜*","川崎*"}))</f>
        <v>0</v>
      </c>
      <c r="S195" s="828">
        <f ca="1">SUM(SUMIFS(OFFSET(貼付け_2027実績,$A195,10,1,199),OFFSET(貼付け_2027実績,4,9,1,199),{"横浜*","川崎*"}))</f>
        <v>0</v>
      </c>
      <c r="T195" s="828">
        <f t="shared" ca="1" si="471"/>
        <v>0</v>
      </c>
      <c r="U195" s="828">
        <f t="shared" ca="1" si="471"/>
        <v>0</v>
      </c>
      <c r="V195" s="828">
        <f t="shared" ca="1" si="471"/>
        <v>0</v>
      </c>
      <c r="W195" s="828">
        <f t="shared" ca="1" si="471"/>
        <v>0</v>
      </c>
      <c r="X195" s="828">
        <f t="shared" ca="1" si="425"/>
        <v>0</v>
      </c>
      <c r="Y195" s="828">
        <f t="shared" ca="1" si="426"/>
        <v>0</v>
      </c>
      <c r="Z195" s="828">
        <f t="shared" ca="1" si="427"/>
        <v>0</v>
      </c>
      <c r="AA195" s="828">
        <f t="shared" ca="1" si="428"/>
        <v>0</v>
      </c>
      <c r="AB195" s="828" t="str">
        <f t="shared" ca="1" si="429"/>
        <v/>
      </c>
      <c r="AC195" s="828" t="str">
        <f t="shared" ca="1" si="430"/>
        <v/>
      </c>
      <c r="AD195" s="828" t="str">
        <f t="shared" ca="1" si="431"/>
        <v/>
      </c>
      <c r="AE195" s="828" t="str">
        <f t="shared" ca="1" si="432"/>
        <v/>
      </c>
      <c r="AF195" s="828" t="str">
        <f t="shared" ca="1" si="433"/>
        <v/>
      </c>
      <c r="AG195" s="828" t="str">
        <f t="shared" ca="1" si="434"/>
        <v/>
      </c>
      <c r="AH195" s="828" t="str">
        <f t="shared" ca="1" si="435"/>
        <v/>
      </c>
      <c r="AI195" s="828" t="str">
        <f t="shared" ca="1" si="436"/>
        <v/>
      </c>
      <c r="AJ195" s="828" t="str">
        <f t="shared" ca="1" si="437"/>
        <v/>
      </c>
      <c r="AK195" s="828" t="str">
        <f t="shared" ca="1" si="438"/>
        <v/>
      </c>
      <c r="AL195" s="828" t="str">
        <f t="shared" ca="1" si="439"/>
        <v/>
      </c>
      <c r="AM195" s="828" t="str">
        <f t="shared" ca="1" si="440"/>
        <v/>
      </c>
      <c r="AN195" s="828" t="str">
        <f t="shared" ca="1" si="441"/>
        <v/>
      </c>
      <c r="AO195" s="828" t="str">
        <f t="shared" ca="1" si="442"/>
        <v/>
      </c>
      <c r="AP195" s="828" t="str">
        <f t="shared" ca="1" si="443"/>
        <v/>
      </c>
      <c r="AQ195" s="828" t="str">
        <f t="shared" ca="1" si="444"/>
        <v/>
      </c>
      <c r="AR195" s="828" t="str">
        <f t="shared" ca="1" si="445"/>
        <v/>
      </c>
      <c r="AS195" s="828" t="str">
        <f t="shared" ca="1" si="446"/>
        <v/>
      </c>
      <c r="AT195" s="828" t="str">
        <f t="shared" ca="1" si="447"/>
        <v/>
      </c>
      <c r="AU195" s="828" t="str">
        <f t="shared" ca="1" si="448"/>
        <v/>
      </c>
      <c r="AV195" s="828" t="str">
        <f t="shared" ca="1" si="449"/>
        <v/>
      </c>
      <c r="AW195" s="828" t="str">
        <f t="shared" ca="1" si="450"/>
        <v/>
      </c>
      <c r="AX195" s="828" t="str">
        <f t="shared" ca="1" si="451"/>
        <v/>
      </c>
      <c r="AY195" s="828" t="str">
        <f t="shared" ca="1" si="452"/>
        <v/>
      </c>
      <c r="AZ195" s="828" t="str">
        <f t="shared" ca="1" si="453"/>
        <v/>
      </c>
      <c r="BA195" s="828" t="str">
        <f t="shared" ca="1" si="454"/>
        <v/>
      </c>
      <c r="BB195" s="828" t="str">
        <f t="shared" ca="1" si="455"/>
        <v/>
      </c>
      <c r="BC195" s="828" t="str">
        <f t="shared" ca="1" si="456"/>
        <v/>
      </c>
      <c r="BD195" s="828" t="str">
        <f t="shared" ca="1" si="457"/>
        <v/>
      </c>
      <c r="BE195" s="828" t="str">
        <f t="shared" ca="1" si="458"/>
        <v/>
      </c>
      <c r="BF195" s="828" t="str">
        <f t="shared" ca="1" si="459"/>
        <v/>
      </c>
      <c r="BG195" s="828" t="str">
        <f t="shared" ca="1" si="460"/>
        <v/>
      </c>
      <c r="BH195" s="828" t="str">
        <f t="shared" ca="1" si="461"/>
        <v/>
      </c>
      <c r="BI195" s="828" t="str">
        <f t="shared" ca="1" si="462"/>
        <v/>
      </c>
      <c r="BJ195" s="828" t="str">
        <f t="shared" ca="1" si="463"/>
        <v/>
      </c>
      <c r="BK195" s="828" t="str">
        <f t="shared" ca="1" si="464"/>
        <v/>
      </c>
      <c r="BL195" s="828" t="str">
        <f t="shared" ca="1" si="465"/>
        <v/>
      </c>
      <c r="BM195" s="828" t="str">
        <f t="shared" ca="1" si="466"/>
        <v/>
      </c>
      <c r="BN195" s="828" t="str">
        <f t="shared" ca="1" si="467"/>
        <v/>
      </c>
      <c r="BO195" s="828" t="str">
        <f t="shared" ca="1" si="468"/>
        <v/>
      </c>
    </row>
    <row r="196" spans="1:67" ht="20.100000000000001" customHeight="1">
      <c r="A196" s="823">
        <v>33</v>
      </c>
      <c r="B196" s="1870"/>
      <c r="C196" s="1872"/>
      <c r="D196" s="824" t="s">
        <v>4404</v>
      </c>
      <c r="E196" s="824"/>
      <c r="F196" s="825"/>
      <c r="G196" s="826" t="s">
        <v>4158</v>
      </c>
      <c r="H196" s="827">
        <f t="shared" ca="1" si="469"/>
        <v>3.45</v>
      </c>
      <c r="I196" s="827">
        <f t="shared" ca="1" si="469"/>
        <v>3.45</v>
      </c>
      <c r="J196" s="827">
        <f t="shared" ca="1" si="469"/>
        <v>3.45</v>
      </c>
      <c r="K196" s="827">
        <f t="shared" ca="1" si="469"/>
        <v>3.45</v>
      </c>
      <c r="L196" s="828">
        <f t="shared" ca="1" si="470"/>
        <v>0</v>
      </c>
      <c r="M196" s="828">
        <f t="shared" ca="1" si="470"/>
        <v>0</v>
      </c>
      <c r="N196" s="828">
        <f t="shared" ca="1" si="470"/>
        <v>0</v>
      </c>
      <c r="O196" s="828">
        <f t="shared" ca="1" si="470"/>
        <v>0</v>
      </c>
      <c r="P196" s="828">
        <f ca="1">SUM(SUMIFS(OFFSET(貼付け_2024実績,$A196,10,1,199),OFFSET(貼付け_2024実績,4,9,1,199),{"横浜*","川崎*"}))</f>
        <v>0</v>
      </c>
      <c r="Q196" s="828">
        <f ca="1">SUM(SUMIFS(OFFSET(貼付け_2025実績,$A196,10,1,199),OFFSET(貼付け_2025実績,4,9,1,199),{"横浜*","川崎*"}))</f>
        <v>0</v>
      </c>
      <c r="R196" s="828">
        <f ca="1">SUM(SUMIFS(OFFSET(貼付け_2026実績,$A196,10,1,199),OFFSET(貼付け_2026実績,4,9,1,199),{"横浜*","川崎*"}))</f>
        <v>0</v>
      </c>
      <c r="S196" s="828">
        <f ca="1">SUM(SUMIFS(OFFSET(貼付け_2027実績,$A196,10,1,199),OFFSET(貼付け_2027実績,4,9,1,199),{"横浜*","川崎*"}))</f>
        <v>0</v>
      </c>
      <c r="T196" s="828">
        <f t="shared" ca="1" si="471"/>
        <v>0</v>
      </c>
      <c r="U196" s="828">
        <f t="shared" ca="1" si="471"/>
        <v>0</v>
      </c>
      <c r="V196" s="828">
        <f t="shared" ca="1" si="471"/>
        <v>0</v>
      </c>
      <c r="W196" s="828">
        <f t="shared" ca="1" si="471"/>
        <v>0</v>
      </c>
      <c r="X196" s="828">
        <f t="shared" ca="1" si="425"/>
        <v>0</v>
      </c>
      <c r="Y196" s="828">
        <f t="shared" ca="1" si="426"/>
        <v>0</v>
      </c>
      <c r="Z196" s="828">
        <f t="shared" ca="1" si="427"/>
        <v>0</v>
      </c>
      <c r="AA196" s="828">
        <f t="shared" ca="1" si="428"/>
        <v>0</v>
      </c>
      <c r="AB196" s="828" t="str">
        <f t="shared" ca="1" si="429"/>
        <v/>
      </c>
      <c r="AC196" s="828" t="str">
        <f t="shared" ca="1" si="430"/>
        <v/>
      </c>
      <c r="AD196" s="828" t="str">
        <f t="shared" ca="1" si="431"/>
        <v/>
      </c>
      <c r="AE196" s="828" t="str">
        <f t="shared" ca="1" si="432"/>
        <v/>
      </c>
      <c r="AF196" s="828" t="str">
        <f t="shared" ca="1" si="433"/>
        <v/>
      </c>
      <c r="AG196" s="828" t="str">
        <f t="shared" ca="1" si="434"/>
        <v/>
      </c>
      <c r="AH196" s="828" t="str">
        <f t="shared" ca="1" si="435"/>
        <v/>
      </c>
      <c r="AI196" s="828" t="str">
        <f t="shared" ca="1" si="436"/>
        <v/>
      </c>
      <c r="AJ196" s="828" t="str">
        <f t="shared" ca="1" si="437"/>
        <v/>
      </c>
      <c r="AK196" s="828" t="str">
        <f t="shared" ca="1" si="438"/>
        <v/>
      </c>
      <c r="AL196" s="828" t="str">
        <f t="shared" ca="1" si="439"/>
        <v/>
      </c>
      <c r="AM196" s="828" t="str">
        <f t="shared" ca="1" si="440"/>
        <v/>
      </c>
      <c r="AN196" s="828" t="str">
        <f t="shared" ca="1" si="441"/>
        <v/>
      </c>
      <c r="AO196" s="828" t="str">
        <f t="shared" ca="1" si="442"/>
        <v/>
      </c>
      <c r="AP196" s="828" t="str">
        <f t="shared" ca="1" si="443"/>
        <v/>
      </c>
      <c r="AQ196" s="828" t="str">
        <f t="shared" ca="1" si="444"/>
        <v/>
      </c>
      <c r="AR196" s="828" t="str">
        <f t="shared" ca="1" si="445"/>
        <v/>
      </c>
      <c r="AS196" s="828" t="str">
        <f t="shared" ca="1" si="446"/>
        <v/>
      </c>
      <c r="AT196" s="828" t="str">
        <f t="shared" ca="1" si="447"/>
        <v/>
      </c>
      <c r="AU196" s="828" t="str">
        <f t="shared" ca="1" si="448"/>
        <v/>
      </c>
      <c r="AV196" s="828" t="str">
        <f t="shared" ca="1" si="449"/>
        <v/>
      </c>
      <c r="AW196" s="828" t="str">
        <f t="shared" ca="1" si="450"/>
        <v/>
      </c>
      <c r="AX196" s="828" t="str">
        <f t="shared" ca="1" si="451"/>
        <v/>
      </c>
      <c r="AY196" s="828" t="str">
        <f t="shared" ca="1" si="452"/>
        <v/>
      </c>
      <c r="AZ196" s="828" t="str">
        <f t="shared" ca="1" si="453"/>
        <v/>
      </c>
      <c r="BA196" s="828" t="str">
        <f t="shared" ca="1" si="454"/>
        <v/>
      </c>
      <c r="BB196" s="828" t="str">
        <f t="shared" ca="1" si="455"/>
        <v/>
      </c>
      <c r="BC196" s="828" t="str">
        <f t="shared" ca="1" si="456"/>
        <v/>
      </c>
      <c r="BD196" s="828" t="str">
        <f t="shared" ca="1" si="457"/>
        <v/>
      </c>
      <c r="BE196" s="828" t="str">
        <f t="shared" ca="1" si="458"/>
        <v/>
      </c>
      <c r="BF196" s="828" t="str">
        <f t="shared" ca="1" si="459"/>
        <v/>
      </c>
      <c r="BG196" s="828" t="str">
        <f t="shared" ca="1" si="460"/>
        <v/>
      </c>
      <c r="BH196" s="828" t="str">
        <f t="shared" ca="1" si="461"/>
        <v/>
      </c>
      <c r="BI196" s="828" t="str">
        <f t="shared" ca="1" si="462"/>
        <v/>
      </c>
      <c r="BJ196" s="828" t="str">
        <f t="shared" ca="1" si="463"/>
        <v/>
      </c>
      <c r="BK196" s="828" t="str">
        <f t="shared" ca="1" si="464"/>
        <v/>
      </c>
      <c r="BL196" s="828" t="str">
        <f t="shared" ca="1" si="465"/>
        <v/>
      </c>
      <c r="BM196" s="828" t="str">
        <f t="shared" ca="1" si="466"/>
        <v/>
      </c>
      <c r="BN196" s="828" t="str">
        <f t="shared" ca="1" si="467"/>
        <v/>
      </c>
      <c r="BO196" s="828" t="str">
        <f t="shared" ca="1" si="468"/>
        <v/>
      </c>
    </row>
    <row r="197" spans="1:67" ht="20.100000000000001" customHeight="1">
      <c r="A197" s="823">
        <v>34</v>
      </c>
      <c r="B197" s="1870"/>
      <c r="C197" s="1872"/>
      <c r="D197" s="824" t="s">
        <v>4174</v>
      </c>
      <c r="E197" s="824"/>
      <c r="F197" s="825"/>
      <c r="G197" s="826" t="s">
        <v>4158</v>
      </c>
      <c r="H197" s="827">
        <f t="shared" ca="1" si="469"/>
        <v>7.53</v>
      </c>
      <c r="I197" s="827">
        <f t="shared" ca="1" si="469"/>
        <v>7.53</v>
      </c>
      <c r="J197" s="827">
        <f t="shared" ca="1" si="469"/>
        <v>7.53</v>
      </c>
      <c r="K197" s="827">
        <f t="shared" ca="1" si="469"/>
        <v>7.53</v>
      </c>
      <c r="L197" s="828">
        <f t="shared" ca="1" si="470"/>
        <v>0</v>
      </c>
      <c r="M197" s="828">
        <f t="shared" ca="1" si="470"/>
        <v>0</v>
      </c>
      <c r="N197" s="828">
        <f t="shared" ca="1" si="470"/>
        <v>0</v>
      </c>
      <c r="O197" s="828">
        <f t="shared" ca="1" si="470"/>
        <v>0</v>
      </c>
      <c r="P197" s="828">
        <f ca="1">SUM(SUMIFS(OFFSET(貼付け_2024実績,$A197,10,1,199),OFFSET(貼付け_2024実績,4,9,1,199),{"横浜*","川崎*"}))</f>
        <v>0</v>
      </c>
      <c r="Q197" s="828">
        <f ca="1">SUM(SUMIFS(OFFSET(貼付け_2025実績,$A197,10,1,199),OFFSET(貼付け_2025実績,4,9,1,199),{"横浜*","川崎*"}))</f>
        <v>0</v>
      </c>
      <c r="R197" s="828">
        <f ca="1">SUM(SUMIFS(OFFSET(貼付け_2026実績,$A197,10,1,199),OFFSET(貼付け_2026実績,4,9,1,199),{"横浜*","川崎*"}))</f>
        <v>0</v>
      </c>
      <c r="S197" s="828">
        <f ca="1">SUM(SUMIFS(OFFSET(貼付け_2027実績,$A197,10,1,199),OFFSET(貼付け_2027実績,4,9,1,199),{"横浜*","川崎*"}))</f>
        <v>0</v>
      </c>
      <c r="T197" s="828">
        <f t="shared" ca="1" si="471"/>
        <v>0</v>
      </c>
      <c r="U197" s="828">
        <f t="shared" ca="1" si="471"/>
        <v>0</v>
      </c>
      <c r="V197" s="828">
        <f t="shared" ca="1" si="471"/>
        <v>0</v>
      </c>
      <c r="W197" s="828">
        <f t="shared" ca="1" si="471"/>
        <v>0</v>
      </c>
      <c r="X197" s="828">
        <f t="shared" ca="1" si="425"/>
        <v>0</v>
      </c>
      <c r="Y197" s="828">
        <f t="shared" ca="1" si="426"/>
        <v>0</v>
      </c>
      <c r="Z197" s="828">
        <f t="shared" ca="1" si="427"/>
        <v>0</v>
      </c>
      <c r="AA197" s="828">
        <f t="shared" ca="1" si="428"/>
        <v>0</v>
      </c>
      <c r="AB197" s="828" t="str">
        <f t="shared" ca="1" si="429"/>
        <v/>
      </c>
      <c r="AC197" s="828" t="str">
        <f t="shared" ca="1" si="430"/>
        <v/>
      </c>
      <c r="AD197" s="828" t="str">
        <f t="shared" ca="1" si="431"/>
        <v/>
      </c>
      <c r="AE197" s="828" t="str">
        <f t="shared" ca="1" si="432"/>
        <v/>
      </c>
      <c r="AF197" s="828" t="str">
        <f t="shared" ca="1" si="433"/>
        <v/>
      </c>
      <c r="AG197" s="828" t="str">
        <f t="shared" ca="1" si="434"/>
        <v/>
      </c>
      <c r="AH197" s="828" t="str">
        <f t="shared" ca="1" si="435"/>
        <v/>
      </c>
      <c r="AI197" s="828" t="str">
        <f t="shared" ca="1" si="436"/>
        <v/>
      </c>
      <c r="AJ197" s="828" t="str">
        <f t="shared" ca="1" si="437"/>
        <v/>
      </c>
      <c r="AK197" s="828" t="str">
        <f t="shared" ca="1" si="438"/>
        <v/>
      </c>
      <c r="AL197" s="828" t="str">
        <f t="shared" ca="1" si="439"/>
        <v/>
      </c>
      <c r="AM197" s="828" t="str">
        <f t="shared" ca="1" si="440"/>
        <v/>
      </c>
      <c r="AN197" s="828" t="str">
        <f t="shared" ca="1" si="441"/>
        <v/>
      </c>
      <c r="AO197" s="828" t="str">
        <f t="shared" ca="1" si="442"/>
        <v/>
      </c>
      <c r="AP197" s="828" t="str">
        <f t="shared" ca="1" si="443"/>
        <v/>
      </c>
      <c r="AQ197" s="828" t="str">
        <f t="shared" ca="1" si="444"/>
        <v/>
      </c>
      <c r="AR197" s="828" t="str">
        <f t="shared" ca="1" si="445"/>
        <v/>
      </c>
      <c r="AS197" s="828" t="str">
        <f t="shared" ca="1" si="446"/>
        <v/>
      </c>
      <c r="AT197" s="828" t="str">
        <f t="shared" ca="1" si="447"/>
        <v/>
      </c>
      <c r="AU197" s="828" t="str">
        <f t="shared" ca="1" si="448"/>
        <v/>
      </c>
      <c r="AV197" s="828" t="str">
        <f t="shared" ca="1" si="449"/>
        <v/>
      </c>
      <c r="AW197" s="828" t="str">
        <f t="shared" ca="1" si="450"/>
        <v/>
      </c>
      <c r="AX197" s="828" t="str">
        <f t="shared" ca="1" si="451"/>
        <v/>
      </c>
      <c r="AY197" s="828" t="str">
        <f t="shared" ca="1" si="452"/>
        <v/>
      </c>
      <c r="AZ197" s="828" t="str">
        <f t="shared" ca="1" si="453"/>
        <v/>
      </c>
      <c r="BA197" s="828" t="str">
        <f t="shared" ca="1" si="454"/>
        <v/>
      </c>
      <c r="BB197" s="828" t="str">
        <f t="shared" ca="1" si="455"/>
        <v/>
      </c>
      <c r="BC197" s="828" t="str">
        <f t="shared" ca="1" si="456"/>
        <v/>
      </c>
      <c r="BD197" s="828" t="str">
        <f t="shared" ca="1" si="457"/>
        <v/>
      </c>
      <c r="BE197" s="828" t="str">
        <f t="shared" ca="1" si="458"/>
        <v/>
      </c>
      <c r="BF197" s="828" t="str">
        <f t="shared" ca="1" si="459"/>
        <v/>
      </c>
      <c r="BG197" s="828" t="str">
        <f t="shared" ca="1" si="460"/>
        <v/>
      </c>
      <c r="BH197" s="828" t="str">
        <f t="shared" ca="1" si="461"/>
        <v/>
      </c>
      <c r="BI197" s="828" t="str">
        <f t="shared" ca="1" si="462"/>
        <v/>
      </c>
      <c r="BJ197" s="828" t="str">
        <f t="shared" ca="1" si="463"/>
        <v/>
      </c>
      <c r="BK197" s="828" t="str">
        <f t="shared" ca="1" si="464"/>
        <v/>
      </c>
      <c r="BL197" s="828" t="str">
        <f t="shared" ca="1" si="465"/>
        <v/>
      </c>
      <c r="BM197" s="828" t="str">
        <f t="shared" ca="1" si="466"/>
        <v/>
      </c>
      <c r="BN197" s="828" t="str">
        <f t="shared" ca="1" si="467"/>
        <v/>
      </c>
      <c r="BO197" s="828" t="str">
        <f t="shared" ca="1" si="468"/>
        <v/>
      </c>
    </row>
    <row r="198" spans="1:67" ht="20.100000000000001" customHeight="1">
      <c r="A198" s="823">
        <v>35</v>
      </c>
      <c r="B198" s="1871"/>
      <c r="C198" s="1872"/>
      <c r="D198" s="824" t="s">
        <v>4405</v>
      </c>
      <c r="E198" s="829"/>
      <c r="F198" s="825"/>
      <c r="G198" s="826" t="s">
        <v>4158</v>
      </c>
      <c r="H198" s="827">
        <f t="shared" si="469"/>
        <v>0</v>
      </c>
      <c r="I198" s="827">
        <f t="shared" si="469"/>
        <v>0</v>
      </c>
      <c r="J198" s="827">
        <f t="shared" si="469"/>
        <v>0</v>
      </c>
      <c r="K198" s="827">
        <f t="shared" si="469"/>
        <v>0</v>
      </c>
      <c r="L198" s="828">
        <f t="shared" ca="1" si="470"/>
        <v>0</v>
      </c>
      <c r="M198" s="828">
        <f t="shared" ca="1" si="470"/>
        <v>0</v>
      </c>
      <c r="N198" s="828">
        <f t="shared" ca="1" si="470"/>
        <v>0</v>
      </c>
      <c r="O198" s="828">
        <f t="shared" ca="1" si="470"/>
        <v>0</v>
      </c>
      <c r="P198" s="828">
        <f ca="1">SUM(SUMIFS(OFFSET(貼付け_2024実績,$A198,10,1,199),OFFSET(貼付け_2024実績,4,9,1,199),{"横浜*","川崎*"}))</f>
        <v>0</v>
      </c>
      <c r="Q198" s="828">
        <f ca="1">SUM(SUMIFS(OFFSET(貼付け_2025実績,$A198,10,1,199),OFFSET(貼付け_2025実績,4,9,1,199),{"横浜*","川崎*"}))</f>
        <v>0</v>
      </c>
      <c r="R198" s="828">
        <f ca="1">SUM(SUMIFS(OFFSET(貼付け_2026実績,$A198,10,1,199),OFFSET(貼付け_2026実績,4,9,1,199),{"横浜*","川崎*"}))</f>
        <v>0</v>
      </c>
      <c r="S198" s="828">
        <f ca="1">SUM(SUMIFS(OFFSET(貼付け_2027実績,$A198,10,1,199),OFFSET(貼付け_2027実績,4,9,1,199),{"横浜*","川崎*"}))</f>
        <v>0</v>
      </c>
      <c r="T198" s="828">
        <f t="shared" ca="1" si="471"/>
        <v>0</v>
      </c>
      <c r="U198" s="828">
        <f t="shared" ca="1" si="471"/>
        <v>0</v>
      </c>
      <c r="V198" s="828">
        <f t="shared" ca="1" si="471"/>
        <v>0</v>
      </c>
      <c r="W198" s="828">
        <f t="shared" ca="1" si="471"/>
        <v>0</v>
      </c>
      <c r="X198" s="828">
        <f t="shared" ca="1" si="425"/>
        <v>0</v>
      </c>
      <c r="Y198" s="828">
        <f t="shared" ca="1" si="426"/>
        <v>0</v>
      </c>
      <c r="Z198" s="828">
        <f t="shared" ca="1" si="427"/>
        <v>0</v>
      </c>
      <c r="AA198" s="828">
        <f t="shared" ca="1" si="428"/>
        <v>0</v>
      </c>
      <c r="AB198" s="828" t="str">
        <f t="shared" ca="1" si="429"/>
        <v/>
      </c>
      <c r="AC198" s="828" t="str">
        <f t="shared" ca="1" si="430"/>
        <v/>
      </c>
      <c r="AD198" s="828" t="str">
        <f t="shared" ca="1" si="431"/>
        <v/>
      </c>
      <c r="AE198" s="828" t="str">
        <f t="shared" ca="1" si="432"/>
        <v/>
      </c>
      <c r="AF198" s="828" t="str">
        <f t="shared" ca="1" si="433"/>
        <v/>
      </c>
      <c r="AG198" s="828" t="str">
        <f t="shared" ca="1" si="434"/>
        <v/>
      </c>
      <c r="AH198" s="828" t="str">
        <f t="shared" ca="1" si="435"/>
        <v/>
      </c>
      <c r="AI198" s="828" t="str">
        <f t="shared" ca="1" si="436"/>
        <v/>
      </c>
      <c r="AJ198" s="828" t="str">
        <f t="shared" ca="1" si="437"/>
        <v/>
      </c>
      <c r="AK198" s="828" t="str">
        <f t="shared" ca="1" si="438"/>
        <v/>
      </c>
      <c r="AL198" s="828" t="str">
        <f t="shared" ca="1" si="439"/>
        <v/>
      </c>
      <c r="AM198" s="828" t="str">
        <f t="shared" ca="1" si="440"/>
        <v/>
      </c>
      <c r="AN198" s="828" t="str">
        <f t="shared" ca="1" si="441"/>
        <v/>
      </c>
      <c r="AO198" s="828" t="str">
        <f t="shared" ca="1" si="442"/>
        <v/>
      </c>
      <c r="AP198" s="828" t="str">
        <f t="shared" ca="1" si="443"/>
        <v/>
      </c>
      <c r="AQ198" s="828" t="str">
        <f t="shared" ca="1" si="444"/>
        <v/>
      </c>
      <c r="AR198" s="828" t="str">
        <f t="shared" ca="1" si="445"/>
        <v/>
      </c>
      <c r="AS198" s="828" t="str">
        <f t="shared" ca="1" si="446"/>
        <v/>
      </c>
      <c r="AT198" s="828" t="str">
        <f t="shared" ca="1" si="447"/>
        <v/>
      </c>
      <c r="AU198" s="828" t="str">
        <f t="shared" ca="1" si="448"/>
        <v/>
      </c>
      <c r="AV198" s="828" t="str">
        <f t="shared" ca="1" si="449"/>
        <v/>
      </c>
      <c r="AW198" s="828" t="str">
        <f t="shared" ca="1" si="450"/>
        <v/>
      </c>
      <c r="AX198" s="828" t="str">
        <f t="shared" ca="1" si="451"/>
        <v/>
      </c>
      <c r="AY198" s="828" t="str">
        <f t="shared" ca="1" si="452"/>
        <v/>
      </c>
      <c r="AZ198" s="828" t="str">
        <f t="shared" ca="1" si="453"/>
        <v/>
      </c>
      <c r="BA198" s="828" t="str">
        <f t="shared" ca="1" si="454"/>
        <v/>
      </c>
      <c r="BB198" s="828" t="str">
        <f t="shared" ca="1" si="455"/>
        <v/>
      </c>
      <c r="BC198" s="828" t="str">
        <f t="shared" ca="1" si="456"/>
        <v/>
      </c>
      <c r="BD198" s="828" t="str">
        <f t="shared" ca="1" si="457"/>
        <v/>
      </c>
      <c r="BE198" s="828" t="str">
        <f t="shared" ca="1" si="458"/>
        <v/>
      </c>
      <c r="BF198" s="828" t="str">
        <f t="shared" ca="1" si="459"/>
        <v/>
      </c>
      <c r="BG198" s="828" t="str">
        <f t="shared" ca="1" si="460"/>
        <v/>
      </c>
      <c r="BH198" s="828" t="str">
        <f t="shared" ca="1" si="461"/>
        <v/>
      </c>
      <c r="BI198" s="828" t="str">
        <f t="shared" ca="1" si="462"/>
        <v/>
      </c>
      <c r="BJ198" s="828" t="str">
        <f t="shared" ca="1" si="463"/>
        <v/>
      </c>
      <c r="BK198" s="828" t="str">
        <f t="shared" ca="1" si="464"/>
        <v/>
      </c>
      <c r="BL198" s="828" t="str">
        <f t="shared" ca="1" si="465"/>
        <v/>
      </c>
      <c r="BM198" s="828" t="str">
        <f t="shared" ca="1" si="466"/>
        <v/>
      </c>
      <c r="BN198" s="828" t="str">
        <f t="shared" ca="1" si="467"/>
        <v/>
      </c>
      <c r="BO198" s="828" t="str">
        <f t="shared" ca="1" si="468"/>
        <v/>
      </c>
    </row>
    <row r="199" spans="1:67" ht="20.100000000000001" customHeight="1">
      <c r="A199" s="823">
        <v>36</v>
      </c>
      <c r="B199" s="1870"/>
      <c r="C199" s="1872"/>
      <c r="D199" s="824" t="s">
        <v>4248</v>
      </c>
      <c r="E199" s="831" t="str">
        <f ca="1">E37</f>
        <v/>
      </c>
      <c r="F199" s="825"/>
      <c r="G199" s="831" t="str">
        <f ca="1">G37</f>
        <v/>
      </c>
      <c r="H199" s="827">
        <f t="shared" ca="1" si="469"/>
        <v>0</v>
      </c>
      <c r="I199" s="827">
        <f t="shared" ca="1" si="469"/>
        <v>0</v>
      </c>
      <c r="J199" s="827">
        <f t="shared" ca="1" si="469"/>
        <v>0</v>
      </c>
      <c r="K199" s="827">
        <f t="shared" ca="1" si="469"/>
        <v>0</v>
      </c>
      <c r="L199" s="828">
        <f t="shared" ca="1" si="470"/>
        <v>0</v>
      </c>
      <c r="M199" s="828">
        <f t="shared" ca="1" si="470"/>
        <v>0</v>
      </c>
      <c r="N199" s="828">
        <f t="shared" ca="1" si="470"/>
        <v>0</v>
      </c>
      <c r="O199" s="828">
        <f t="shared" ca="1" si="470"/>
        <v>0</v>
      </c>
      <c r="P199" s="828">
        <f ca="1">SUM(SUMIFS(OFFSET(貼付け_2024実績,$A199,10,1,199),OFFSET(貼付け_2024実績,4,9,1,199),{"横浜*","川崎*"}))</f>
        <v>0</v>
      </c>
      <c r="Q199" s="828">
        <f ca="1">SUM(SUMIFS(OFFSET(貼付け_2025実績,$A199,10,1,199),OFFSET(貼付け_2025実績,4,9,1,199),{"横浜*","川崎*"}))</f>
        <v>0</v>
      </c>
      <c r="R199" s="828">
        <f ca="1">SUM(SUMIFS(OFFSET(貼付け_2026実績,$A199,10,1,199),OFFSET(貼付け_2026実績,4,9,1,199),{"横浜*","川崎*"}))</f>
        <v>0</v>
      </c>
      <c r="S199" s="828">
        <f ca="1">SUM(SUMIFS(OFFSET(貼付け_2027実績,$A199,10,1,199),OFFSET(貼付け_2027実績,4,9,1,199),{"横浜*","川崎*"}))</f>
        <v>0</v>
      </c>
      <c r="T199" s="828">
        <f t="shared" ca="1" si="471"/>
        <v>0</v>
      </c>
      <c r="U199" s="828">
        <f t="shared" ca="1" si="471"/>
        <v>0</v>
      </c>
      <c r="V199" s="828">
        <f t="shared" ca="1" si="471"/>
        <v>0</v>
      </c>
      <c r="W199" s="828">
        <f t="shared" ca="1" si="471"/>
        <v>0</v>
      </c>
      <c r="X199" s="828">
        <f t="shared" ca="1" si="425"/>
        <v>0</v>
      </c>
      <c r="Y199" s="828">
        <f t="shared" ca="1" si="426"/>
        <v>0</v>
      </c>
      <c r="Z199" s="828">
        <f t="shared" ca="1" si="427"/>
        <v>0</v>
      </c>
      <c r="AA199" s="828">
        <f t="shared" ca="1" si="428"/>
        <v>0</v>
      </c>
      <c r="AB199" s="828" t="str">
        <f t="shared" ca="1" si="429"/>
        <v/>
      </c>
      <c r="AC199" s="828" t="str">
        <f t="shared" ca="1" si="430"/>
        <v/>
      </c>
      <c r="AD199" s="828" t="str">
        <f t="shared" ca="1" si="431"/>
        <v/>
      </c>
      <c r="AE199" s="828" t="str">
        <f t="shared" ca="1" si="432"/>
        <v/>
      </c>
      <c r="AF199" s="828" t="str">
        <f t="shared" ca="1" si="433"/>
        <v/>
      </c>
      <c r="AG199" s="828" t="str">
        <f t="shared" ca="1" si="434"/>
        <v/>
      </c>
      <c r="AH199" s="828" t="str">
        <f t="shared" ca="1" si="435"/>
        <v/>
      </c>
      <c r="AI199" s="828" t="str">
        <f t="shared" ca="1" si="436"/>
        <v/>
      </c>
      <c r="AJ199" s="828" t="str">
        <f t="shared" ca="1" si="437"/>
        <v/>
      </c>
      <c r="AK199" s="828" t="str">
        <f t="shared" ca="1" si="438"/>
        <v/>
      </c>
      <c r="AL199" s="828" t="str">
        <f t="shared" ca="1" si="439"/>
        <v/>
      </c>
      <c r="AM199" s="828" t="str">
        <f t="shared" ca="1" si="440"/>
        <v/>
      </c>
      <c r="AN199" s="828" t="str">
        <f t="shared" ca="1" si="441"/>
        <v/>
      </c>
      <c r="AO199" s="828" t="str">
        <f t="shared" ca="1" si="442"/>
        <v/>
      </c>
      <c r="AP199" s="828" t="str">
        <f t="shared" ca="1" si="443"/>
        <v/>
      </c>
      <c r="AQ199" s="828" t="str">
        <f t="shared" ca="1" si="444"/>
        <v/>
      </c>
      <c r="AR199" s="828" t="str">
        <f t="shared" ca="1" si="445"/>
        <v/>
      </c>
      <c r="AS199" s="828" t="str">
        <f t="shared" ca="1" si="446"/>
        <v/>
      </c>
      <c r="AT199" s="828" t="str">
        <f t="shared" ca="1" si="447"/>
        <v/>
      </c>
      <c r="AU199" s="828" t="str">
        <f t="shared" ca="1" si="448"/>
        <v/>
      </c>
      <c r="AV199" s="828" t="str">
        <f t="shared" ca="1" si="449"/>
        <v/>
      </c>
      <c r="AW199" s="828" t="str">
        <f t="shared" ca="1" si="450"/>
        <v/>
      </c>
      <c r="AX199" s="828" t="str">
        <f t="shared" ca="1" si="451"/>
        <v/>
      </c>
      <c r="AY199" s="828" t="str">
        <f t="shared" ca="1" si="452"/>
        <v/>
      </c>
      <c r="AZ199" s="828" t="str">
        <f t="shared" ca="1" si="453"/>
        <v/>
      </c>
      <c r="BA199" s="828" t="str">
        <f t="shared" ca="1" si="454"/>
        <v/>
      </c>
      <c r="BB199" s="828" t="str">
        <f t="shared" ca="1" si="455"/>
        <v/>
      </c>
      <c r="BC199" s="828" t="str">
        <f t="shared" ca="1" si="456"/>
        <v/>
      </c>
      <c r="BD199" s="828" t="str">
        <f t="shared" ca="1" si="457"/>
        <v/>
      </c>
      <c r="BE199" s="828" t="str">
        <f t="shared" ca="1" si="458"/>
        <v/>
      </c>
      <c r="BF199" s="828" t="str">
        <f t="shared" ca="1" si="459"/>
        <v/>
      </c>
      <c r="BG199" s="828" t="str">
        <f t="shared" ca="1" si="460"/>
        <v/>
      </c>
      <c r="BH199" s="828" t="str">
        <f t="shared" ca="1" si="461"/>
        <v/>
      </c>
      <c r="BI199" s="828" t="str">
        <f t="shared" ca="1" si="462"/>
        <v/>
      </c>
      <c r="BJ199" s="828" t="str">
        <f t="shared" ca="1" si="463"/>
        <v/>
      </c>
      <c r="BK199" s="828" t="str">
        <f t="shared" ca="1" si="464"/>
        <v/>
      </c>
      <c r="BL199" s="828" t="str">
        <f t="shared" ca="1" si="465"/>
        <v/>
      </c>
      <c r="BM199" s="828" t="str">
        <f t="shared" ca="1" si="466"/>
        <v/>
      </c>
      <c r="BN199" s="828" t="str">
        <f t="shared" ca="1" si="467"/>
        <v/>
      </c>
      <c r="BO199" s="828" t="str">
        <f t="shared" ca="1" si="468"/>
        <v/>
      </c>
    </row>
    <row r="200" spans="1:67" ht="20.100000000000001" customHeight="1">
      <c r="A200" s="823">
        <v>37</v>
      </c>
      <c r="B200" s="1870"/>
      <c r="C200" s="1872" t="s">
        <v>4406</v>
      </c>
      <c r="D200" s="832" t="s">
        <v>4407</v>
      </c>
      <c r="E200" s="824"/>
      <c r="F200" s="825"/>
      <c r="G200" s="826" t="s">
        <v>3777</v>
      </c>
      <c r="H200" s="827">
        <f t="shared" ca="1" si="469"/>
        <v>13.6</v>
      </c>
      <c r="I200" s="827">
        <f t="shared" ca="1" si="469"/>
        <v>13.6</v>
      </c>
      <c r="J200" s="827">
        <f t="shared" ca="1" si="469"/>
        <v>13.6</v>
      </c>
      <c r="K200" s="827">
        <f t="shared" ca="1" si="469"/>
        <v>13.6</v>
      </c>
      <c r="L200" s="828">
        <f t="shared" ca="1" si="470"/>
        <v>0</v>
      </c>
      <c r="M200" s="828">
        <f t="shared" ca="1" si="470"/>
        <v>0</v>
      </c>
      <c r="N200" s="828">
        <f t="shared" ca="1" si="470"/>
        <v>0</v>
      </c>
      <c r="O200" s="828">
        <f t="shared" ca="1" si="470"/>
        <v>0</v>
      </c>
      <c r="P200" s="828">
        <f ca="1">SUM(SUMIFS(OFFSET(貼付け_2024実績,$A200,10,1,199),OFFSET(貼付け_2024実績,4,9,1,199),{"横浜*","川崎*"}))</f>
        <v>0</v>
      </c>
      <c r="Q200" s="828">
        <f ca="1">SUM(SUMIFS(OFFSET(貼付け_2025実績,$A200,10,1,199),OFFSET(貼付け_2025実績,4,9,1,199),{"横浜*","川崎*"}))</f>
        <v>0</v>
      </c>
      <c r="R200" s="828">
        <f ca="1">SUM(SUMIFS(OFFSET(貼付け_2026実績,$A200,10,1,199),OFFSET(貼付け_2026実績,4,9,1,199),{"横浜*","川崎*"}))</f>
        <v>0</v>
      </c>
      <c r="S200" s="828">
        <f ca="1">SUM(SUMIFS(OFFSET(貼付け_2027実績,$A200,10,1,199),OFFSET(貼付け_2027実績,4,9,1,199),{"横浜*","川崎*"}))</f>
        <v>0</v>
      </c>
      <c r="T200" s="828">
        <f t="shared" ca="1" si="471"/>
        <v>0</v>
      </c>
      <c r="U200" s="828">
        <f t="shared" ca="1" si="471"/>
        <v>0</v>
      </c>
      <c r="V200" s="828">
        <f t="shared" ca="1" si="471"/>
        <v>0</v>
      </c>
      <c r="W200" s="828">
        <f t="shared" ca="1" si="471"/>
        <v>0</v>
      </c>
      <c r="X200" s="828">
        <f t="shared" ca="1" si="425"/>
        <v>0</v>
      </c>
      <c r="Y200" s="828">
        <f t="shared" ca="1" si="426"/>
        <v>0</v>
      </c>
      <c r="Z200" s="828">
        <f t="shared" ca="1" si="427"/>
        <v>0</v>
      </c>
      <c r="AA200" s="828">
        <f t="shared" ca="1" si="428"/>
        <v>0</v>
      </c>
      <c r="AB200" s="828" t="str">
        <f t="shared" ca="1" si="429"/>
        <v/>
      </c>
      <c r="AC200" s="828" t="str">
        <f t="shared" ca="1" si="430"/>
        <v/>
      </c>
      <c r="AD200" s="828" t="str">
        <f t="shared" ca="1" si="431"/>
        <v/>
      </c>
      <c r="AE200" s="828" t="str">
        <f t="shared" ca="1" si="432"/>
        <v/>
      </c>
      <c r="AF200" s="828" t="str">
        <f t="shared" ca="1" si="433"/>
        <v/>
      </c>
      <c r="AG200" s="828" t="str">
        <f t="shared" ca="1" si="434"/>
        <v/>
      </c>
      <c r="AH200" s="828" t="str">
        <f t="shared" ca="1" si="435"/>
        <v/>
      </c>
      <c r="AI200" s="828" t="str">
        <f t="shared" ca="1" si="436"/>
        <v/>
      </c>
      <c r="AJ200" s="828" t="str">
        <f t="shared" ca="1" si="437"/>
        <v/>
      </c>
      <c r="AK200" s="828" t="str">
        <f t="shared" ca="1" si="438"/>
        <v/>
      </c>
      <c r="AL200" s="828" t="str">
        <f t="shared" ca="1" si="439"/>
        <v/>
      </c>
      <c r="AM200" s="828" t="str">
        <f t="shared" ca="1" si="440"/>
        <v/>
      </c>
      <c r="AN200" s="828" t="str">
        <f t="shared" ca="1" si="441"/>
        <v/>
      </c>
      <c r="AO200" s="828" t="str">
        <f t="shared" ca="1" si="442"/>
        <v/>
      </c>
      <c r="AP200" s="828" t="str">
        <f t="shared" ca="1" si="443"/>
        <v/>
      </c>
      <c r="AQ200" s="828" t="str">
        <f t="shared" ca="1" si="444"/>
        <v/>
      </c>
      <c r="AR200" s="828" t="str">
        <f t="shared" ca="1" si="445"/>
        <v/>
      </c>
      <c r="AS200" s="828" t="str">
        <f t="shared" ca="1" si="446"/>
        <v/>
      </c>
      <c r="AT200" s="828" t="str">
        <f t="shared" ca="1" si="447"/>
        <v/>
      </c>
      <c r="AU200" s="828" t="str">
        <f t="shared" ca="1" si="448"/>
        <v/>
      </c>
      <c r="AV200" s="828" t="str">
        <f t="shared" ca="1" si="449"/>
        <v/>
      </c>
      <c r="AW200" s="828" t="str">
        <f t="shared" ca="1" si="450"/>
        <v/>
      </c>
      <c r="AX200" s="828" t="str">
        <f t="shared" ca="1" si="451"/>
        <v/>
      </c>
      <c r="AY200" s="828" t="str">
        <f t="shared" ca="1" si="452"/>
        <v/>
      </c>
      <c r="AZ200" s="828" t="str">
        <f t="shared" ca="1" si="453"/>
        <v/>
      </c>
      <c r="BA200" s="828" t="str">
        <f t="shared" ca="1" si="454"/>
        <v/>
      </c>
      <c r="BB200" s="828" t="str">
        <f t="shared" ca="1" si="455"/>
        <v/>
      </c>
      <c r="BC200" s="828" t="str">
        <f t="shared" ca="1" si="456"/>
        <v/>
      </c>
      <c r="BD200" s="828" t="str">
        <f t="shared" ca="1" si="457"/>
        <v/>
      </c>
      <c r="BE200" s="828" t="str">
        <f t="shared" ca="1" si="458"/>
        <v/>
      </c>
      <c r="BF200" s="828" t="str">
        <f t="shared" ca="1" si="459"/>
        <v/>
      </c>
      <c r="BG200" s="828" t="str">
        <f t="shared" ca="1" si="460"/>
        <v/>
      </c>
      <c r="BH200" s="828" t="str">
        <f t="shared" ca="1" si="461"/>
        <v/>
      </c>
      <c r="BI200" s="828" t="str">
        <f t="shared" ca="1" si="462"/>
        <v/>
      </c>
      <c r="BJ200" s="828" t="str">
        <f t="shared" ca="1" si="463"/>
        <v/>
      </c>
      <c r="BK200" s="828" t="str">
        <f t="shared" ca="1" si="464"/>
        <v/>
      </c>
      <c r="BL200" s="828" t="str">
        <f t="shared" ca="1" si="465"/>
        <v/>
      </c>
      <c r="BM200" s="828" t="str">
        <f t="shared" ca="1" si="466"/>
        <v/>
      </c>
      <c r="BN200" s="828" t="str">
        <f t="shared" ca="1" si="467"/>
        <v/>
      </c>
      <c r="BO200" s="828" t="str">
        <f t="shared" ca="1" si="468"/>
        <v/>
      </c>
    </row>
    <row r="201" spans="1:67" ht="20.100000000000001" customHeight="1">
      <c r="A201" s="823">
        <v>38</v>
      </c>
      <c r="B201" s="1870"/>
      <c r="C201" s="1872"/>
      <c r="D201" s="832" t="s">
        <v>4408</v>
      </c>
      <c r="E201" s="824"/>
      <c r="F201" s="825"/>
      <c r="G201" s="826" t="s">
        <v>3777</v>
      </c>
      <c r="H201" s="827">
        <f t="shared" ca="1" si="469"/>
        <v>13.2</v>
      </c>
      <c r="I201" s="827">
        <f t="shared" ca="1" si="469"/>
        <v>13.2</v>
      </c>
      <c r="J201" s="827">
        <f t="shared" ca="1" si="469"/>
        <v>13.2</v>
      </c>
      <c r="K201" s="827">
        <f t="shared" ca="1" si="469"/>
        <v>13.2</v>
      </c>
      <c r="L201" s="828">
        <f t="shared" ca="1" si="470"/>
        <v>0</v>
      </c>
      <c r="M201" s="828">
        <f t="shared" ca="1" si="470"/>
        <v>0</v>
      </c>
      <c r="N201" s="828">
        <f t="shared" ca="1" si="470"/>
        <v>0</v>
      </c>
      <c r="O201" s="828">
        <f t="shared" ca="1" si="470"/>
        <v>0</v>
      </c>
      <c r="P201" s="828">
        <f ca="1">SUM(SUMIFS(OFFSET(貼付け_2024実績,$A201,10,1,199),OFFSET(貼付け_2024実績,4,9,1,199),{"横浜*","川崎*"}))</f>
        <v>0</v>
      </c>
      <c r="Q201" s="828">
        <f ca="1">SUM(SUMIFS(OFFSET(貼付け_2025実績,$A201,10,1,199),OFFSET(貼付け_2025実績,4,9,1,199),{"横浜*","川崎*"}))</f>
        <v>0</v>
      </c>
      <c r="R201" s="828">
        <f ca="1">SUM(SUMIFS(OFFSET(貼付け_2026実績,$A201,10,1,199),OFFSET(貼付け_2026実績,4,9,1,199),{"横浜*","川崎*"}))</f>
        <v>0</v>
      </c>
      <c r="S201" s="828">
        <f ca="1">SUM(SUMIFS(OFFSET(貼付け_2027実績,$A201,10,1,199),OFFSET(貼付け_2027実績,4,9,1,199),{"横浜*","川崎*"}))</f>
        <v>0</v>
      </c>
      <c r="T201" s="828">
        <f t="shared" ca="1" si="471"/>
        <v>0</v>
      </c>
      <c r="U201" s="828">
        <f t="shared" ca="1" si="471"/>
        <v>0</v>
      </c>
      <c r="V201" s="828">
        <f t="shared" ca="1" si="471"/>
        <v>0</v>
      </c>
      <c r="W201" s="828">
        <f t="shared" ca="1" si="471"/>
        <v>0</v>
      </c>
      <c r="X201" s="828">
        <f t="shared" ca="1" si="425"/>
        <v>0</v>
      </c>
      <c r="Y201" s="828">
        <f t="shared" ca="1" si="426"/>
        <v>0</v>
      </c>
      <c r="Z201" s="828">
        <f t="shared" ca="1" si="427"/>
        <v>0</v>
      </c>
      <c r="AA201" s="828">
        <f t="shared" ca="1" si="428"/>
        <v>0</v>
      </c>
      <c r="AB201" s="828" t="str">
        <f t="shared" ca="1" si="429"/>
        <v/>
      </c>
      <c r="AC201" s="828" t="str">
        <f t="shared" ca="1" si="430"/>
        <v/>
      </c>
      <c r="AD201" s="828" t="str">
        <f t="shared" ca="1" si="431"/>
        <v/>
      </c>
      <c r="AE201" s="828" t="str">
        <f t="shared" ca="1" si="432"/>
        <v/>
      </c>
      <c r="AF201" s="828" t="str">
        <f t="shared" ca="1" si="433"/>
        <v/>
      </c>
      <c r="AG201" s="828" t="str">
        <f t="shared" ca="1" si="434"/>
        <v/>
      </c>
      <c r="AH201" s="828" t="str">
        <f t="shared" ca="1" si="435"/>
        <v/>
      </c>
      <c r="AI201" s="828" t="str">
        <f t="shared" ca="1" si="436"/>
        <v/>
      </c>
      <c r="AJ201" s="828" t="str">
        <f t="shared" ca="1" si="437"/>
        <v/>
      </c>
      <c r="AK201" s="828" t="str">
        <f t="shared" ca="1" si="438"/>
        <v/>
      </c>
      <c r="AL201" s="828" t="str">
        <f t="shared" ca="1" si="439"/>
        <v/>
      </c>
      <c r="AM201" s="828" t="str">
        <f t="shared" ca="1" si="440"/>
        <v/>
      </c>
      <c r="AN201" s="828" t="str">
        <f t="shared" ca="1" si="441"/>
        <v/>
      </c>
      <c r="AO201" s="828" t="str">
        <f t="shared" ca="1" si="442"/>
        <v/>
      </c>
      <c r="AP201" s="828" t="str">
        <f t="shared" ca="1" si="443"/>
        <v/>
      </c>
      <c r="AQ201" s="828" t="str">
        <f t="shared" ca="1" si="444"/>
        <v/>
      </c>
      <c r="AR201" s="828" t="str">
        <f t="shared" ca="1" si="445"/>
        <v/>
      </c>
      <c r="AS201" s="828" t="str">
        <f t="shared" ca="1" si="446"/>
        <v/>
      </c>
      <c r="AT201" s="828" t="str">
        <f t="shared" ca="1" si="447"/>
        <v/>
      </c>
      <c r="AU201" s="828" t="str">
        <f t="shared" ca="1" si="448"/>
        <v/>
      </c>
      <c r="AV201" s="828" t="str">
        <f t="shared" ca="1" si="449"/>
        <v/>
      </c>
      <c r="AW201" s="828" t="str">
        <f t="shared" ca="1" si="450"/>
        <v/>
      </c>
      <c r="AX201" s="828" t="str">
        <f t="shared" ca="1" si="451"/>
        <v/>
      </c>
      <c r="AY201" s="828" t="str">
        <f t="shared" ca="1" si="452"/>
        <v/>
      </c>
      <c r="AZ201" s="828" t="str">
        <f t="shared" ca="1" si="453"/>
        <v/>
      </c>
      <c r="BA201" s="828" t="str">
        <f t="shared" ca="1" si="454"/>
        <v/>
      </c>
      <c r="BB201" s="828" t="str">
        <f t="shared" ca="1" si="455"/>
        <v/>
      </c>
      <c r="BC201" s="828" t="str">
        <f t="shared" ca="1" si="456"/>
        <v/>
      </c>
      <c r="BD201" s="828" t="str">
        <f t="shared" ca="1" si="457"/>
        <v/>
      </c>
      <c r="BE201" s="828" t="str">
        <f t="shared" ca="1" si="458"/>
        <v/>
      </c>
      <c r="BF201" s="828" t="str">
        <f t="shared" ca="1" si="459"/>
        <v/>
      </c>
      <c r="BG201" s="828" t="str">
        <f t="shared" ca="1" si="460"/>
        <v/>
      </c>
      <c r="BH201" s="828" t="str">
        <f t="shared" ca="1" si="461"/>
        <v/>
      </c>
      <c r="BI201" s="828" t="str">
        <f t="shared" ca="1" si="462"/>
        <v/>
      </c>
      <c r="BJ201" s="828" t="str">
        <f t="shared" ca="1" si="463"/>
        <v/>
      </c>
      <c r="BK201" s="828" t="str">
        <f t="shared" ca="1" si="464"/>
        <v/>
      </c>
      <c r="BL201" s="828" t="str">
        <f t="shared" ca="1" si="465"/>
        <v/>
      </c>
      <c r="BM201" s="828" t="str">
        <f t="shared" ca="1" si="466"/>
        <v/>
      </c>
      <c r="BN201" s="828" t="str">
        <f t="shared" ca="1" si="467"/>
        <v/>
      </c>
      <c r="BO201" s="828" t="str">
        <f t="shared" ca="1" si="468"/>
        <v/>
      </c>
    </row>
    <row r="202" spans="1:67" ht="20.100000000000001" customHeight="1">
      <c r="A202" s="823">
        <v>39</v>
      </c>
      <c r="B202" s="1870"/>
      <c r="C202" s="1872"/>
      <c r="D202" s="832" t="s">
        <v>4409</v>
      </c>
      <c r="E202" s="818"/>
      <c r="F202" s="825"/>
      <c r="G202" s="826" t="s">
        <v>3777</v>
      </c>
      <c r="H202" s="827">
        <f t="shared" ca="1" si="469"/>
        <v>17.100000000000001</v>
      </c>
      <c r="I202" s="827">
        <f t="shared" ca="1" si="469"/>
        <v>17.100000000000001</v>
      </c>
      <c r="J202" s="827">
        <f t="shared" ca="1" si="469"/>
        <v>17.100000000000001</v>
      </c>
      <c r="K202" s="827">
        <f t="shared" ca="1" si="469"/>
        <v>17.100000000000001</v>
      </c>
      <c r="L202" s="828">
        <f t="shared" ca="1" si="470"/>
        <v>0</v>
      </c>
      <c r="M202" s="828">
        <f t="shared" ca="1" si="470"/>
        <v>0</v>
      </c>
      <c r="N202" s="828">
        <f t="shared" ca="1" si="470"/>
        <v>0</v>
      </c>
      <c r="O202" s="828">
        <f t="shared" ca="1" si="470"/>
        <v>0</v>
      </c>
      <c r="P202" s="828">
        <f ca="1">SUM(SUMIFS(OFFSET(貼付け_2024実績,$A202,10,1,199),OFFSET(貼付け_2024実績,4,9,1,199),{"横浜*","川崎*"}))</f>
        <v>0</v>
      </c>
      <c r="Q202" s="828">
        <f ca="1">SUM(SUMIFS(OFFSET(貼付け_2025実績,$A202,10,1,199),OFFSET(貼付け_2025実績,4,9,1,199),{"横浜*","川崎*"}))</f>
        <v>0</v>
      </c>
      <c r="R202" s="828">
        <f ca="1">SUM(SUMIFS(OFFSET(貼付け_2026実績,$A202,10,1,199),OFFSET(貼付け_2026実績,4,9,1,199),{"横浜*","川崎*"}))</f>
        <v>0</v>
      </c>
      <c r="S202" s="828">
        <f ca="1">SUM(SUMIFS(OFFSET(貼付け_2027実績,$A202,10,1,199),OFFSET(貼付け_2027実績,4,9,1,199),{"横浜*","川崎*"}))</f>
        <v>0</v>
      </c>
      <c r="T202" s="828">
        <f t="shared" ca="1" si="471"/>
        <v>0</v>
      </c>
      <c r="U202" s="828">
        <f t="shared" ca="1" si="471"/>
        <v>0</v>
      </c>
      <c r="V202" s="828">
        <f t="shared" ca="1" si="471"/>
        <v>0</v>
      </c>
      <c r="W202" s="828">
        <f t="shared" ca="1" si="471"/>
        <v>0</v>
      </c>
      <c r="X202" s="828">
        <f t="shared" ca="1" si="425"/>
        <v>0</v>
      </c>
      <c r="Y202" s="828">
        <f t="shared" ca="1" si="426"/>
        <v>0</v>
      </c>
      <c r="Z202" s="828">
        <f t="shared" ca="1" si="427"/>
        <v>0</v>
      </c>
      <c r="AA202" s="828">
        <f t="shared" ca="1" si="428"/>
        <v>0</v>
      </c>
      <c r="AB202" s="828" t="str">
        <f t="shared" ca="1" si="429"/>
        <v/>
      </c>
      <c r="AC202" s="828" t="str">
        <f t="shared" ca="1" si="430"/>
        <v/>
      </c>
      <c r="AD202" s="828" t="str">
        <f t="shared" ca="1" si="431"/>
        <v/>
      </c>
      <c r="AE202" s="828" t="str">
        <f t="shared" ca="1" si="432"/>
        <v/>
      </c>
      <c r="AF202" s="828" t="str">
        <f t="shared" ca="1" si="433"/>
        <v/>
      </c>
      <c r="AG202" s="828" t="str">
        <f t="shared" ca="1" si="434"/>
        <v/>
      </c>
      <c r="AH202" s="828" t="str">
        <f t="shared" ca="1" si="435"/>
        <v/>
      </c>
      <c r="AI202" s="828" t="str">
        <f t="shared" ca="1" si="436"/>
        <v/>
      </c>
      <c r="AJ202" s="828" t="str">
        <f t="shared" ca="1" si="437"/>
        <v/>
      </c>
      <c r="AK202" s="828" t="str">
        <f t="shared" ca="1" si="438"/>
        <v/>
      </c>
      <c r="AL202" s="828" t="str">
        <f t="shared" ca="1" si="439"/>
        <v/>
      </c>
      <c r="AM202" s="828" t="str">
        <f t="shared" ca="1" si="440"/>
        <v/>
      </c>
      <c r="AN202" s="828" t="str">
        <f t="shared" ca="1" si="441"/>
        <v/>
      </c>
      <c r="AO202" s="828" t="str">
        <f t="shared" ca="1" si="442"/>
        <v/>
      </c>
      <c r="AP202" s="828" t="str">
        <f t="shared" ca="1" si="443"/>
        <v/>
      </c>
      <c r="AQ202" s="828" t="str">
        <f t="shared" ca="1" si="444"/>
        <v/>
      </c>
      <c r="AR202" s="828" t="str">
        <f t="shared" ca="1" si="445"/>
        <v/>
      </c>
      <c r="AS202" s="828" t="str">
        <f t="shared" ca="1" si="446"/>
        <v/>
      </c>
      <c r="AT202" s="828" t="str">
        <f t="shared" ca="1" si="447"/>
        <v/>
      </c>
      <c r="AU202" s="828" t="str">
        <f t="shared" ca="1" si="448"/>
        <v/>
      </c>
      <c r="AV202" s="828" t="str">
        <f t="shared" ca="1" si="449"/>
        <v/>
      </c>
      <c r="AW202" s="828" t="str">
        <f t="shared" ca="1" si="450"/>
        <v/>
      </c>
      <c r="AX202" s="828" t="str">
        <f t="shared" ca="1" si="451"/>
        <v/>
      </c>
      <c r="AY202" s="828" t="str">
        <f t="shared" ca="1" si="452"/>
        <v/>
      </c>
      <c r="AZ202" s="828" t="str">
        <f t="shared" ca="1" si="453"/>
        <v/>
      </c>
      <c r="BA202" s="828" t="str">
        <f t="shared" ca="1" si="454"/>
        <v/>
      </c>
      <c r="BB202" s="828" t="str">
        <f t="shared" ca="1" si="455"/>
        <v/>
      </c>
      <c r="BC202" s="828" t="str">
        <f t="shared" ca="1" si="456"/>
        <v/>
      </c>
      <c r="BD202" s="828" t="str">
        <f t="shared" ca="1" si="457"/>
        <v/>
      </c>
      <c r="BE202" s="828" t="str">
        <f t="shared" ca="1" si="458"/>
        <v/>
      </c>
      <c r="BF202" s="828" t="str">
        <f t="shared" ca="1" si="459"/>
        <v/>
      </c>
      <c r="BG202" s="828" t="str">
        <f t="shared" ca="1" si="460"/>
        <v/>
      </c>
      <c r="BH202" s="828" t="str">
        <f t="shared" ca="1" si="461"/>
        <v/>
      </c>
      <c r="BI202" s="828" t="str">
        <f t="shared" ca="1" si="462"/>
        <v/>
      </c>
      <c r="BJ202" s="828" t="str">
        <f t="shared" ca="1" si="463"/>
        <v/>
      </c>
      <c r="BK202" s="828" t="str">
        <f t="shared" ca="1" si="464"/>
        <v/>
      </c>
      <c r="BL202" s="828" t="str">
        <f t="shared" ca="1" si="465"/>
        <v/>
      </c>
      <c r="BM202" s="828" t="str">
        <f t="shared" ca="1" si="466"/>
        <v/>
      </c>
      <c r="BN202" s="828" t="str">
        <f t="shared" ca="1" si="467"/>
        <v/>
      </c>
      <c r="BO202" s="828" t="str">
        <f t="shared" ca="1" si="468"/>
        <v/>
      </c>
    </row>
    <row r="203" spans="1:67" ht="20.100000000000001" customHeight="1">
      <c r="A203" s="823">
        <v>40</v>
      </c>
      <c r="B203" s="1870"/>
      <c r="C203" s="1872"/>
      <c r="D203" s="824" t="s">
        <v>4179</v>
      </c>
      <c r="E203" s="824"/>
      <c r="F203" s="825"/>
      <c r="G203" s="826" t="s">
        <v>4144</v>
      </c>
      <c r="H203" s="827">
        <f t="shared" ref="H203:K218" ca="1" si="472">H41</f>
        <v>23.4</v>
      </c>
      <c r="I203" s="827">
        <f t="shared" ca="1" si="472"/>
        <v>23.4</v>
      </c>
      <c r="J203" s="827">
        <f t="shared" ca="1" si="472"/>
        <v>23.4</v>
      </c>
      <c r="K203" s="827">
        <f t="shared" ca="1" si="472"/>
        <v>23.4</v>
      </c>
      <c r="L203" s="828">
        <f t="shared" ca="1" si="470"/>
        <v>0</v>
      </c>
      <c r="M203" s="828">
        <f t="shared" ca="1" si="470"/>
        <v>0</v>
      </c>
      <c r="N203" s="828">
        <f t="shared" ca="1" si="470"/>
        <v>0</v>
      </c>
      <c r="O203" s="828">
        <f t="shared" ca="1" si="470"/>
        <v>0</v>
      </c>
      <c r="P203" s="828">
        <f ca="1">SUM(SUMIFS(OFFSET(貼付け_2024実績,$A203,10,1,199),OFFSET(貼付け_2024実績,4,9,1,199),{"横浜*","川崎*"}))</f>
        <v>0</v>
      </c>
      <c r="Q203" s="828">
        <f ca="1">SUM(SUMIFS(OFFSET(貼付け_2025実績,$A203,10,1,199),OFFSET(貼付け_2025実績,4,9,1,199),{"横浜*","川崎*"}))</f>
        <v>0</v>
      </c>
      <c r="R203" s="828">
        <f ca="1">SUM(SUMIFS(OFFSET(貼付け_2026実績,$A203,10,1,199),OFFSET(貼付け_2026実績,4,9,1,199),{"横浜*","川崎*"}))</f>
        <v>0</v>
      </c>
      <c r="S203" s="828">
        <f ca="1">SUM(SUMIFS(OFFSET(貼付け_2027実績,$A203,10,1,199),OFFSET(貼付け_2027実績,4,9,1,199),{"横浜*","川崎*"}))</f>
        <v>0</v>
      </c>
      <c r="T203" s="828">
        <f t="shared" ca="1" si="471"/>
        <v>0</v>
      </c>
      <c r="U203" s="828">
        <f t="shared" ca="1" si="471"/>
        <v>0</v>
      </c>
      <c r="V203" s="828">
        <f t="shared" ca="1" si="471"/>
        <v>0</v>
      </c>
      <c r="W203" s="828">
        <f t="shared" ca="1" si="471"/>
        <v>0</v>
      </c>
      <c r="X203" s="828">
        <f t="shared" ca="1" si="425"/>
        <v>0</v>
      </c>
      <c r="Y203" s="828">
        <f t="shared" ca="1" si="426"/>
        <v>0</v>
      </c>
      <c r="Z203" s="828">
        <f t="shared" ca="1" si="427"/>
        <v>0</v>
      </c>
      <c r="AA203" s="828">
        <f t="shared" ca="1" si="428"/>
        <v>0</v>
      </c>
      <c r="AB203" s="828" t="str">
        <f t="shared" ca="1" si="429"/>
        <v/>
      </c>
      <c r="AC203" s="828" t="str">
        <f t="shared" ca="1" si="430"/>
        <v/>
      </c>
      <c r="AD203" s="828" t="str">
        <f t="shared" ca="1" si="431"/>
        <v/>
      </c>
      <c r="AE203" s="828" t="str">
        <f t="shared" ca="1" si="432"/>
        <v/>
      </c>
      <c r="AF203" s="828" t="str">
        <f t="shared" ca="1" si="433"/>
        <v/>
      </c>
      <c r="AG203" s="828" t="str">
        <f t="shared" ca="1" si="434"/>
        <v/>
      </c>
      <c r="AH203" s="828" t="str">
        <f t="shared" ca="1" si="435"/>
        <v/>
      </c>
      <c r="AI203" s="828" t="str">
        <f t="shared" ca="1" si="436"/>
        <v/>
      </c>
      <c r="AJ203" s="828" t="str">
        <f t="shared" ca="1" si="437"/>
        <v/>
      </c>
      <c r="AK203" s="828" t="str">
        <f t="shared" ca="1" si="438"/>
        <v/>
      </c>
      <c r="AL203" s="828" t="str">
        <f t="shared" ca="1" si="439"/>
        <v/>
      </c>
      <c r="AM203" s="828" t="str">
        <f t="shared" ca="1" si="440"/>
        <v/>
      </c>
      <c r="AN203" s="828" t="str">
        <f t="shared" ca="1" si="441"/>
        <v/>
      </c>
      <c r="AO203" s="828" t="str">
        <f t="shared" ca="1" si="442"/>
        <v/>
      </c>
      <c r="AP203" s="828" t="str">
        <f t="shared" ca="1" si="443"/>
        <v/>
      </c>
      <c r="AQ203" s="828" t="str">
        <f t="shared" ca="1" si="444"/>
        <v/>
      </c>
      <c r="AR203" s="828" t="str">
        <f t="shared" ca="1" si="445"/>
        <v/>
      </c>
      <c r="AS203" s="828" t="str">
        <f t="shared" ca="1" si="446"/>
        <v/>
      </c>
      <c r="AT203" s="828" t="str">
        <f t="shared" ca="1" si="447"/>
        <v/>
      </c>
      <c r="AU203" s="828" t="str">
        <f t="shared" ca="1" si="448"/>
        <v/>
      </c>
      <c r="AV203" s="828" t="str">
        <f t="shared" ca="1" si="449"/>
        <v/>
      </c>
      <c r="AW203" s="828" t="str">
        <f t="shared" ca="1" si="450"/>
        <v/>
      </c>
      <c r="AX203" s="828" t="str">
        <f t="shared" ca="1" si="451"/>
        <v/>
      </c>
      <c r="AY203" s="828" t="str">
        <f t="shared" ca="1" si="452"/>
        <v/>
      </c>
      <c r="AZ203" s="828" t="str">
        <f t="shared" ca="1" si="453"/>
        <v/>
      </c>
      <c r="BA203" s="828" t="str">
        <f t="shared" ca="1" si="454"/>
        <v/>
      </c>
      <c r="BB203" s="828" t="str">
        <f t="shared" ca="1" si="455"/>
        <v/>
      </c>
      <c r="BC203" s="828" t="str">
        <f t="shared" ca="1" si="456"/>
        <v/>
      </c>
      <c r="BD203" s="828" t="str">
        <f t="shared" ca="1" si="457"/>
        <v/>
      </c>
      <c r="BE203" s="828" t="str">
        <f t="shared" ca="1" si="458"/>
        <v/>
      </c>
      <c r="BF203" s="828" t="str">
        <f t="shared" ca="1" si="459"/>
        <v/>
      </c>
      <c r="BG203" s="828" t="str">
        <f t="shared" ca="1" si="460"/>
        <v/>
      </c>
      <c r="BH203" s="828" t="str">
        <f t="shared" ca="1" si="461"/>
        <v/>
      </c>
      <c r="BI203" s="828" t="str">
        <f t="shared" ca="1" si="462"/>
        <v/>
      </c>
      <c r="BJ203" s="828" t="str">
        <f t="shared" ca="1" si="463"/>
        <v/>
      </c>
      <c r="BK203" s="828" t="str">
        <f t="shared" ca="1" si="464"/>
        <v/>
      </c>
      <c r="BL203" s="828" t="str">
        <f t="shared" ca="1" si="465"/>
        <v/>
      </c>
      <c r="BM203" s="828" t="str">
        <f t="shared" ca="1" si="466"/>
        <v/>
      </c>
      <c r="BN203" s="828" t="str">
        <f t="shared" ca="1" si="467"/>
        <v/>
      </c>
      <c r="BO203" s="828" t="str">
        <f t="shared" ca="1" si="468"/>
        <v/>
      </c>
    </row>
    <row r="204" spans="1:67" ht="20.100000000000001" customHeight="1">
      <c r="A204" s="823">
        <v>41</v>
      </c>
      <c r="B204" s="1870"/>
      <c r="C204" s="1872"/>
      <c r="D204" s="824" t="s">
        <v>4180</v>
      </c>
      <c r="E204" s="824"/>
      <c r="F204" s="825"/>
      <c r="G204" s="826" t="s">
        <v>4144</v>
      </c>
      <c r="H204" s="827">
        <f t="shared" ca="1" si="472"/>
        <v>35.6</v>
      </c>
      <c r="I204" s="827">
        <f t="shared" ca="1" si="472"/>
        <v>35.6</v>
      </c>
      <c r="J204" s="827">
        <f t="shared" ca="1" si="472"/>
        <v>35.6</v>
      </c>
      <c r="K204" s="827">
        <f t="shared" ca="1" si="472"/>
        <v>35.6</v>
      </c>
      <c r="L204" s="828">
        <f t="shared" ca="1" si="470"/>
        <v>0</v>
      </c>
      <c r="M204" s="828">
        <f t="shared" ca="1" si="470"/>
        <v>0</v>
      </c>
      <c r="N204" s="828">
        <f t="shared" ca="1" si="470"/>
        <v>0</v>
      </c>
      <c r="O204" s="828">
        <f t="shared" ca="1" si="470"/>
        <v>0</v>
      </c>
      <c r="P204" s="828">
        <f ca="1">SUM(SUMIFS(OFFSET(貼付け_2024実績,$A204,10,1,199),OFFSET(貼付け_2024実績,4,9,1,199),{"横浜*","川崎*"}))</f>
        <v>0</v>
      </c>
      <c r="Q204" s="828">
        <f ca="1">SUM(SUMIFS(OFFSET(貼付け_2025実績,$A204,10,1,199),OFFSET(貼付け_2025実績,4,9,1,199),{"横浜*","川崎*"}))</f>
        <v>0</v>
      </c>
      <c r="R204" s="828">
        <f ca="1">SUM(SUMIFS(OFFSET(貼付け_2026実績,$A204,10,1,199),OFFSET(貼付け_2026実績,4,9,1,199),{"横浜*","川崎*"}))</f>
        <v>0</v>
      </c>
      <c r="S204" s="828">
        <f ca="1">SUM(SUMIFS(OFFSET(貼付け_2027実績,$A204,10,1,199),OFFSET(貼付け_2027実績,4,9,1,199),{"横浜*","川崎*"}))</f>
        <v>0</v>
      </c>
      <c r="T204" s="828">
        <f t="shared" ca="1" si="471"/>
        <v>0</v>
      </c>
      <c r="U204" s="828">
        <f t="shared" ca="1" si="471"/>
        <v>0</v>
      </c>
      <c r="V204" s="828">
        <f t="shared" ca="1" si="471"/>
        <v>0</v>
      </c>
      <c r="W204" s="828">
        <f t="shared" ca="1" si="471"/>
        <v>0</v>
      </c>
      <c r="X204" s="828">
        <f t="shared" ca="1" si="425"/>
        <v>0</v>
      </c>
      <c r="Y204" s="828">
        <f t="shared" ca="1" si="426"/>
        <v>0</v>
      </c>
      <c r="Z204" s="828">
        <f t="shared" ca="1" si="427"/>
        <v>0</v>
      </c>
      <c r="AA204" s="828">
        <f t="shared" ca="1" si="428"/>
        <v>0</v>
      </c>
      <c r="AB204" s="828" t="str">
        <f t="shared" ca="1" si="429"/>
        <v/>
      </c>
      <c r="AC204" s="828" t="str">
        <f t="shared" ca="1" si="430"/>
        <v/>
      </c>
      <c r="AD204" s="828" t="str">
        <f t="shared" ca="1" si="431"/>
        <v/>
      </c>
      <c r="AE204" s="828" t="str">
        <f t="shared" ca="1" si="432"/>
        <v/>
      </c>
      <c r="AF204" s="828" t="str">
        <f t="shared" ca="1" si="433"/>
        <v/>
      </c>
      <c r="AG204" s="828" t="str">
        <f t="shared" ca="1" si="434"/>
        <v/>
      </c>
      <c r="AH204" s="828" t="str">
        <f t="shared" ca="1" si="435"/>
        <v/>
      </c>
      <c r="AI204" s="828" t="str">
        <f t="shared" ca="1" si="436"/>
        <v/>
      </c>
      <c r="AJ204" s="828" t="str">
        <f t="shared" ca="1" si="437"/>
        <v/>
      </c>
      <c r="AK204" s="828" t="str">
        <f t="shared" ca="1" si="438"/>
        <v/>
      </c>
      <c r="AL204" s="828" t="str">
        <f t="shared" ca="1" si="439"/>
        <v/>
      </c>
      <c r="AM204" s="828" t="str">
        <f t="shared" ca="1" si="440"/>
        <v/>
      </c>
      <c r="AN204" s="828" t="str">
        <f t="shared" ca="1" si="441"/>
        <v/>
      </c>
      <c r="AO204" s="828" t="str">
        <f t="shared" ca="1" si="442"/>
        <v/>
      </c>
      <c r="AP204" s="828" t="str">
        <f t="shared" ca="1" si="443"/>
        <v/>
      </c>
      <c r="AQ204" s="828" t="str">
        <f t="shared" ca="1" si="444"/>
        <v/>
      </c>
      <c r="AR204" s="828" t="str">
        <f t="shared" ca="1" si="445"/>
        <v/>
      </c>
      <c r="AS204" s="828" t="str">
        <f t="shared" ca="1" si="446"/>
        <v/>
      </c>
      <c r="AT204" s="828" t="str">
        <f t="shared" ca="1" si="447"/>
        <v/>
      </c>
      <c r="AU204" s="828" t="str">
        <f t="shared" ca="1" si="448"/>
        <v/>
      </c>
      <c r="AV204" s="828" t="str">
        <f t="shared" ca="1" si="449"/>
        <v/>
      </c>
      <c r="AW204" s="828" t="str">
        <f t="shared" ca="1" si="450"/>
        <v/>
      </c>
      <c r="AX204" s="828" t="str">
        <f t="shared" ca="1" si="451"/>
        <v/>
      </c>
      <c r="AY204" s="828" t="str">
        <f t="shared" ca="1" si="452"/>
        <v/>
      </c>
      <c r="AZ204" s="828" t="str">
        <f t="shared" ca="1" si="453"/>
        <v/>
      </c>
      <c r="BA204" s="828" t="str">
        <f t="shared" ca="1" si="454"/>
        <v/>
      </c>
      <c r="BB204" s="828" t="str">
        <f t="shared" ca="1" si="455"/>
        <v/>
      </c>
      <c r="BC204" s="828" t="str">
        <f t="shared" ca="1" si="456"/>
        <v/>
      </c>
      <c r="BD204" s="828" t="str">
        <f t="shared" ca="1" si="457"/>
        <v/>
      </c>
      <c r="BE204" s="828" t="str">
        <f t="shared" ca="1" si="458"/>
        <v/>
      </c>
      <c r="BF204" s="828" t="str">
        <f t="shared" ca="1" si="459"/>
        <v/>
      </c>
      <c r="BG204" s="828" t="str">
        <f t="shared" ca="1" si="460"/>
        <v/>
      </c>
      <c r="BH204" s="828" t="str">
        <f t="shared" ca="1" si="461"/>
        <v/>
      </c>
      <c r="BI204" s="828" t="str">
        <f t="shared" ca="1" si="462"/>
        <v/>
      </c>
      <c r="BJ204" s="828" t="str">
        <f t="shared" ca="1" si="463"/>
        <v/>
      </c>
      <c r="BK204" s="828" t="str">
        <f t="shared" ca="1" si="464"/>
        <v/>
      </c>
      <c r="BL204" s="828" t="str">
        <f t="shared" ca="1" si="465"/>
        <v/>
      </c>
      <c r="BM204" s="828" t="str">
        <f t="shared" ca="1" si="466"/>
        <v/>
      </c>
      <c r="BN204" s="828" t="str">
        <f t="shared" ca="1" si="467"/>
        <v/>
      </c>
      <c r="BO204" s="828" t="str">
        <f t="shared" ca="1" si="468"/>
        <v/>
      </c>
    </row>
    <row r="205" spans="1:67" ht="20.100000000000001" customHeight="1">
      <c r="A205" s="823">
        <v>42</v>
      </c>
      <c r="B205" s="1870"/>
      <c r="C205" s="1872"/>
      <c r="D205" s="824" t="s">
        <v>4181</v>
      </c>
      <c r="E205" s="824"/>
      <c r="F205" s="825"/>
      <c r="G205" s="826" t="s">
        <v>4158</v>
      </c>
      <c r="H205" s="827">
        <f t="shared" ca="1" si="472"/>
        <v>21.2</v>
      </c>
      <c r="I205" s="827">
        <f t="shared" ca="1" si="472"/>
        <v>21.2</v>
      </c>
      <c r="J205" s="827">
        <f t="shared" ca="1" si="472"/>
        <v>21.2</v>
      </c>
      <c r="K205" s="827">
        <f t="shared" ca="1" si="472"/>
        <v>21.2</v>
      </c>
      <c r="L205" s="828">
        <f t="shared" ca="1" si="470"/>
        <v>0</v>
      </c>
      <c r="M205" s="828">
        <f t="shared" ca="1" si="470"/>
        <v>0</v>
      </c>
      <c r="N205" s="828">
        <f t="shared" ca="1" si="470"/>
        <v>0</v>
      </c>
      <c r="O205" s="828">
        <f t="shared" ca="1" si="470"/>
        <v>0</v>
      </c>
      <c r="P205" s="828">
        <f ca="1">SUM(SUMIFS(OFFSET(貼付け_2024実績,$A205,10,1,199),OFFSET(貼付け_2024実績,4,9,1,199),{"横浜*","川崎*"}))</f>
        <v>0</v>
      </c>
      <c r="Q205" s="828">
        <f ca="1">SUM(SUMIFS(OFFSET(貼付け_2025実績,$A205,10,1,199),OFFSET(貼付け_2025実績,4,9,1,199),{"横浜*","川崎*"}))</f>
        <v>0</v>
      </c>
      <c r="R205" s="828">
        <f ca="1">SUM(SUMIFS(OFFSET(貼付け_2026実績,$A205,10,1,199),OFFSET(貼付け_2026実績,4,9,1,199),{"横浜*","川崎*"}))</f>
        <v>0</v>
      </c>
      <c r="S205" s="828">
        <f ca="1">SUM(SUMIFS(OFFSET(貼付け_2027実績,$A205,10,1,199),OFFSET(貼付け_2027実績,4,9,1,199),{"横浜*","川崎*"}))</f>
        <v>0</v>
      </c>
      <c r="T205" s="828">
        <f t="shared" ca="1" si="471"/>
        <v>0</v>
      </c>
      <c r="U205" s="828">
        <f t="shared" ca="1" si="471"/>
        <v>0</v>
      </c>
      <c r="V205" s="828">
        <f t="shared" ca="1" si="471"/>
        <v>0</v>
      </c>
      <c r="W205" s="828">
        <f t="shared" ca="1" si="471"/>
        <v>0</v>
      </c>
      <c r="X205" s="828">
        <f t="shared" ca="1" si="425"/>
        <v>0</v>
      </c>
      <c r="Y205" s="828">
        <f t="shared" ca="1" si="426"/>
        <v>0</v>
      </c>
      <c r="Z205" s="828">
        <f t="shared" ca="1" si="427"/>
        <v>0</v>
      </c>
      <c r="AA205" s="828">
        <f t="shared" ca="1" si="428"/>
        <v>0</v>
      </c>
      <c r="AB205" s="828" t="str">
        <f t="shared" ca="1" si="429"/>
        <v/>
      </c>
      <c r="AC205" s="828" t="str">
        <f t="shared" ca="1" si="430"/>
        <v/>
      </c>
      <c r="AD205" s="828" t="str">
        <f t="shared" ca="1" si="431"/>
        <v/>
      </c>
      <c r="AE205" s="828" t="str">
        <f t="shared" ca="1" si="432"/>
        <v/>
      </c>
      <c r="AF205" s="828" t="str">
        <f t="shared" ca="1" si="433"/>
        <v/>
      </c>
      <c r="AG205" s="828" t="str">
        <f t="shared" ca="1" si="434"/>
        <v/>
      </c>
      <c r="AH205" s="828" t="str">
        <f t="shared" ca="1" si="435"/>
        <v/>
      </c>
      <c r="AI205" s="828" t="str">
        <f t="shared" ca="1" si="436"/>
        <v/>
      </c>
      <c r="AJ205" s="828" t="str">
        <f t="shared" ca="1" si="437"/>
        <v/>
      </c>
      <c r="AK205" s="828" t="str">
        <f t="shared" ca="1" si="438"/>
        <v/>
      </c>
      <c r="AL205" s="828" t="str">
        <f t="shared" ca="1" si="439"/>
        <v/>
      </c>
      <c r="AM205" s="828" t="str">
        <f t="shared" ca="1" si="440"/>
        <v/>
      </c>
      <c r="AN205" s="828" t="str">
        <f t="shared" ca="1" si="441"/>
        <v/>
      </c>
      <c r="AO205" s="828" t="str">
        <f t="shared" ca="1" si="442"/>
        <v/>
      </c>
      <c r="AP205" s="828" t="str">
        <f t="shared" ca="1" si="443"/>
        <v/>
      </c>
      <c r="AQ205" s="828" t="str">
        <f t="shared" ca="1" si="444"/>
        <v/>
      </c>
      <c r="AR205" s="828" t="str">
        <f t="shared" ca="1" si="445"/>
        <v/>
      </c>
      <c r="AS205" s="828" t="str">
        <f t="shared" ca="1" si="446"/>
        <v/>
      </c>
      <c r="AT205" s="828" t="str">
        <f t="shared" ca="1" si="447"/>
        <v/>
      </c>
      <c r="AU205" s="828" t="str">
        <f t="shared" ca="1" si="448"/>
        <v/>
      </c>
      <c r="AV205" s="828" t="str">
        <f t="shared" ca="1" si="449"/>
        <v/>
      </c>
      <c r="AW205" s="828" t="str">
        <f t="shared" ca="1" si="450"/>
        <v/>
      </c>
      <c r="AX205" s="828" t="str">
        <f t="shared" ca="1" si="451"/>
        <v/>
      </c>
      <c r="AY205" s="828" t="str">
        <f t="shared" ca="1" si="452"/>
        <v/>
      </c>
      <c r="AZ205" s="828" t="str">
        <f t="shared" ca="1" si="453"/>
        <v/>
      </c>
      <c r="BA205" s="828" t="str">
        <f t="shared" ca="1" si="454"/>
        <v/>
      </c>
      <c r="BB205" s="828" t="str">
        <f t="shared" ca="1" si="455"/>
        <v/>
      </c>
      <c r="BC205" s="828" t="str">
        <f t="shared" ca="1" si="456"/>
        <v/>
      </c>
      <c r="BD205" s="828" t="str">
        <f t="shared" ca="1" si="457"/>
        <v/>
      </c>
      <c r="BE205" s="828" t="str">
        <f t="shared" ca="1" si="458"/>
        <v/>
      </c>
      <c r="BF205" s="828" t="str">
        <f t="shared" ca="1" si="459"/>
        <v/>
      </c>
      <c r="BG205" s="828" t="str">
        <f t="shared" ca="1" si="460"/>
        <v/>
      </c>
      <c r="BH205" s="828" t="str">
        <f t="shared" ca="1" si="461"/>
        <v/>
      </c>
      <c r="BI205" s="828" t="str">
        <f t="shared" ca="1" si="462"/>
        <v/>
      </c>
      <c r="BJ205" s="828" t="str">
        <f t="shared" ca="1" si="463"/>
        <v/>
      </c>
      <c r="BK205" s="828" t="str">
        <f t="shared" ca="1" si="464"/>
        <v/>
      </c>
      <c r="BL205" s="828" t="str">
        <f t="shared" ca="1" si="465"/>
        <v/>
      </c>
      <c r="BM205" s="828" t="str">
        <f t="shared" ca="1" si="466"/>
        <v/>
      </c>
      <c r="BN205" s="828" t="str">
        <f t="shared" ca="1" si="467"/>
        <v/>
      </c>
      <c r="BO205" s="828" t="str">
        <f t="shared" ca="1" si="468"/>
        <v/>
      </c>
    </row>
    <row r="206" spans="1:67" ht="20.100000000000001" customHeight="1">
      <c r="A206" s="823">
        <v>43</v>
      </c>
      <c r="B206" s="1870"/>
      <c r="C206" s="1872"/>
      <c r="D206" s="824" t="s">
        <v>4410</v>
      </c>
      <c r="E206" s="831" t="str">
        <f ca="1">E44</f>
        <v/>
      </c>
      <c r="F206" s="833"/>
      <c r="G206" s="826" t="s">
        <v>3777</v>
      </c>
      <c r="H206" s="827">
        <f t="shared" ca="1" si="472"/>
        <v>13.2</v>
      </c>
      <c r="I206" s="827">
        <f t="shared" ca="1" si="472"/>
        <v>13.2</v>
      </c>
      <c r="J206" s="827">
        <f t="shared" ca="1" si="472"/>
        <v>13.2</v>
      </c>
      <c r="K206" s="827">
        <f t="shared" ca="1" si="472"/>
        <v>13.2</v>
      </c>
      <c r="L206" s="828">
        <f t="shared" ca="1" si="470"/>
        <v>0</v>
      </c>
      <c r="M206" s="828">
        <f t="shared" ca="1" si="470"/>
        <v>0</v>
      </c>
      <c r="N206" s="828">
        <f t="shared" ca="1" si="470"/>
        <v>0</v>
      </c>
      <c r="O206" s="828">
        <f t="shared" ca="1" si="470"/>
        <v>0</v>
      </c>
      <c r="P206" s="828">
        <f ca="1">SUM(SUMIFS(OFFSET(貼付け_2024実績,$A206,10,1,199),OFFSET(貼付け_2024実績,4,9,1,199),{"横浜*","川崎*"}))</f>
        <v>0</v>
      </c>
      <c r="Q206" s="828">
        <f ca="1">SUM(SUMIFS(OFFSET(貼付け_2025実績,$A206,10,1,199),OFFSET(貼付け_2025実績,4,9,1,199),{"横浜*","川崎*"}))</f>
        <v>0</v>
      </c>
      <c r="R206" s="828">
        <f ca="1">SUM(SUMIFS(OFFSET(貼付け_2026実績,$A206,10,1,199),OFFSET(貼付け_2026実績,4,9,1,199),{"横浜*","川崎*"}))</f>
        <v>0</v>
      </c>
      <c r="S206" s="828">
        <f ca="1">SUM(SUMIFS(OFFSET(貼付け_2027実績,$A206,10,1,199),OFFSET(貼付け_2027実績,4,9,1,199),{"横浜*","川崎*"}))</f>
        <v>0</v>
      </c>
      <c r="T206" s="828">
        <f t="shared" ca="1" si="471"/>
        <v>0</v>
      </c>
      <c r="U206" s="828">
        <f t="shared" ca="1" si="471"/>
        <v>0</v>
      </c>
      <c r="V206" s="828">
        <f t="shared" ca="1" si="471"/>
        <v>0</v>
      </c>
      <c r="W206" s="828">
        <f t="shared" ca="1" si="471"/>
        <v>0</v>
      </c>
      <c r="X206" s="828">
        <f t="shared" ca="1" si="425"/>
        <v>0</v>
      </c>
      <c r="Y206" s="828">
        <f t="shared" ca="1" si="426"/>
        <v>0</v>
      </c>
      <c r="Z206" s="828">
        <f t="shared" ca="1" si="427"/>
        <v>0</v>
      </c>
      <c r="AA206" s="828">
        <f t="shared" ca="1" si="428"/>
        <v>0</v>
      </c>
      <c r="AB206" s="828" t="str">
        <f t="shared" ca="1" si="429"/>
        <v/>
      </c>
      <c r="AC206" s="828" t="str">
        <f t="shared" ca="1" si="430"/>
        <v/>
      </c>
      <c r="AD206" s="828" t="str">
        <f t="shared" ca="1" si="431"/>
        <v/>
      </c>
      <c r="AE206" s="828" t="str">
        <f t="shared" ca="1" si="432"/>
        <v/>
      </c>
      <c r="AF206" s="828" t="str">
        <f t="shared" ca="1" si="433"/>
        <v/>
      </c>
      <c r="AG206" s="828" t="str">
        <f t="shared" ca="1" si="434"/>
        <v/>
      </c>
      <c r="AH206" s="828" t="str">
        <f t="shared" ca="1" si="435"/>
        <v/>
      </c>
      <c r="AI206" s="828" t="str">
        <f t="shared" ca="1" si="436"/>
        <v/>
      </c>
      <c r="AJ206" s="828" t="str">
        <f t="shared" ca="1" si="437"/>
        <v/>
      </c>
      <c r="AK206" s="828" t="str">
        <f t="shared" ca="1" si="438"/>
        <v/>
      </c>
      <c r="AL206" s="828" t="str">
        <f t="shared" ca="1" si="439"/>
        <v/>
      </c>
      <c r="AM206" s="828" t="str">
        <f t="shared" ca="1" si="440"/>
        <v/>
      </c>
      <c r="AN206" s="828" t="str">
        <f t="shared" ca="1" si="441"/>
        <v/>
      </c>
      <c r="AO206" s="828" t="str">
        <f t="shared" ca="1" si="442"/>
        <v/>
      </c>
      <c r="AP206" s="828" t="str">
        <f t="shared" ca="1" si="443"/>
        <v/>
      </c>
      <c r="AQ206" s="828" t="str">
        <f t="shared" ca="1" si="444"/>
        <v/>
      </c>
      <c r="AR206" s="828" t="str">
        <f t="shared" ca="1" si="445"/>
        <v/>
      </c>
      <c r="AS206" s="828" t="str">
        <f t="shared" ca="1" si="446"/>
        <v/>
      </c>
      <c r="AT206" s="828" t="str">
        <f t="shared" ca="1" si="447"/>
        <v/>
      </c>
      <c r="AU206" s="828" t="str">
        <f t="shared" ca="1" si="448"/>
        <v/>
      </c>
      <c r="AV206" s="828" t="str">
        <f t="shared" ca="1" si="449"/>
        <v/>
      </c>
      <c r="AW206" s="828" t="str">
        <f t="shared" ca="1" si="450"/>
        <v/>
      </c>
      <c r="AX206" s="828" t="str">
        <f t="shared" ca="1" si="451"/>
        <v/>
      </c>
      <c r="AY206" s="828" t="str">
        <f t="shared" ca="1" si="452"/>
        <v/>
      </c>
      <c r="AZ206" s="828" t="str">
        <f t="shared" ca="1" si="453"/>
        <v/>
      </c>
      <c r="BA206" s="828" t="str">
        <f t="shared" ca="1" si="454"/>
        <v/>
      </c>
      <c r="BB206" s="828" t="str">
        <f t="shared" ca="1" si="455"/>
        <v/>
      </c>
      <c r="BC206" s="828" t="str">
        <f t="shared" ca="1" si="456"/>
        <v/>
      </c>
      <c r="BD206" s="828" t="str">
        <f t="shared" ca="1" si="457"/>
        <v/>
      </c>
      <c r="BE206" s="828" t="str">
        <f t="shared" ca="1" si="458"/>
        <v/>
      </c>
      <c r="BF206" s="828" t="str">
        <f t="shared" ca="1" si="459"/>
        <v/>
      </c>
      <c r="BG206" s="828" t="str">
        <f t="shared" ca="1" si="460"/>
        <v/>
      </c>
      <c r="BH206" s="828" t="str">
        <f t="shared" ca="1" si="461"/>
        <v/>
      </c>
      <c r="BI206" s="828" t="str">
        <f t="shared" ca="1" si="462"/>
        <v/>
      </c>
      <c r="BJ206" s="828" t="str">
        <f t="shared" ca="1" si="463"/>
        <v/>
      </c>
      <c r="BK206" s="828" t="str">
        <f t="shared" ca="1" si="464"/>
        <v/>
      </c>
      <c r="BL206" s="828" t="str">
        <f t="shared" ca="1" si="465"/>
        <v/>
      </c>
      <c r="BM206" s="828" t="str">
        <f t="shared" ca="1" si="466"/>
        <v/>
      </c>
      <c r="BN206" s="828" t="str">
        <f t="shared" ca="1" si="467"/>
        <v/>
      </c>
      <c r="BO206" s="828" t="str">
        <f t="shared" ca="1" si="468"/>
        <v/>
      </c>
    </row>
    <row r="207" spans="1:67" ht="20.100000000000001" customHeight="1">
      <c r="A207" s="823">
        <v>44</v>
      </c>
      <c r="B207" s="1870"/>
      <c r="C207" s="1872"/>
      <c r="D207" s="832" t="s">
        <v>4183</v>
      </c>
      <c r="E207" s="824"/>
      <c r="F207" s="825"/>
      <c r="G207" s="826" t="s">
        <v>3777</v>
      </c>
      <c r="H207" s="827">
        <f t="shared" ca="1" si="472"/>
        <v>18</v>
      </c>
      <c r="I207" s="827">
        <f t="shared" ca="1" si="472"/>
        <v>18</v>
      </c>
      <c r="J207" s="827">
        <f t="shared" ca="1" si="472"/>
        <v>18</v>
      </c>
      <c r="K207" s="827">
        <f t="shared" ca="1" si="472"/>
        <v>18</v>
      </c>
      <c r="L207" s="828">
        <f t="shared" ca="1" si="470"/>
        <v>0</v>
      </c>
      <c r="M207" s="828">
        <f t="shared" ca="1" si="470"/>
        <v>0</v>
      </c>
      <c r="N207" s="828">
        <f t="shared" ca="1" si="470"/>
        <v>0</v>
      </c>
      <c r="O207" s="828">
        <f t="shared" ca="1" si="470"/>
        <v>0</v>
      </c>
      <c r="P207" s="828">
        <f ca="1">SUM(SUMIFS(OFFSET(貼付け_2024実績,$A207,10,1,199),OFFSET(貼付け_2024実績,4,9,1,199),{"横浜*","川崎*"}))</f>
        <v>0</v>
      </c>
      <c r="Q207" s="828">
        <f ca="1">SUM(SUMIFS(OFFSET(貼付け_2025実績,$A207,10,1,199),OFFSET(貼付け_2025実績,4,9,1,199),{"横浜*","川崎*"}))</f>
        <v>0</v>
      </c>
      <c r="R207" s="828">
        <f ca="1">SUM(SUMIFS(OFFSET(貼付け_2026実績,$A207,10,1,199),OFFSET(貼付け_2026実績,4,9,1,199),{"横浜*","川崎*"}))</f>
        <v>0</v>
      </c>
      <c r="S207" s="828">
        <f ca="1">SUM(SUMIFS(OFFSET(貼付け_2027実績,$A207,10,1,199),OFFSET(貼付け_2027実績,4,9,1,199),{"横浜*","川崎*"}))</f>
        <v>0</v>
      </c>
      <c r="T207" s="828">
        <f t="shared" ca="1" si="471"/>
        <v>0</v>
      </c>
      <c r="U207" s="828">
        <f t="shared" ca="1" si="471"/>
        <v>0</v>
      </c>
      <c r="V207" s="828">
        <f t="shared" ca="1" si="471"/>
        <v>0</v>
      </c>
      <c r="W207" s="828">
        <f t="shared" ca="1" si="471"/>
        <v>0</v>
      </c>
      <c r="X207" s="828">
        <f t="shared" ca="1" si="425"/>
        <v>0</v>
      </c>
      <c r="Y207" s="828">
        <f t="shared" ca="1" si="426"/>
        <v>0</v>
      </c>
      <c r="Z207" s="828">
        <f t="shared" ca="1" si="427"/>
        <v>0</v>
      </c>
      <c r="AA207" s="828">
        <f t="shared" ca="1" si="428"/>
        <v>0</v>
      </c>
      <c r="AB207" s="828" t="str">
        <f t="shared" ca="1" si="429"/>
        <v/>
      </c>
      <c r="AC207" s="828" t="str">
        <f t="shared" ca="1" si="430"/>
        <v/>
      </c>
      <c r="AD207" s="828" t="str">
        <f t="shared" ca="1" si="431"/>
        <v/>
      </c>
      <c r="AE207" s="828" t="str">
        <f t="shared" ca="1" si="432"/>
        <v/>
      </c>
      <c r="AF207" s="828" t="str">
        <f t="shared" ca="1" si="433"/>
        <v/>
      </c>
      <c r="AG207" s="828" t="str">
        <f t="shared" ca="1" si="434"/>
        <v/>
      </c>
      <c r="AH207" s="828" t="str">
        <f t="shared" ca="1" si="435"/>
        <v/>
      </c>
      <c r="AI207" s="828" t="str">
        <f t="shared" ca="1" si="436"/>
        <v/>
      </c>
      <c r="AJ207" s="828" t="str">
        <f t="shared" ca="1" si="437"/>
        <v/>
      </c>
      <c r="AK207" s="828" t="str">
        <f t="shared" ca="1" si="438"/>
        <v/>
      </c>
      <c r="AL207" s="828" t="str">
        <f t="shared" ca="1" si="439"/>
        <v/>
      </c>
      <c r="AM207" s="828" t="str">
        <f t="shared" ca="1" si="440"/>
        <v/>
      </c>
      <c r="AN207" s="828" t="str">
        <f t="shared" ca="1" si="441"/>
        <v/>
      </c>
      <c r="AO207" s="828" t="str">
        <f t="shared" ca="1" si="442"/>
        <v/>
      </c>
      <c r="AP207" s="828" t="str">
        <f t="shared" ca="1" si="443"/>
        <v/>
      </c>
      <c r="AQ207" s="828" t="str">
        <f t="shared" ca="1" si="444"/>
        <v/>
      </c>
      <c r="AR207" s="828" t="str">
        <f t="shared" ca="1" si="445"/>
        <v/>
      </c>
      <c r="AS207" s="828" t="str">
        <f t="shared" ca="1" si="446"/>
        <v/>
      </c>
      <c r="AT207" s="828" t="str">
        <f t="shared" ca="1" si="447"/>
        <v/>
      </c>
      <c r="AU207" s="828" t="str">
        <f t="shared" ca="1" si="448"/>
        <v/>
      </c>
      <c r="AV207" s="828" t="str">
        <f t="shared" ca="1" si="449"/>
        <v/>
      </c>
      <c r="AW207" s="828" t="str">
        <f t="shared" ca="1" si="450"/>
        <v/>
      </c>
      <c r="AX207" s="828" t="str">
        <f t="shared" ca="1" si="451"/>
        <v/>
      </c>
      <c r="AY207" s="828" t="str">
        <f t="shared" ca="1" si="452"/>
        <v/>
      </c>
      <c r="AZ207" s="828" t="str">
        <f t="shared" ca="1" si="453"/>
        <v/>
      </c>
      <c r="BA207" s="828" t="str">
        <f t="shared" ca="1" si="454"/>
        <v/>
      </c>
      <c r="BB207" s="828" t="str">
        <f t="shared" ca="1" si="455"/>
        <v/>
      </c>
      <c r="BC207" s="828" t="str">
        <f t="shared" ca="1" si="456"/>
        <v/>
      </c>
      <c r="BD207" s="828" t="str">
        <f t="shared" ca="1" si="457"/>
        <v/>
      </c>
      <c r="BE207" s="828" t="str">
        <f t="shared" ca="1" si="458"/>
        <v/>
      </c>
      <c r="BF207" s="828" t="str">
        <f t="shared" ca="1" si="459"/>
        <v/>
      </c>
      <c r="BG207" s="828" t="str">
        <f t="shared" ca="1" si="460"/>
        <v/>
      </c>
      <c r="BH207" s="828" t="str">
        <f t="shared" ca="1" si="461"/>
        <v/>
      </c>
      <c r="BI207" s="828" t="str">
        <f t="shared" ca="1" si="462"/>
        <v/>
      </c>
      <c r="BJ207" s="828" t="str">
        <f t="shared" ca="1" si="463"/>
        <v/>
      </c>
      <c r="BK207" s="828" t="str">
        <f t="shared" ca="1" si="464"/>
        <v/>
      </c>
      <c r="BL207" s="828" t="str">
        <f t="shared" ca="1" si="465"/>
        <v/>
      </c>
      <c r="BM207" s="828" t="str">
        <f t="shared" ca="1" si="466"/>
        <v/>
      </c>
      <c r="BN207" s="828" t="str">
        <f t="shared" ca="1" si="467"/>
        <v/>
      </c>
      <c r="BO207" s="828" t="str">
        <f t="shared" ca="1" si="468"/>
        <v/>
      </c>
    </row>
    <row r="208" spans="1:67" ht="20.100000000000001" customHeight="1">
      <c r="A208" s="823">
        <v>45</v>
      </c>
      <c r="B208" s="1870"/>
      <c r="C208" s="1872"/>
      <c r="D208" s="832" t="s">
        <v>4184</v>
      </c>
      <c r="E208" s="834"/>
      <c r="F208" s="825"/>
      <c r="G208" s="826" t="s">
        <v>3777</v>
      </c>
      <c r="H208" s="827">
        <f t="shared" ca="1" si="472"/>
        <v>26.9</v>
      </c>
      <c r="I208" s="827">
        <f t="shared" ca="1" si="472"/>
        <v>26.9</v>
      </c>
      <c r="J208" s="827">
        <f t="shared" ca="1" si="472"/>
        <v>26.9</v>
      </c>
      <c r="K208" s="827">
        <f t="shared" ca="1" si="472"/>
        <v>26.9</v>
      </c>
      <c r="L208" s="828">
        <f t="shared" ca="1" si="470"/>
        <v>0</v>
      </c>
      <c r="M208" s="828">
        <f t="shared" ca="1" si="470"/>
        <v>0</v>
      </c>
      <c r="N208" s="828">
        <f t="shared" ca="1" si="470"/>
        <v>0</v>
      </c>
      <c r="O208" s="828">
        <f t="shared" ca="1" si="470"/>
        <v>0</v>
      </c>
      <c r="P208" s="828">
        <f ca="1">SUM(SUMIFS(OFFSET(貼付け_2024実績,$A208,10,1,199),OFFSET(貼付け_2024実績,4,9,1,199),{"横浜*","川崎*"}))</f>
        <v>0</v>
      </c>
      <c r="Q208" s="828">
        <f ca="1">SUM(SUMIFS(OFFSET(貼付け_2025実績,$A208,10,1,199),OFFSET(貼付け_2025実績,4,9,1,199),{"横浜*","川崎*"}))</f>
        <v>0</v>
      </c>
      <c r="R208" s="828">
        <f ca="1">SUM(SUMIFS(OFFSET(貼付け_2026実績,$A208,10,1,199),OFFSET(貼付け_2026実績,4,9,1,199),{"横浜*","川崎*"}))</f>
        <v>0</v>
      </c>
      <c r="S208" s="828">
        <f ca="1">SUM(SUMIFS(OFFSET(貼付け_2027実績,$A208,10,1,199),OFFSET(貼付け_2027実績,4,9,1,199),{"横浜*","川崎*"}))</f>
        <v>0</v>
      </c>
      <c r="T208" s="828">
        <f t="shared" ca="1" si="471"/>
        <v>0</v>
      </c>
      <c r="U208" s="828">
        <f t="shared" ca="1" si="471"/>
        <v>0</v>
      </c>
      <c r="V208" s="828">
        <f t="shared" ca="1" si="471"/>
        <v>0</v>
      </c>
      <c r="W208" s="828">
        <f t="shared" ca="1" si="471"/>
        <v>0</v>
      </c>
      <c r="X208" s="828">
        <f t="shared" ca="1" si="425"/>
        <v>0</v>
      </c>
      <c r="Y208" s="828">
        <f t="shared" ca="1" si="426"/>
        <v>0</v>
      </c>
      <c r="Z208" s="828">
        <f t="shared" ca="1" si="427"/>
        <v>0</v>
      </c>
      <c r="AA208" s="828">
        <f t="shared" ca="1" si="428"/>
        <v>0</v>
      </c>
      <c r="AB208" s="828" t="str">
        <f t="shared" ca="1" si="429"/>
        <v/>
      </c>
      <c r="AC208" s="828" t="str">
        <f t="shared" ca="1" si="430"/>
        <v/>
      </c>
      <c r="AD208" s="828" t="str">
        <f t="shared" ca="1" si="431"/>
        <v/>
      </c>
      <c r="AE208" s="828" t="str">
        <f t="shared" ca="1" si="432"/>
        <v/>
      </c>
      <c r="AF208" s="828" t="str">
        <f t="shared" ca="1" si="433"/>
        <v/>
      </c>
      <c r="AG208" s="828" t="str">
        <f t="shared" ca="1" si="434"/>
        <v/>
      </c>
      <c r="AH208" s="828" t="str">
        <f t="shared" ca="1" si="435"/>
        <v/>
      </c>
      <c r="AI208" s="828" t="str">
        <f t="shared" ca="1" si="436"/>
        <v/>
      </c>
      <c r="AJ208" s="828" t="str">
        <f t="shared" ca="1" si="437"/>
        <v/>
      </c>
      <c r="AK208" s="828" t="str">
        <f t="shared" ca="1" si="438"/>
        <v/>
      </c>
      <c r="AL208" s="828" t="str">
        <f t="shared" ca="1" si="439"/>
        <v/>
      </c>
      <c r="AM208" s="828" t="str">
        <f t="shared" ca="1" si="440"/>
        <v/>
      </c>
      <c r="AN208" s="828" t="str">
        <f t="shared" ca="1" si="441"/>
        <v/>
      </c>
      <c r="AO208" s="828" t="str">
        <f t="shared" ca="1" si="442"/>
        <v/>
      </c>
      <c r="AP208" s="828" t="str">
        <f t="shared" ca="1" si="443"/>
        <v/>
      </c>
      <c r="AQ208" s="828" t="str">
        <f t="shared" ca="1" si="444"/>
        <v/>
      </c>
      <c r="AR208" s="828" t="str">
        <f t="shared" ca="1" si="445"/>
        <v/>
      </c>
      <c r="AS208" s="828" t="str">
        <f t="shared" ca="1" si="446"/>
        <v/>
      </c>
      <c r="AT208" s="828" t="str">
        <f t="shared" ca="1" si="447"/>
        <v/>
      </c>
      <c r="AU208" s="828" t="str">
        <f t="shared" ca="1" si="448"/>
        <v/>
      </c>
      <c r="AV208" s="828" t="str">
        <f t="shared" ca="1" si="449"/>
        <v/>
      </c>
      <c r="AW208" s="828" t="str">
        <f t="shared" ca="1" si="450"/>
        <v/>
      </c>
      <c r="AX208" s="828" t="str">
        <f t="shared" ca="1" si="451"/>
        <v/>
      </c>
      <c r="AY208" s="828" t="str">
        <f t="shared" ca="1" si="452"/>
        <v/>
      </c>
      <c r="AZ208" s="828" t="str">
        <f t="shared" ca="1" si="453"/>
        <v/>
      </c>
      <c r="BA208" s="828" t="str">
        <f t="shared" ca="1" si="454"/>
        <v/>
      </c>
      <c r="BB208" s="828" t="str">
        <f t="shared" ca="1" si="455"/>
        <v/>
      </c>
      <c r="BC208" s="828" t="str">
        <f t="shared" ca="1" si="456"/>
        <v/>
      </c>
      <c r="BD208" s="828" t="str">
        <f t="shared" ca="1" si="457"/>
        <v/>
      </c>
      <c r="BE208" s="828" t="str">
        <f t="shared" ca="1" si="458"/>
        <v/>
      </c>
      <c r="BF208" s="828" t="str">
        <f t="shared" ca="1" si="459"/>
        <v/>
      </c>
      <c r="BG208" s="828" t="str">
        <f t="shared" ca="1" si="460"/>
        <v/>
      </c>
      <c r="BH208" s="828" t="str">
        <f t="shared" ca="1" si="461"/>
        <v/>
      </c>
      <c r="BI208" s="828" t="str">
        <f t="shared" ca="1" si="462"/>
        <v/>
      </c>
      <c r="BJ208" s="828" t="str">
        <f t="shared" ca="1" si="463"/>
        <v/>
      </c>
      <c r="BK208" s="828" t="str">
        <f t="shared" ca="1" si="464"/>
        <v/>
      </c>
      <c r="BL208" s="828" t="str">
        <f t="shared" ca="1" si="465"/>
        <v/>
      </c>
      <c r="BM208" s="828" t="str">
        <f t="shared" ca="1" si="466"/>
        <v/>
      </c>
      <c r="BN208" s="828" t="str">
        <f t="shared" ca="1" si="467"/>
        <v/>
      </c>
      <c r="BO208" s="828" t="str">
        <f t="shared" ca="1" si="468"/>
        <v/>
      </c>
    </row>
    <row r="209" spans="1:68" ht="20.100000000000001" customHeight="1">
      <c r="A209" s="823">
        <v>46</v>
      </c>
      <c r="B209" s="1870"/>
      <c r="C209" s="1872"/>
      <c r="D209" s="832" t="s">
        <v>4411</v>
      </c>
      <c r="E209" s="818"/>
      <c r="F209" s="825"/>
      <c r="G209" s="826" t="s">
        <v>3777</v>
      </c>
      <c r="H209" s="827">
        <f t="shared" ca="1" si="472"/>
        <v>33.200000000000003</v>
      </c>
      <c r="I209" s="827">
        <f t="shared" ca="1" si="472"/>
        <v>33.200000000000003</v>
      </c>
      <c r="J209" s="827">
        <f t="shared" ca="1" si="472"/>
        <v>33.200000000000003</v>
      </c>
      <c r="K209" s="827">
        <f t="shared" ca="1" si="472"/>
        <v>33.200000000000003</v>
      </c>
      <c r="L209" s="828">
        <f t="shared" ca="1" si="470"/>
        <v>0</v>
      </c>
      <c r="M209" s="828">
        <f t="shared" ca="1" si="470"/>
        <v>0</v>
      </c>
      <c r="N209" s="828">
        <f t="shared" ca="1" si="470"/>
        <v>0</v>
      </c>
      <c r="O209" s="828">
        <f t="shared" ca="1" si="470"/>
        <v>0</v>
      </c>
      <c r="P209" s="828">
        <f ca="1">SUM(SUMIFS(OFFSET(貼付け_2024実績,$A209,10,1,199),OFFSET(貼付け_2024実績,4,9,1,199),{"横浜*","川崎*"}))</f>
        <v>0</v>
      </c>
      <c r="Q209" s="828">
        <f ca="1">SUM(SUMIFS(OFFSET(貼付け_2025実績,$A209,10,1,199),OFFSET(貼付け_2025実績,4,9,1,199),{"横浜*","川崎*"}))</f>
        <v>0</v>
      </c>
      <c r="R209" s="828">
        <f ca="1">SUM(SUMIFS(OFFSET(貼付け_2026実績,$A209,10,1,199),OFFSET(貼付け_2026実績,4,9,1,199),{"横浜*","川崎*"}))</f>
        <v>0</v>
      </c>
      <c r="S209" s="828">
        <f ca="1">SUM(SUMIFS(OFFSET(貼付け_2027実績,$A209,10,1,199),OFFSET(貼付け_2027実績,4,9,1,199),{"横浜*","川崎*"}))</f>
        <v>0</v>
      </c>
      <c r="T209" s="828">
        <f t="shared" ca="1" si="471"/>
        <v>0</v>
      </c>
      <c r="U209" s="828">
        <f t="shared" ca="1" si="471"/>
        <v>0</v>
      </c>
      <c r="V209" s="828">
        <f t="shared" ca="1" si="471"/>
        <v>0</v>
      </c>
      <c r="W209" s="828">
        <f t="shared" ca="1" si="471"/>
        <v>0</v>
      </c>
      <c r="X209" s="828">
        <f t="shared" ca="1" si="425"/>
        <v>0</v>
      </c>
      <c r="Y209" s="828">
        <f t="shared" ca="1" si="426"/>
        <v>0</v>
      </c>
      <c r="Z209" s="828">
        <f t="shared" ca="1" si="427"/>
        <v>0</v>
      </c>
      <c r="AA209" s="828">
        <f t="shared" ca="1" si="428"/>
        <v>0</v>
      </c>
      <c r="AB209" s="828" t="str">
        <f t="shared" ca="1" si="429"/>
        <v/>
      </c>
      <c r="AC209" s="828" t="str">
        <f t="shared" ca="1" si="430"/>
        <v/>
      </c>
      <c r="AD209" s="828" t="str">
        <f t="shared" ca="1" si="431"/>
        <v/>
      </c>
      <c r="AE209" s="828" t="str">
        <f t="shared" ca="1" si="432"/>
        <v/>
      </c>
      <c r="AF209" s="828" t="str">
        <f t="shared" ca="1" si="433"/>
        <v/>
      </c>
      <c r="AG209" s="828" t="str">
        <f t="shared" ca="1" si="434"/>
        <v/>
      </c>
      <c r="AH209" s="828" t="str">
        <f t="shared" ca="1" si="435"/>
        <v/>
      </c>
      <c r="AI209" s="828" t="str">
        <f t="shared" ca="1" si="436"/>
        <v/>
      </c>
      <c r="AJ209" s="828" t="str">
        <f t="shared" ca="1" si="437"/>
        <v/>
      </c>
      <c r="AK209" s="828" t="str">
        <f t="shared" ca="1" si="438"/>
        <v/>
      </c>
      <c r="AL209" s="828" t="str">
        <f t="shared" ca="1" si="439"/>
        <v/>
      </c>
      <c r="AM209" s="828" t="str">
        <f t="shared" ca="1" si="440"/>
        <v/>
      </c>
      <c r="AN209" s="828" t="str">
        <f t="shared" ca="1" si="441"/>
        <v/>
      </c>
      <c r="AO209" s="828" t="str">
        <f t="shared" ca="1" si="442"/>
        <v/>
      </c>
      <c r="AP209" s="828" t="str">
        <f t="shared" ca="1" si="443"/>
        <v/>
      </c>
      <c r="AQ209" s="828" t="str">
        <f t="shared" ca="1" si="444"/>
        <v/>
      </c>
      <c r="AR209" s="828" t="str">
        <f t="shared" ca="1" si="445"/>
        <v/>
      </c>
      <c r="AS209" s="828" t="str">
        <f t="shared" ca="1" si="446"/>
        <v/>
      </c>
      <c r="AT209" s="828" t="str">
        <f t="shared" ca="1" si="447"/>
        <v/>
      </c>
      <c r="AU209" s="828" t="str">
        <f t="shared" ca="1" si="448"/>
        <v/>
      </c>
      <c r="AV209" s="828" t="str">
        <f t="shared" ca="1" si="449"/>
        <v/>
      </c>
      <c r="AW209" s="828" t="str">
        <f t="shared" ca="1" si="450"/>
        <v/>
      </c>
      <c r="AX209" s="828" t="str">
        <f t="shared" ca="1" si="451"/>
        <v/>
      </c>
      <c r="AY209" s="828" t="str">
        <f t="shared" ca="1" si="452"/>
        <v/>
      </c>
      <c r="AZ209" s="828" t="str">
        <f t="shared" ca="1" si="453"/>
        <v/>
      </c>
      <c r="BA209" s="828" t="str">
        <f t="shared" ca="1" si="454"/>
        <v/>
      </c>
      <c r="BB209" s="828" t="str">
        <f t="shared" ca="1" si="455"/>
        <v/>
      </c>
      <c r="BC209" s="828" t="str">
        <f t="shared" ca="1" si="456"/>
        <v/>
      </c>
      <c r="BD209" s="828" t="str">
        <f t="shared" ca="1" si="457"/>
        <v/>
      </c>
      <c r="BE209" s="828" t="str">
        <f t="shared" ca="1" si="458"/>
        <v/>
      </c>
      <c r="BF209" s="828" t="str">
        <f t="shared" ca="1" si="459"/>
        <v/>
      </c>
      <c r="BG209" s="828" t="str">
        <f t="shared" ca="1" si="460"/>
        <v/>
      </c>
      <c r="BH209" s="828" t="str">
        <f t="shared" ca="1" si="461"/>
        <v/>
      </c>
      <c r="BI209" s="828" t="str">
        <f t="shared" ca="1" si="462"/>
        <v/>
      </c>
      <c r="BJ209" s="828" t="str">
        <f t="shared" ca="1" si="463"/>
        <v/>
      </c>
      <c r="BK209" s="828" t="str">
        <f t="shared" ca="1" si="464"/>
        <v/>
      </c>
      <c r="BL209" s="828" t="str">
        <f t="shared" ca="1" si="465"/>
        <v/>
      </c>
      <c r="BM209" s="828" t="str">
        <f t="shared" ca="1" si="466"/>
        <v/>
      </c>
      <c r="BN209" s="828" t="str">
        <f t="shared" ca="1" si="467"/>
        <v/>
      </c>
      <c r="BO209" s="828" t="str">
        <f t="shared" ca="1" si="468"/>
        <v/>
      </c>
    </row>
    <row r="210" spans="1:68" ht="20.100000000000001" customHeight="1">
      <c r="A210" s="823">
        <v>47</v>
      </c>
      <c r="B210" s="1871"/>
      <c r="C210" s="1872"/>
      <c r="D210" s="832" t="s">
        <v>4412</v>
      </c>
      <c r="E210" s="824"/>
      <c r="F210" s="825"/>
      <c r="G210" s="826" t="s">
        <v>3777</v>
      </c>
      <c r="H210" s="827">
        <f t="shared" ca="1" si="472"/>
        <v>29.3</v>
      </c>
      <c r="I210" s="827">
        <f t="shared" ca="1" si="472"/>
        <v>29.3</v>
      </c>
      <c r="J210" s="827">
        <f t="shared" ca="1" si="472"/>
        <v>29.3</v>
      </c>
      <c r="K210" s="827">
        <f t="shared" ca="1" si="472"/>
        <v>29.3</v>
      </c>
      <c r="L210" s="828">
        <f t="shared" ca="1" si="470"/>
        <v>0</v>
      </c>
      <c r="M210" s="828">
        <f t="shared" ca="1" si="470"/>
        <v>0</v>
      </c>
      <c r="N210" s="828">
        <f t="shared" ca="1" si="470"/>
        <v>0</v>
      </c>
      <c r="O210" s="828">
        <f t="shared" ca="1" si="470"/>
        <v>0</v>
      </c>
      <c r="P210" s="828">
        <f ca="1">SUM(SUMIFS(OFFSET(貼付け_2024実績,$A210,10,1,199),OFFSET(貼付け_2024実績,4,9,1,199),{"横浜*","川崎*"}))</f>
        <v>0</v>
      </c>
      <c r="Q210" s="828">
        <f ca="1">SUM(SUMIFS(OFFSET(貼付け_2025実績,$A210,10,1,199),OFFSET(貼付け_2025実績,4,9,1,199),{"横浜*","川崎*"}))</f>
        <v>0</v>
      </c>
      <c r="R210" s="828">
        <f ca="1">SUM(SUMIFS(OFFSET(貼付け_2026実績,$A210,10,1,199),OFFSET(貼付け_2026実績,4,9,1,199),{"横浜*","川崎*"}))</f>
        <v>0</v>
      </c>
      <c r="S210" s="828">
        <f ca="1">SUM(SUMIFS(OFFSET(貼付け_2027実績,$A210,10,1,199),OFFSET(貼付け_2027実績,4,9,1,199),{"横浜*","川崎*"}))</f>
        <v>0</v>
      </c>
      <c r="T210" s="828">
        <f t="shared" ca="1" si="471"/>
        <v>0</v>
      </c>
      <c r="U210" s="828">
        <f t="shared" ca="1" si="471"/>
        <v>0</v>
      </c>
      <c r="V210" s="828">
        <f t="shared" ca="1" si="471"/>
        <v>0</v>
      </c>
      <c r="W210" s="828">
        <f t="shared" ca="1" si="471"/>
        <v>0</v>
      </c>
      <c r="X210" s="828">
        <f t="shared" ca="1" si="425"/>
        <v>0</v>
      </c>
      <c r="Y210" s="828">
        <f t="shared" ca="1" si="426"/>
        <v>0</v>
      </c>
      <c r="Z210" s="828">
        <f t="shared" ca="1" si="427"/>
        <v>0</v>
      </c>
      <c r="AA210" s="828">
        <f t="shared" ca="1" si="428"/>
        <v>0</v>
      </c>
      <c r="AB210" s="828" t="str">
        <f t="shared" ca="1" si="429"/>
        <v/>
      </c>
      <c r="AC210" s="828" t="str">
        <f t="shared" ca="1" si="430"/>
        <v/>
      </c>
      <c r="AD210" s="828" t="str">
        <f t="shared" ca="1" si="431"/>
        <v/>
      </c>
      <c r="AE210" s="828" t="str">
        <f t="shared" ca="1" si="432"/>
        <v/>
      </c>
      <c r="AF210" s="828" t="str">
        <f t="shared" ca="1" si="433"/>
        <v/>
      </c>
      <c r="AG210" s="828" t="str">
        <f t="shared" ca="1" si="434"/>
        <v/>
      </c>
      <c r="AH210" s="828" t="str">
        <f t="shared" ca="1" si="435"/>
        <v/>
      </c>
      <c r="AI210" s="828" t="str">
        <f t="shared" ca="1" si="436"/>
        <v/>
      </c>
      <c r="AJ210" s="828" t="str">
        <f t="shared" ca="1" si="437"/>
        <v/>
      </c>
      <c r="AK210" s="828" t="str">
        <f t="shared" ca="1" si="438"/>
        <v/>
      </c>
      <c r="AL210" s="828" t="str">
        <f t="shared" ca="1" si="439"/>
        <v/>
      </c>
      <c r="AM210" s="828" t="str">
        <f t="shared" ca="1" si="440"/>
        <v/>
      </c>
      <c r="AN210" s="828" t="str">
        <f t="shared" ca="1" si="441"/>
        <v/>
      </c>
      <c r="AO210" s="828" t="str">
        <f t="shared" ca="1" si="442"/>
        <v/>
      </c>
      <c r="AP210" s="828" t="str">
        <f t="shared" ca="1" si="443"/>
        <v/>
      </c>
      <c r="AQ210" s="828" t="str">
        <f t="shared" ca="1" si="444"/>
        <v/>
      </c>
      <c r="AR210" s="828" t="str">
        <f t="shared" ca="1" si="445"/>
        <v/>
      </c>
      <c r="AS210" s="828" t="str">
        <f t="shared" ca="1" si="446"/>
        <v/>
      </c>
      <c r="AT210" s="828" t="str">
        <f t="shared" ca="1" si="447"/>
        <v/>
      </c>
      <c r="AU210" s="828" t="str">
        <f t="shared" ca="1" si="448"/>
        <v/>
      </c>
      <c r="AV210" s="828" t="str">
        <f t="shared" ca="1" si="449"/>
        <v/>
      </c>
      <c r="AW210" s="828" t="str">
        <f t="shared" ca="1" si="450"/>
        <v/>
      </c>
      <c r="AX210" s="828" t="str">
        <f t="shared" ca="1" si="451"/>
        <v/>
      </c>
      <c r="AY210" s="828" t="str">
        <f t="shared" ca="1" si="452"/>
        <v/>
      </c>
      <c r="AZ210" s="828" t="str">
        <f t="shared" ca="1" si="453"/>
        <v/>
      </c>
      <c r="BA210" s="828" t="str">
        <f t="shared" ca="1" si="454"/>
        <v/>
      </c>
      <c r="BB210" s="828" t="str">
        <f t="shared" ca="1" si="455"/>
        <v/>
      </c>
      <c r="BC210" s="828" t="str">
        <f t="shared" ca="1" si="456"/>
        <v/>
      </c>
      <c r="BD210" s="828" t="str">
        <f t="shared" ca="1" si="457"/>
        <v/>
      </c>
      <c r="BE210" s="828" t="str">
        <f t="shared" ca="1" si="458"/>
        <v/>
      </c>
      <c r="BF210" s="828" t="str">
        <f t="shared" ca="1" si="459"/>
        <v/>
      </c>
      <c r="BG210" s="828" t="str">
        <f t="shared" ca="1" si="460"/>
        <v/>
      </c>
      <c r="BH210" s="828" t="str">
        <f t="shared" ca="1" si="461"/>
        <v/>
      </c>
      <c r="BI210" s="828" t="str">
        <f t="shared" ca="1" si="462"/>
        <v/>
      </c>
      <c r="BJ210" s="828" t="str">
        <f t="shared" ca="1" si="463"/>
        <v/>
      </c>
      <c r="BK210" s="828" t="str">
        <f t="shared" ca="1" si="464"/>
        <v/>
      </c>
      <c r="BL210" s="828" t="str">
        <f t="shared" ca="1" si="465"/>
        <v/>
      </c>
      <c r="BM210" s="828" t="str">
        <f t="shared" ca="1" si="466"/>
        <v/>
      </c>
      <c r="BN210" s="828" t="str">
        <f t="shared" ca="1" si="467"/>
        <v/>
      </c>
      <c r="BO210" s="828" t="str">
        <f t="shared" ca="1" si="468"/>
        <v/>
      </c>
    </row>
    <row r="211" spans="1:68" ht="20.100000000000001" customHeight="1">
      <c r="A211" s="823">
        <v>48</v>
      </c>
      <c r="B211" s="1871"/>
      <c r="C211" s="1872"/>
      <c r="D211" s="832" t="s">
        <v>4413</v>
      </c>
      <c r="E211" s="824"/>
      <c r="F211" s="825"/>
      <c r="G211" s="826" t="s">
        <v>3777</v>
      </c>
      <c r="H211" s="827">
        <f t="shared" ca="1" si="472"/>
        <v>29.3</v>
      </c>
      <c r="I211" s="827">
        <f t="shared" ca="1" si="472"/>
        <v>29.3</v>
      </c>
      <c r="J211" s="827">
        <f t="shared" ca="1" si="472"/>
        <v>29.3</v>
      </c>
      <c r="K211" s="827">
        <f t="shared" ca="1" si="472"/>
        <v>29.3</v>
      </c>
      <c r="L211" s="828">
        <f t="shared" ca="1" si="470"/>
        <v>0</v>
      </c>
      <c r="M211" s="828">
        <f t="shared" ca="1" si="470"/>
        <v>0</v>
      </c>
      <c r="N211" s="828">
        <f t="shared" ca="1" si="470"/>
        <v>0</v>
      </c>
      <c r="O211" s="828">
        <f t="shared" ca="1" si="470"/>
        <v>0</v>
      </c>
      <c r="P211" s="828">
        <f ca="1">SUM(SUMIFS(OFFSET(貼付け_2024実績,$A211,10,1,199),OFFSET(貼付け_2024実績,4,9,1,199),{"横浜*","川崎*"}))</f>
        <v>0</v>
      </c>
      <c r="Q211" s="828">
        <f ca="1">SUM(SUMIFS(OFFSET(貼付け_2025実績,$A211,10,1,199),OFFSET(貼付け_2025実績,4,9,1,199),{"横浜*","川崎*"}))</f>
        <v>0</v>
      </c>
      <c r="R211" s="828">
        <f ca="1">SUM(SUMIFS(OFFSET(貼付け_2026実績,$A211,10,1,199),OFFSET(貼付け_2026実績,4,9,1,199),{"横浜*","川崎*"}))</f>
        <v>0</v>
      </c>
      <c r="S211" s="828">
        <f ca="1">SUM(SUMIFS(OFFSET(貼付け_2027実績,$A211,10,1,199),OFFSET(貼付け_2027実績,4,9,1,199),{"横浜*","川崎*"}))</f>
        <v>0</v>
      </c>
      <c r="T211" s="828">
        <f t="shared" ca="1" si="471"/>
        <v>0</v>
      </c>
      <c r="U211" s="828">
        <f t="shared" ca="1" si="471"/>
        <v>0</v>
      </c>
      <c r="V211" s="828">
        <f t="shared" ca="1" si="471"/>
        <v>0</v>
      </c>
      <c r="W211" s="828">
        <f t="shared" ca="1" si="471"/>
        <v>0</v>
      </c>
      <c r="X211" s="828">
        <f t="shared" ca="1" si="425"/>
        <v>0</v>
      </c>
      <c r="Y211" s="828">
        <f t="shared" ca="1" si="426"/>
        <v>0</v>
      </c>
      <c r="Z211" s="828">
        <f t="shared" ca="1" si="427"/>
        <v>0</v>
      </c>
      <c r="AA211" s="828">
        <f t="shared" ca="1" si="428"/>
        <v>0</v>
      </c>
      <c r="AB211" s="828" t="str">
        <f t="shared" ca="1" si="429"/>
        <v/>
      </c>
      <c r="AC211" s="828" t="str">
        <f t="shared" ca="1" si="430"/>
        <v/>
      </c>
      <c r="AD211" s="828" t="str">
        <f t="shared" ca="1" si="431"/>
        <v/>
      </c>
      <c r="AE211" s="828" t="str">
        <f t="shared" ca="1" si="432"/>
        <v/>
      </c>
      <c r="AF211" s="828" t="str">
        <f t="shared" ca="1" si="433"/>
        <v/>
      </c>
      <c r="AG211" s="828" t="str">
        <f t="shared" ca="1" si="434"/>
        <v/>
      </c>
      <c r="AH211" s="828" t="str">
        <f t="shared" ca="1" si="435"/>
        <v/>
      </c>
      <c r="AI211" s="828" t="str">
        <f t="shared" ca="1" si="436"/>
        <v/>
      </c>
      <c r="AJ211" s="828" t="str">
        <f t="shared" ca="1" si="437"/>
        <v/>
      </c>
      <c r="AK211" s="828" t="str">
        <f t="shared" ca="1" si="438"/>
        <v/>
      </c>
      <c r="AL211" s="828" t="str">
        <f t="shared" ca="1" si="439"/>
        <v/>
      </c>
      <c r="AM211" s="828" t="str">
        <f t="shared" ca="1" si="440"/>
        <v/>
      </c>
      <c r="AN211" s="828" t="str">
        <f t="shared" ca="1" si="441"/>
        <v/>
      </c>
      <c r="AO211" s="828" t="str">
        <f t="shared" ca="1" si="442"/>
        <v/>
      </c>
      <c r="AP211" s="828" t="str">
        <f t="shared" ca="1" si="443"/>
        <v/>
      </c>
      <c r="AQ211" s="828" t="str">
        <f t="shared" ca="1" si="444"/>
        <v/>
      </c>
      <c r="AR211" s="828" t="str">
        <f t="shared" ca="1" si="445"/>
        <v/>
      </c>
      <c r="AS211" s="828" t="str">
        <f t="shared" ca="1" si="446"/>
        <v/>
      </c>
      <c r="AT211" s="828" t="str">
        <f t="shared" ca="1" si="447"/>
        <v/>
      </c>
      <c r="AU211" s="828" t="str">
        <f t="shared" ca="1" si="448"/>
        <v/>
      </c>
      <c r="AV211" s="828" t="str">
        <f t="shared" ca="1" si="449"/>
        <v/>
      </c>
      <c r="AW211" s="828" t="str">
        <f t="shared" ca="1" si="450"/>
        <v/>
      </c>
      <c r="AX211" s="828" t="str">
        <f t="shared" ca="1" si="451"/>
        <v/>
      </c>
      <c r="AY211" s="828" t="str">
        <f t="shared" ca="1" si="452"/>
        <v/>
      </c>
      <c r="AZ211" s="828" t="str">
        <f t="shared" ca="1" si="453"/>
        <v/>
      </c>
      <c r="BA211" s="828" t="str">
        <f t="shared" ca="1" si="454"/>
        <v/>
      </c>
      <c r="BB211" s="828" t="str">
        <f t="shared" ca="1" si="455"/>
        <v/>
      </c>
      <c r="BC211" s="828" t="str">
        <f t="shared" ca="1" si="456"/>
        <v/>
      </c>
      <c r="BD211" s="828" t="str">
        <f t="shared" ca="1" si="457"/>
        <v/>
      </c>
      <c r="BE211" s="828" t="str">
        <f t="shared" ca="1" si="458"/>
        <v/>
      </c>
      <c r="BF211" s="828" t="str">
        <f t="shared" ca="1" si="459"/>
        <v/>
      </c>
      <c r="BG211" s="828" t="str">
        <f t="shared" ca="1" si="460"/>
        <v/>
      </c>
      <c r="BH211" s="828" t="str">
        <f t="shared" ca="1" si="461"/>
        <v/>
      </c>
      <c r="BI211" s="828" t="str">
        <f t="shared" ca="1" si="462"/>
        <v/>
      </c>
      <c r="BJ211" s="828" t="str">
        <f t="shared" ca="1" si="463"/>
        <v/>
      </c>
      <c r="BK211" s="828" t="str">
        <f t="shared" ca="1" si="464"/>
        <v/>
      </c>
      <c r="BL211" s="828" t="str">
        <f t="shared" ca="1" si="465"/>
        <v/>
      </c>
      <c r="BM211" s="828" t="str">
        <f t="shared" ca="1" si="466"/>
        <v/>
      </c>
      <c r="BN211" s="828" t="str">
        <f t="shared" ca="1" si="467"/>
        <v/>
      </c>
      <c r="BO211" s="828" t="str">
        <f t="shared" ca="1" si="468"/>
        <v/>
      </c>
    </row>
    <row r="212" spans="1:68" ht="20.100000000000001" customHeight="1">
      <c r="A212" s="823">
        <v>49</v>
      </c>
      <c r="B212" s="1871"/>
      <c r="C212" s="1872"/>
      <c r="D212" s="832" t="s">
        <v>4414</v>
      </c>
      <c r="E212" s="824"/>
      <c r="F212" s="825"/>
      <c r="G212" s="826" t="s">
        <v>4144</v>
      </c>
      <c r="H212" s="827">
        <f t="shared" ca="1" si="472"/>
        <v>40.200000000000003</v>
      </c>
      <c r="I212" s="827">
        <f t="shared" ca="1" si="472"/>
        <v>40.200000000000003</v>
      </c>
      <c r="J212" s="827">
        <f t="shared" ca="1" si="472"/>
        <v>40.200000000000003</v>
      </c>
      <c r="K212" s="827">
        <f t="shared" ca="1" si="472"/>
        <v>40.200000000000003</v>
      </c>
      <c r="L212" s="828">
        <f t="shared" ca="1" si="470"/>
        <v>0</v>
      </c>
      <c r="M212" s="828">
        <f t="shared" ca="1" si="470"/>
        <v>0</v>
      </c>
      <c r="N212" s="828">
        <f t="shared" ca="1" si="470"/>
        <v>0</v>
      </c>
      <c r="O212" s="828">
        <f t="shared" ca="1" si="470"/>
        <v>0</v>
      </c>
      <c r="P212" s="828">
        <f ca="1">SUM(SUMIFS(OFFSET(貼付け_2024実績,$A212,10,1,199),OFFSET(貼付け_2024実績,4,9,1,199),{"横浜*","川崎*"}))</f>
        <v>0</v>
      </c>
      <c r="Q212" s="828">
        <f ca="1">SUM(SUMIFS(OFFSET(貼付け_2025実績,$A212,10,1,199),OFFSET(貼付け_2025実績,4,9,1,199),{"横浜*","川崎*"}))</f>
        <v>0</v>
      </c>
      <c r="R212" s="828">
        <f ca="1">SUM(SUMIFS(OFFSET(貼付け_2026実績,$A212,10,1,199),OFFSET(貼付け_2026実績,4,9,1,199),{"横浜*","川崎*"}))</f>
        <v>0</v>
      </c>
      <c r="S212" s="828">
        <f ca="1">SUM(SUMIFS(OFFSET(貼付け_2027実績,$A212,10,1,199),OFFSET(貼付け_2027実績,4,9,1,199),{"横浜*","川崎*"}))</f>
        <v>0</v>
      </c>
      <c r="T212" s="828">
        <f t="shared" ca="1" si="471"/>
        <v>0</v>
      </c>
      <c r="U212" s="828">
        <f t="shared" ca="1" si="471"/>
        <v>0</v>
      </c>
      <c r="V212" s="828">
        <f t="shared" ca="1" si="471"/>
        <v>0</v>
      </c>
      <c r="W212" s="828">
        <f t="shared" ca="1" si="471"/>
        <v>0</v>
      </c>
      <c r="X212" s="828">
        <f t="shared" ca="1" si="425"/>
        <v>0</v>
      </c>
      <c r="Y212" s="828">
        <f t="shared" ca="1" si="426"/>
        <v>0</v>
      </c>
      <c r="Z212" s="828">
        <f t="shared" ca="1" si="427"/>
        <v>0</v>
      </c>
      <c r="AA212" s="828">
        <f t="shared" ca="1" si="428"/>
        <v>0</v>
      </c>
      <c r="AB212" s="828" t="str">
        <f t="shared" ca="1" si="429"/>
        <v/>
      </c>
      <c r="AC212" s="828" t="str">
        <f t="shared" ca="1" si="430"/>
        <v/>
      </c>
      <c r="AD212" s="828" t="str">
        <f t="shared" ca="1" si="431"/>
        <v/>
      </c>
      <c r="AE212" s="828" t="str">
        <f t="shared" ca="1" si="432"/>
        <v/>
      </c>
      <c r="AF212" s="828" t="str">
        <f t="shared" ca="1" si="433"/>
        <v/>
      </c>
      <c r="AG212" s="828" t="str">
        <f t="shared" ca="1" si="434"/>
        <v/>
      </c>
      <c r="AH212" s="828" t="str">
        <f t="shared" ca="1" si="435"/>
        <v/>
      </c>
      <c r="AI212" s="828" t="str">
        <f t="shared" ca="1" si="436"/>
        <v/>
      </c>
      <c r="AJ212" s="828" t="str">
        <f t="shared" ca="1" si="437"/>
        <v/>
      </c>
      <c r="AK212" s="828" t="str">
        <f t="shared" ca="1" si="438"/>
        <v/>
      </c>
      <c r="AL212" s="828" t="str">
        <f t="shared" ca="1" si="439"/>
        <v/>
      </c>
      <c r="AM212" s="828" t="str">
        <f t="shared" ca="1" si="440"/>
        <v/>
      </c>
      <c r="AN212" s="828" t="str">
        <f t="shared" ca="1" si="441"/>
        <v/>
      </c>
      <c r="AO212" s="828" t="str">
        <f t="shared" ca="1" si="442"/>
        <v/>
      </c>
      <c r="AP212" s="828" t="str">
        <f t="shared" ca="1" si="443"/>
        <v/>
      </c>
      <c r="AQ212" s="828" t="str">
        <f t="shared" ca="1" si="444"/>
        <v/>
      </c>
      <c r="AR212" s="828" t="str">
        <f t="shared" ca="1" si="445"/>
        <v/>
      </c>
      <c r="AS212" s="828" t="str">
        <f t="shared" ca="1" si="446"/>
        <v/>
      </c>
      <c r="AT212" s="828" t="str">
        <f t="shared" ca="1" si="447"/>
        <v/>
      </c>
      <c r="AU212" s="828" t="str">
        <f t="shared" ca="1" si="448"/>
        <v/>
      </c>
      <c r="AV212" s="828" t="str">
        <f t="shared" ca="1" si="449"/>
        <v/>
      </c>
      <c r="AW212" s="828" t="str">
        <f t="shared" ca="1" si="450"/>
        <v/>
      </c>
      <c r="AX212" s="828" t="str">
        <f t="shared" ca="1" si="451"/>
        <v/>
      </c>
      <c r="AY212" s="828" t="str">
        <f t="shared" ca="1" si="452"/>
        <v/>
      </c>
      <c r="AZ212" s="828" t="str">
        <f t="shared" ca="1" si="453"/>
        <v/>
      </c>
      <c r="BA212" s="828" t="str">
        <f t="shared" ca="1" si="454"/>
        <v/>
      </c>
      <c r="BB212" s="828" t="str">
        <f t="shared" ca="1" si="455"/>
        <v/>
      </c>
      <c r="BC212" s="828" t="str">
        <f t="shared" ca="1" si="456"/>
        <v/>
      </c>
      <c r="BD212" s="828" t="str">
        <f t="shared" ca="1" si="457"/>
        <v/>
      </c>
      <c r="BE212" s="828" t="str">
        <f t="shared" ca="1" si="458"/>
        <v/>
      </c>
      <c r="BF212" s="828" t="str">
        <f t="shared" ca="1" si="459"/>
        <v/>
      </c>
      <c r="BG212" s="828" t="str">
        <f t="shared" ca="1" si="460"/>
        <v/>
      </c>
      <c r="BH212" s="828" t="str">
        <f t="shared" ca="1" si="461"/>
        <v/>
      </c>
      <c r="BI212" s="828" t="str">
        <f t="shared" ca="1" si="462"/>
        <v/>
      </c>
      <c r="BJ212" s="828" t="str">
        <f t="shared" ca="1" si="463"/>
        <v/>
      </c>
      <c r="BK212" s="828" t="str">
        <f t="shared" ca="1" si="464"/>
        <v/>
      </c>
      <c r="BL212" s="828" t="str">
        <f t="shared" ca="1" si="465"/>
        <v/>
      </c>
      <c r="BM212" s="828" t="str">
        <f t="shared" ca="1" si="466"/>
        <v/>
      </c>
      <c r="BN212" s="828" t="str">
        <f t="shared" ca="1" si="467"/>
        <v/>
      </c>
      <c r="BO212" s="828" t="str">
        <f t="shared" ca="1" si="468"/>
        <v/>
      </c>
    </row>
    <row r="213" spans="1:68" ht="20.100000000000001" customHeight="1">
      <c r="A213" s="823">
        <v>50</v>
      </c>
      <c r="B213" s="1870"/>
      <c r="C213" s="1872"/>
      <c r="D213" s="824" t="s">
        <v>4415</v>
      </c>
      <c r="E213" s="824"/>
      <c r="F213" s="825"/>
      <c r="G213" s="826" t="s">
        <v>4158</v>
      </c>
      <c r="H213" s="827">
        <f t="shared" ca="1" si="472"/>
        <v>21.2</v>
      </c>
      <c r="I213" s="827">
        <f t="shared" ca="1" si="472"/>
        <v>21.2</v>
      </c>
      <c r="J213" s="827">
        <f t="shared" ca="1" si="472"/>
        <v>21.2</v>
      </c>
      <c r="K213" s="827">
        <f t="shared" ca="1" si="472"/>
        <v>21.2</v>
      </c>
      <c r="L213" s="828">
        <f t="shared" ca="1" si="470"/>
        <v>0</v>
      </c>
      <c r="M213" s="828">
        <f t="shared" ca="1" si="470"/>
        <v>0</v>
      </c>
      <c r="N213" s="828">
        <f t="shared" ca="1" si="470"/>
        <v>0</v>
      </c>
      <c r="O213" s="828">
        <f t="shared" ca="1" si="470"/>
        <v>0</v>
      </c>
      <c r="P213" s="828">
        <f ca="1">SUM(SUMIFS(OFFSET(貼付け_2024実績,$A213,10,1,199),OFFSET(貼付け_2024実績,4,9,1,199),{"横浜*","川崎*"}))</f>
        <v>0</v>
      </c>
      <c r="Q213" s="828">
        <f ca="1">SUM(SUMIFS(OFFSET(貼付け_2025実績,$A213,10,1,199),OFFSET(貼付け_2025実績,4,9,1,199),{"横浜*","川崎*"}))</f>
        <v>0</v>
      </c>
      <c r="R213" s="828">
        <f ca="1">SUM(SUMIFS(OFFSET(貼付け_2026実績,$A213,10,1,199),OFFSET(貼付け_2026実績,4,9,1,199),{"横浜*","川崎*"}))</f>
        <v>0</v>
      </c>
      <c r="S213" s="828">
        <f ca="1">SUM(SUMIFS(OFFSET(貼付け_2027実績,$A213,10,1,199),OFFSET(貼付け_2027実績,4,9,1,199),{"横浜*","川崎*"}))</f>
        <v>0</v>
      </c>
      <c r="T213" s="828">
        <f t="shared" ca="1" si="471"/>
        <v>0</v>
      </c>
      <c r="U213" s="828">
        <f t="shared" ca="1" si="471"/>
        <v>0</v>
      </c>
      <c r="V213" s="828">
        <f t="shared" ca="1" si="471"/>
        <v>0</v>
      </c>
      <c r="W213" s="828">
        <f t="shared" ca="1" si="471"/>
        <v>0</v>
      </c>
      <c r="X213" s="828">
        <f t="shared" ca="1" si="425"/>
        <v>0</v>
      </c>
      <c r="Y213" s="828">
        <f t="shared" ca="1" si="426"/>
        <v>0</v>
      </c>
      <c r="Z213" s="828">
        <f t="shared" ca="1" si="427"/>
        <v>0</v>
      </c>
      <c r="AA213" s="828">
        <f t="shared" ca="1" si="428"/>
        <v>0</v>
      </c>
      <c r="AB213" s="828" t="str">
        <f t="shared" ca="1" si="429"/>
        <v/>
      </c>
      <c r="AC213" s="828" t="str">
        <f t="shared" ca="1" si="430"/>
        <v/>
      </c>
      <c r="AD213" s="828" t="str">
        <f t="shared" ca="1" si="431"/>
        <v/>
      </c>
      <c r="AE213" s="828" t="str">
        <f t="shared" ca="1" si="432"/>
        <v/>
      </c>
      <c r="AF213" s="828" t="str">
        <f t="shared" ca="1" si="433"/>
        <v/>
      </c>
      <c r="AG213" s="828" t="str">
        <f t="shared" ca="1" si="434"/>
        <v/>
      </c>
      <c r="AH213" s="828" t="str">
        <f t="shared" ca="1" si="435"/>
        <v/>
      </c>
      <c r="AI213" s="828" t="str">
        <f t="shared" ca="1" si="436"/>
        <v/>
      </c>
      <c r="AJ213" s="828" t="str">
        <f t="shared" ca="1" si="437"/>
        <v/>
      </c>
      <c r="AK213" s="828" t="str">
        <f t="shared" ca="1" si="438"/>
        <v/>
      </c>
      <c r="AL213" s="828" t="str">
        <f t="shared" ca="1" si="439"/>
        <v/>
      </c>
      <c r="AM213" s="828" t="str">
        <f t="shared" ca="1" si="440"/>
        <v/>
      </c>
      <c r="AN213" s="828" t="str">
        <f t="shared" ca="1" si="441"/>
        <v/>
      </c>
      <c r="AO213" s="828" t="str">
        <f t="shared" ca="1" si="442"/>
        <v/>
      </c>
      <c r="AP213" s="828" t="str">
        <f t="shared" ca="1" si="443"/>
        <v/>
      </c>
      <c r="AQ213" s="828" t="str">
        <f t="shared" ca="1" si="444"/>
        <v/>
      </c>
      <c r="AR213" s="828" t="str">
        <f t="shared" ca="1" si="445"/>
        <v/>
      </c>
      <c r="AS213" s="828" t="str">
        <f t="shared" ca="1" si="446"/>
        <v/>
      </c>
      <c r="AT213" s="828" t="str">
        <f t="shared" ca="1" si="447"/>
        <v/>
      </c>
      <c r="AU213" s="828" t="str">
        <f t="shared" ca="1" si="448"/>
        <v/>
      </c>
      <c r="AV213" s="828" t="str">
        <f t="shared" ca="1" si="449"/>
        <v/>
      </c>
      <c r="AW213" s="828" t="str">
        <f t="shared" ca="1" si="450"/>
        <v/>
      </c>
      <c r="AX213" s="828" t="str">
        <f t="shared" ca="1" si="451"/>
        <v/>
      </c>
      <c r="AY213" s="828" t="str">
        <f t="shared" ca="1" si="452"/>
        <v/>
      </c>
      <c r="AZ213" s="828" t="str">
        <f t="shared" ca="1" si="453"/>
        <v/>
      </c>
      <c r="BA213" s="828" t="str">
        <f t="shared" ca="1" si="454"/>
        <v/>
      </c>
      <c r="BB213" s="828" t="str">
        <f t="shared" ca="1" si="455"/>
        <v/>
      </c>
      <c r="BC213" s="828" t="str">
        <f t="shared" ca="1" si="456"/>
        <v/>
      </c>
      <c r="BD213" s="828" t="str">
        <f t="shared" ca="1" si="457"/>
        <v/>
      </c>
      <c r="BE213" s="828" t="str">
        <f t="shared" ca="1" si="458"/>
        <v/>
      </c>
      <c r="BF213" s="828" t="str">
        <f t="shared" ca="1" si="459"/>
        <v/>
      </c>
      <c r="BG213" s="828" t="str">
        <f t="shared" ca="1" si="460"/>
        <v/>
      </c>
      <c r="BH213" s="828" t="str">
        <f t="shared" ca="1" si="461"/>
        <v/>
      </c>
      <c r="BI213" s="828" t="str">
        <f t="shared" ca="1" si="462"/>
        <v/>
      </c>
      <c r="BJ213" s="828" t="str">
        <f t="shared" ca="1" si="463"/>
        <v/>
      </c>
      <c r="BK213" s="828" t="str">
        <f t="shared" ca="1" si="464"/>
        <v/>
      </c>
      <c r="BL213" s="828" t="str">
        <f t="shared" ca="1" si="465"/>
        <v/>
      </c>
      <c r="BM213" s="828" t="str">
        <f t="shared" ca="1" si="466"/>
        <v/>
      </c>
      <c r="BN213" s="828" t="str">
        <f t="shared" ca="1" si="467"/>
        <v/>
      </c>
      <c r="BO213" s="828" t="str">
        <f t="shared" ca="1" si="468"/>
        <v/>
      </c>
    </row>
    <row r="214" spans="1:68" ht="20.100000000000001" customHeight="1">
      <c r="A214" s="823">
        <v>51</v>
      </c>
      <c r="B214" s="1870"/>
      <c r="C214" s="1872"/>
      <c r="D214" s="824" t="s">
        <v>4416</v>
      </c>
      <c r="E214" s="824"/>
      <c r="F214" s="825"/>
      <c r="G214" s="826" t="s">
        <v>3777</v>
      </c>
      <c r="H214" s="827">
        <f t="shared" ca="1" si="472"/>
        <v>17.100000000000001</v>
      </c>
      <c r="I214" s="827">
        <f t="shared" ca="1" si="472"/>
        <v>17.100000000000001</v>
      </c>
      <c r="J214" s="827">
        <f t="shared" ca="1" si="472"/>
        <v>17.100000000000001</v>
      </c>
      <c r="K214" s="827">
        <f t="shared" ca="1" si="472"/>
        <v>17.100000000000001</v>
      </c>
      <c r="L214" s="828">
        <f t="shared" ca="1" si="470"/>
        <v>0</v>
      </c>
      <c r="M214" s="828">
        <f t="shared" ca="1" si="470"/>
        <v>0</v>
      </c>
      <c r="N214" s="828">
        <f t="shared" ca="1" si="470"/>
        <v>0</v>
      </c>
      <c r="O214" s="828">
        <f t="shared" ca="1" si="470"/>
        <v>0</v>
      </c>
      <c r="P214" s="828">
        <f ca="1">SUM(SUMIFS(OFFSET(貼付け_2024実績,$A214,10,1,199),OFFSET(貼付け_2024実績,4,9,1,199),{"横浜*","川崎*"}))</f>
        <v>0</v>
      </c>
      <c r="Q214" s="828">
        <f ca="1">SUM(SUMIFS(OFFSET(貼付け_2025実績,$A214,10,1,199),OFFSET(貼付け_2025実績,4,9,1,199),{"横浜*","川崎*"}))</f>
        <v>0</v>
      </c>
      <c r="R214" s="828">
        <f ca="1">SUM(SUMIFS(OFFSET(貼付け_2026実績,$A214,10,1,199),OFFSET(貼付け_2026実績,4,9,1,199),{"横浜*","川崎*"}))</f>
        <v>0</v>
      </c>
      <c r="S214" s="828">
        <f ca="1">SUM(SUMIFS(OFFSET(貼付け_2027実績,$A214,10,1,199),OFFSET(貼付け_2027実績,4,9,1,199),{"横浜*","川崎*"}))</f>
        <v>0</v>
      </c>
      <c r="T214" s="828">
        <f t="shared" ca="1" si="471"/>
        <v>0</v>
      </c>
      <c r="U214" s="828">
        <f t="shared" ca="1" si="471"/>
        <v>0</v>
      </c>
      <c r="V214" s="828">
        <f t="shared" ca="1" si="471"/>
        <v>0</v>
      </c>
      <c r="W214" s="828">
        <f t="shared" ca="1" si="471"/>
        <v>0</v>
      </c>
      <c r="X214" s="828">
        <f t="shared" ca="1" si="425"/>
        <v>0</v>
      </c>
      <c r="Y214" s="828">
        <f t="shared" ca="1" si="426"/>
        <v>0</v>
      </c>
      <c r="Z214" s="828">
        <f t="shared" ca="1" si="427"/>
        <v>0</v>
      </c>
      <c r="AA214" s="828">
        <f t="shared" ca="1" si="428"/>
        <v>0</v>
      </c>
      <c r="AB214" s="828" t="str">
        <f t="shared" ca="1" si="429"/>
        <v/>
      </c>
      <c r="AC214" s="828" t="str">
        <f t="shared" ca="1" si="430"/>
        <v/>
      </c>
      <c r="AD214" s="828" t="str">
        <f t="shared" ca="1" si="431"/>
        <v/>
      </c>
      <c r="AE214" s="828" t="str">
        <f t="shared" ca="1" si="432"/>
        <v/>
      </c>
      <c r="AF214" s="828" t="str">
        <f t="shared" ca="1" si="433"/>
        <v/>
      </c>
      <c r="AG214" s="828" t="str">
        <f t="shared" ca="1" si="434"/>
        <v/>
      </c>
      <c r="AH214" s="828" t="str">
        <f t="shared" ca="1" si="435"/>
        <v/>
      </c>
      <c r="AI214" s="828" t="str">
        <f t="shared" ca="1" si="436"/>
        <v/>
      </c>
      <c r="AJ214" s="828" t="str">
        <f t="shared" ca="1" si="437"/>
        <v/>
      </c>
      <c r="AK214" s="828" t="str">
        <f t="shared" ca="1" si="438"/>
        <v/>
      </c>
      <c r="AL214" s="828" t="str">
        <f t="shared" ca="1" si="439"/>
        <v/>
      </c>
      <c r="AM214" s="828" t="str">
        <f t="shared" ca="1" si="440"/>
        <v/>
      </c>
      <c r="AN214" s="828" t="str">
        <f t="shared" ca="1" si="441"/>
        <v/>
      </c>
      <c r="AO214" s="828" t="str">
        <f t="shared" ca="1" si="442"/>
        <v/>
      </c>
      <c r="AP214" s="828" t="str">
        <f t="shared" ca="1" si="443"/>
        <v/>
      </c>
      <c r="AQ214" s="828" t="str">
        <f t="shared" ca="1" si="444"/>
        <v/>
      </c>
      <c r="AR214" s="828" t="str">
        <f t="shared" ca="1" si="445"/>
        <v/>
      </c>
      <c r="AS214" s="828" t="str">
        <f t="shared" ca="1" si="446"/>
        <v/>
      </c>
      <c r="AT214" s="828" t="str">
        <f t="shared" ca="1" si="447"/>
        <v/>
      </c>
      <c r="AU214" s="828" t="str">
        <f t="shared" ca="1" si="448"/>
        <v/>
      </c>
      <c r="AV214" s="828" t="str">
        <f t="shared" ca="1" si="449"/>
        <v/>
      </c>
      <c r="AW214" s="828" t="str">
        <f t="shared" ca="1" si="450"/>
        <v/>
      </c>
      <c r="AX214" s="828" t="str">
        <f t="shared" ca="1" si="451"/>
        <v/>
      </c>
      <c r="AY214" s="828" t="str">
        <f t="shared" ca="1" si="452"/>
        <v/>
      </c>
      <c r="AZ214" s="828" t="str">
        <f t="shared" ca="1" si="453"/>
        <v/>
      </c>
      <c r="BA214" s="828" t="str">
        <f t="shared" ca="1" si="454"/>
        <v/>
      </c>
      <c r="BB214" s="828" t="str">
        <f t="shared" ca="1" si="455"/>
        <v/>
      </c>
      <c r="BC214" s="828" t="str">
        <f t="shared" ca="1" si="456"/>
        <v/>
      </c>
      <c r="BD214" s="828" t="str">
        <f t="shared" ca="1" si="457"/>
        <v/>
      </c>
      <c r="BE214" s="828" t="str">
        <f t="shared" ca="1" si="458"/>
        <v/>
      </c>
      <c r="BF214" s="828" t="str">
        <f t="shared" ca="1" si="459"/>
        <v/>
      </c>
      <c r="BG214" s="828" t="str">
        <f t="shared" ca="1" si="460"/>
        <v/>
      </c>
      <c r="BH214" s="828" t="str">
        <f t="shared" ca="1" si="461"/>
        <v/>
      </c>
      <c r="BI214" s="828" t="str">
        <f t="shared" ca="1" si="462"/>
        <v/>
      </c>
      <c r="BJ214" s="828" t="str">
        <f t="shared" ca="1" si="463"/>
        <v/>
      </c>
      <c r="BK214" s="828" t="str">
        <f t="shared" ca="1" si="464"/>
        <v/>
      </c>
      <c r="BL214" s="828" t="str">
        <f t="shared" ca="1" si="465"/>
        <v/>
      </c>
      <c r="BM214" s="828" t="str">
        <f t="shared" ca="1" si="466"/>
        <v/>
      </c>
      <c r="BN214" s="828" t="str">
        <f t="shared" ca="1" si="467"/>
        <v/>
      </c>
      <c r="BO214" s="828" t="str">
        <f t="shared" ca="1" si="468"/>
        <v/>
      </c>
    </row>
    <row r="215" spans="1:68" ht="20.100000000000001" customHeight="1">
      <c r="A215" s="823">
        <v>52</v>
      </c>
      <c r="B215" s="1870"/>
      <c r="C215" s="1872"/>
      <c r="D215" s="824" t="s">
        <v>4417</v>
      </c>
      <c r="E215" s="824"/>
      <c r="F215" s="825"/>
      <c r="G215" s="826" t="s">
        <v>3777</v>
      </c>
      <c r="H215" s="827">
        <f t="shared" ca="1" si="472"/>
        <v>142</v>
      </c>
      <c r="I215" s="827">
        <f t="shared" ca="1" si="472"/>
        <v>142</v>
      </c>
      <c r="J215" s="827">
        <f t="shared" ca="1" si="472"/>
        <v>142</v>
      </c>
      <c r="K215" s="827">
        <f t="shared" ca="1" si="472"/>
        <v>142</v>
      </c>
      <c r="L215" s="828">
        <f t="shared" ca="1" si="470"/>
        <v>0</v>
      </c>
      <c r="M215" s="828">
        <f t="shared" ca="1" si="470"/>
        <v>0</v>
      </c>
      <c r="N215" s="828">
        <f t="shared" ca="1" si="470"/>
        <v>0</v>
      </c>
      <c r="O215" s="828">
        <f t="shared" ca="1" si="470"/>
        <v>0</v>
      </c>
      <c r="P215" s="828">
        <f ca="1">SUM(SUMIFS(OFFSET(貼付け_2024実績,$A215,10,1,199),OFFSET(貼付け_2024実績,4,9,1,199),{"横浜*","川崎*"}))</f>
        <v>0</v>
      </c>
      <c r="Q215" s="828">
        <f ca="1">SUM(SUMIFS(OFFSET(貼付け_2025実績,$A215,10,1,199),OFFSET(貼付け_2025実績,4,9,1,199),{"横浜*","川崎*"}))</f>
        <v>0</v>
      </c>
      <c r="R215" s="828">
        <f ca="1">SUM(SUMIFS(OFFSET(貼付け_2026実績,$A215,10,1,199),OFFSET(貼付け_2026実績,4,9,1,199),{"横浜*","川崎*"}))</f>
        <v>0</v>
      </c>
      <c r="S215" s="828">
        <f ca="1">SUM(SUMIFS(OFFSET(貼付け_2027実績,$A215,10,1,199),OFFSET(貼付け_2027実績,4,9,1,199),{"横浜*","川崎*"}))</f>
        <v>0</v>
      </c>
      <c r="T215" s="828">
        <f t="shared" ca="1" si="471"/>
        <v>0</v>
      </c>
      <c r="U215" s="828">
        <f t="shared" ca="1" si="471"/>
        <v>0</v>
      </c>
      <c r="V215" s="828">
        <f t="shared" ca="1" si="471"/>
        <v>0</v>
      </c>
      <c r="W215" s="828">
        <f t="shared" ca="1" si="471"/>
        <v>0</v>
      </c>
      <c r="X215" s="828">
        <f t="shared" ca="1" si="425"/>
        <v>0</v>
      </c>
      <c r="Y215" s="828">
        <f t="shared" ca="1" si="426"/>
        <v>0</v>
      </c>
      <c r="Z215" s="828">
        <f t="shared" ca="1" si="427"/>
        <v>0</v>
      </c>
      <c r="AA215" s="828">
        <f t="shared" ca="1" si="428"/>
        <v>0</v>
      </c>
      <c r="AB215" s="828" t="str">
        <f t="shared" ca="1" si="429"/>
        <v/>
      </c>
      <c r="AC215" s="828" t="str">
        <f t="shared" ca="1" si="430"/>
        <v/>
      </c>
      <c r="AD215" s="828" t="str">
        <f t="shared" ca="1" si="431"/>
        <v/>
      </c>
      <c r="AE215" s="828" t="str">
        <f t="shared" ca="1" si="432"/>
        <v/>
      </c>
      <c r="AF215" s="828" t="str">
        <f t="shared" ca="1" si="433"/>
        <v/>
      </c>
      <c r="AG215" s="828" t="str">
        <f t="shared" ca="1" si="434"/>
        <v/>
      </c>
      <c r="AH215" s="828" t="str">
        <f t="shared" ca="1" si="435"/>
        <v/>
      </c>
      <c r="AI215" s="828" t="str">
        <f t="shared" ca="1" si="436"/>
        <v/>
      </c>
      <c r="AJ215" s="828" t="str">
        <f t="shared" ca="1" si="437"/>
        <v/>
      </c>
      <c r="AK215" s="828" t="str">
        <f t="shared" ca="1" si="438"/>
        <v/>
      </c>
      <c r="AL215" s="828" t="str">
        <f t="shared" ca="1" si="439"/>
        <v/>
      </c>
      <c r="AM215" s="828" t="str">
        <f t="shared" ca="1" si="440"/>
        <v/>
      </c>
      <c r="AN215" s="828" t="str">
        <f t="shared" ca="1" si="441"/>
        <v/>
      </c>
      <c r="AO215" s="828" t="str">
        <f t="shared" ca="1" si="442"/>
        <v/>
      </c>
      <c r="AP215" s="828" t="str">
        <f t="shared" ca="1" si="443"/>
        <v/>
      </c>
      <c r="AQ215" s="828" t="str">
        <f t="shared" ca="1" si="444"/>
        <v/>
      </c>
      <c r="AR215" s="828" t="str">
        <f t="shared" ca="1" si="445"/>
        <v/>
      </c>
      <c r="AS215" s="828" t="str">
        <f t="shared" ca="1" si="446"/>
        <v/>
      </c>
      <c r="AT215" s="828" t="str">
        <f t="shared" ca="1" si="447"/>
        <v/>
      </c>
      <c r="AU215" s="828" t="str">
        <f t="shared" ca="1" si="448"/>
        <v/>
      </c>
      <c r="AV215" s="828" t="str">
        <f t="shared" ca="1" si="449"/>
        <v/>
      </c>
      <c r="AW215" s="828" t="str">
        <f t="shared" ca="1" si="450"/>
        <v/>
      </c>
      <c r="AX215" s="828" t="str">
        <f t="shared" ca="1" si="451"/>
        <v/>
      </c>
      <c r="AY215" s="828" t="str">
        <f t="shared" ca="1" si="452"/>
        <v/>
      </c>
      <c r="AZ215" s="828" t="str">
        <f t="shared" ca="1" si="453"/>
        <v/>
      </c>
      <c r="BA215" s="828" t="str">
        <f t="shared" ca="1" si="454"/>
        <v/>
      </c>
      <c r="BB215" s="828" t="str">
        <f t="shared" ca="1" si="455"/>
        <v/>
      </c>
      <c r="BC215" s="828" t="str">
        <f t="shared" ca="1" si="456"/>
        <v/>
      </c>
      <c r="BD215" s="828" t="str">
        <f t="shared" ca="1" si="457"/>
        <v/>
      </c>
      <c r="BE215" s="828" t="str">
        <f t="shared" ca="1" si="458"/>
        <v/>
      </c>
      <c r="BF215" s="828" t="str">
        <f t="shared" ca="1" si="459"/>
        <v/>
      </c>
      <c r="BG215" s="828" t="str">
        <f t="shared" ca="1" si="460"/>
        <v/>
      </c>
      <c r="BH215" s="828" t="str">
        <f t="shared" ca="1" si="461"/>
        <v/>
      </c>
      <c r="BI215" s="828" t="str">
        <f t="shared" ca="1" si="462"/>
        <v/>
      </c>
      <c r="BJ215" s="828" t="str">
        <f t="shared" ca="1" si="463"/>
        <v/>
      </c>
      <c r="BK215" s="828" t="str">
        <f t="shared" ca="1" si="464"/>
        <v/>
      </c>
      <c r="BL215" s="828" t="str">
        <f t="shared" ca="1" si="465"/>
        <v/>
      </c>
      <c r="BM215" s="828" t="str">
        <f t="shared" ca="1" si="466"/>
        <v/>
      </c>
      <c r="BN215" s="828" t="str">
        <f t="shared" ca="1" si="467"/>
        <v/>
      </c>
      <c r="BO215" s="828" t="str">
        <f t="shared" ca="1" si="468"/>
        <v/>
      </c>
    </row>
    <row r="216" spans="1:68" ht="20.100000000000001" customHeight="1">
      <c r="A216" s="823">
        <v>53</v>
      </c>
      <c r="B216" s="1870"/>
      <c r="C216" s="1872"/>
      <c r="D216" s="824" t="s">
        <v>4192</v>
      </c>
      <c r="E216" s="824"/>
      <c r="F216" s="825"/>
      <c r="G216" s="826" t="s">
        <v>3777</v>
      </c>
      <c r="H216" s="827">
        <f t="shared" ca="1" si="472"/>
        <v>22.5</v>
      </c>
      <c r="I216" s="827">
        <f t="shared" ca="1" si="472"/>
        <v>22.5</v>
      </c>
      <c r="J216" s="827">
        <f t="shared" ca="1" si="472"/>
        <v>22.5</v>
      </c>
      <c r="K216" s="827">
        <f t="shared" ca="1" si="472"/>
        <v>22.5</v>
      </c>
      <c r="L216" s="828">
        <f t="shared" ca="1" si="470"/>
        <v>0</v>
      </c>
      <c r="M216" s="828">
        <f t="shared" ca="1" si="470"/>
        <v>0</v>
      </c>
      <c r="N216" s="828">
        <f t="shared" ca="1" si="470"/>
        <v>0</v>
      </c>
      <c r="O216" s="828">
        <f t="shared" ca="1" si="470"/>
        <v>0</v>
      </c>
      <c r="P216" s="828">
        <f ca="1">SUM(SUMIFS(OFFSET(貼付け_2024実績,$A216,10,1,199),OFFSET(貼付け_2024実績,4,9,1,199),{"横浜*","川崎*"}))</f>
        <v>0</v>
      </c>
      <c r="Q216" s="828">
        <f ca="1">SUM(SUMIFS(OFFSET(貼付け_2025実績,$A216,10,1,199),OFFSET(貼付け_2025実績,4,9,1,199),{"横浜*","川崎*"}))</f>
        <v>0</v>
      </c>
      <c r="R216" s="828">
        <f ca="1">SUM(SUMIFS(OFFSET(貼付け_2026実績,$A216,10,1,199),OFFSET(貼付け_2026実績,4,9,1,199),{"横浜*","川崎*"}))</f>
        <v>0</v>
      </c>
      <c r="S216" s="828">
        <f ca="1">SUM(SUMIFS(OFFSET(貼付け_2027実績,$A216,10,1,199),OFFSET(貼付け_2027実績,4,9,1,199),{"横浜*","川崎*"}))</f>
        <v>0</v>
      </c>
      <c r="T216" s="828">
        <f t="shared" ca="1" si="471"/>
        <v>0</v>
      </c>
      <c r="U216" s="828">
        <f t="shared" ca="1" si="471"/>
        <v>0</v>
      </c>
      <c r="V216" s="828">
        <f t="shared" ca="1" si="471"/>
        <v>0</v>
      </c>
      <c r="W216" s="828">
        <f t="shared" ca="1" si="471"/>
        <v>0</v>
      </c>
      <c r="X216" s="828">
        <f t="shared" ca="1" si="425"/>
        <v>0</v>
      </c>
      <c r="Y216" s="828">
        <f t="shared" ca="1" si="426"/>
        <v>0</v>
      </c>
      <c r="Z216" s="828">
        <f t="shared" ca="1" si="427"/>
        <v>0</v>
      </c>
      <c r="AA216" s="828">
        <f t="shared" ca="1" si="428"/>
        <v>0</v>
      </c>
      <c r="AB216" s="828" t="str">
        <f t="shared" ca="1" si="429"/>
        <v/>
      </c>
      <c r="AC216" s="828" t="str">
        <f t="shared" ca="1" si="430"/>
        <v/>
      </c>
      <c r="AD216" s="828" t="str">
        <f t="shared" ca="1" si="431"/>
        <v/>
      </c>
      <c r="AE216" s="828" t="str">
        <f t="shared" ca="1" si="432"/>
        <v/>
      </c>
      <c r="AF216" s="828" t="str">
        <f t="shared" ca="1" si="433"/>
        <v/>
      </c>
      <c r="AG216" s="828" t="str">
        <f t="shared" ca="1" si="434"/>
        <v/>
      </c>
      <c r="AH216" s="828" t="str">
        <f t="shared" ca="1" si="435"/>
        <v/>
      </c>
      <c r="AI216" s="828" t="str">
        <f t="shared" ca="1" si="436"/>
        <v/>
      </c>
      <c r="AJ216" s="828" t="str">
        <f t="shared" ca="1" si="437"/>
        <v/>
      </c>
      <c r="AK216" s="828" t="str">
        <f t="shared" ca="1" si="438"/>
        <v/>
      </c>
      <c r="AL216" s="828" t="str">
        <f t="shared" ca="1" si="439"/>
        <v/>
      </c>
      <c r="AM216" s="828" t="str">
        <f t="shared" ca="1" si="440"/>
        <v/>
      </c>
      <c r="AN216" s="828" t="str">
        <f t="shared" ca="1" si="441"/>
        <v/>
      </c>
      <c r="AO216" s="828" t="str">
        <f t="shared" ca="1" si="442"/>
        <v/>
      </c>
      <c r="AP216" s="828" t="str">
        <f t="shared" ca="1" si="443"/>
        <v/>
      </c>
      <c r="AQ216" s="828" t="str">
        <f t="shared" ca="1" si="444"/>
        <v/>
      </c>
      <c r="AR216" s="828" t="str">
        <f t="shared" ca="1" si="445"/>
        <v/>
      </c>
      <c r="AS216" s="828" t="str">
        <f t="shared" ca="1" si="446"/>
        <v/>
      </c>
      <c r="AT216" s="828" t="str">
        <f t="shared" ca="1" si="447"/>
        <v/>
      </c>
      <c r="AU216" s="828" t="str">
        <f t="shared" ca="1" si="448"/>
        <v/>
      </c>
      <c r="AV216" s="828" t="str">
        <f t="shared" ca="1" si="449"/>
        <v/>
      </c>
      <c r="AW216" s="828" t="str">
        <f t="shared" ca="1" si="450"/>
        <v/>
      </c>
      <c r="AX216" s="828" t="str">
        <f t="shared" ca="1" si="451"/>
        <v/>
      </c>
      <c r="AY216" s="828" t="str">
        <f t="shared" ca="1" si="452"/>
        <v/>
      </c>
      <c r="AZ216" s="828" t="str">
        <f t="shared" ca="1" si="453"/>
        <v/>
      </c>
      <c r="BA216" s="828" t="str">
        <f t="shared" ca="1" si="454"/>
        <v/>
      </c>
      <c r="BB216" s="828" t="str">
        <f t="shared" ca="1" si="455"/>
        <v/>
      </c>
      <c r="BC216" s="828" t="str">
        <f t="shared" ca="1" si="456"/>
        <v/>
      </c>
      <c r="BD216" s="828" t="str">
        <f t="shared" ca="1" si="457"/>
        <v/>
      </c>
      <c r="BE216" s="828" t="str">
        <f t="shared" ca="1" si="458"/>
        <v/>
      </c>
      <c r="BF216" s="828" t="str">
        <f t="shared" ca="1" si="459"/>
        <v/>
      </c>
      <c r="BG216" s="828" t="str">
        <f t="shared" ca="1" si="460"/>
        <v/>
      </c>
      <c r="BH216" s="828" t="str">
        <f t="shared" ca="1" si="461"/>
        <v/>
      </c>
      <c r="BI216" s="828" t="str">
        <f t="shared" ca="1" si="462"/>
        <v/>
      </c>
      <c r="BJ216" s="828" t="str">
        <f t="shared" ca="1" si="463"/>
        <v/>
      </c>
      <c r="BK216" s="828" t="str">
        <f t="shared" ca="1" si="464"/>
        <v/>
      </c>
      <c r="BL216" s="828" t="str">
        <f t="shared" ca="1" si="465"/>
        <v/>
      </c>
      <c r="BM216" s="828" t="str">
        <f t="shared" ca="1" si="466"/>
        <v/>
      </c>
      <c r="BN216" s="828" t="str">
        <f t="shared" ca="1" si="467"/>
        <v/>
      </c>
      <c r="BO216" s="828" t="str">
        <f t="shared" ca="1" si="468"/>
        <v/>
      </c>
    </row>
    <row r="217" spans="1:68" ht="20.100000000000001" customHeight="1">
      <c r="A217" s="823">
        <v>54</v>
      </c>
      <c r="B217" s="1870"/>
      <c r="C217" s="1872"/>
      <c r="D217" s="824" t="s">
        <v>4418</v>
      </c>
      <c r="E217" s="831" t="str">
        <f ca="1">E55</f>
        <v/>
      </c>
      <c r="F217" s="833"/>
      <c r="G217" s="831" t="str">
        <f ca="1">G55</f>
        <v/>
      </c>
      <c r="H217" s="827">
        <f t="shared" ca="1" si="472"/>
        <v>0</v>
      </c>
      <c r="I217" s="827">
        <f t="shared" ca="1" si="472"/>
        <v>0</v>
      </c>
      <c r="J217" s="827">
        <f t="shared" ca="1" si="472"/>
        <v>0</v>
      </c>
      <c r="K217" s="827">
        <f t="shared" ca="1" si="472"/>
        <v>0</v>
      </c>
      <c r="L217" s="828">
        <f t="shared" ca="1" si="470"/>
        <v>0</v>
      </c>
      <c r="M217" s="828">
        <f t="shared" ca="1" si="470"/>
        <v>0</v>
      </c>
      <c r="N217" s="828">
        <f t="shared" ca="1" si="470"/>
        <v>0</v>
      </c>
      <c r="O217" s="828">
        <f t="shared" ca="1" si="470"/>
        <v>0</v>
      </c>
      <c r="P217" s="828">
        <f ca="1">SUM(SUMIFS(OFFSET(貼付け_2024実績,$A217,10,1,199),OFFSET(貼付け_2024実績,4,9,1,199),{"横浜*","川崎*"}))</f>
        <v>0</v>
      </c>
      <c r="Q217" s="828">
        <f ca="1">SUM(SUMIFS(OFFSET(貼付け_2025実績,$A217,10,1,199),OFFSET(貼付け_2025実績,4,9,1,199),{"横浜*","川崎*"}))</f>
        <v>0</v>
      </c>
      <c r="R217" s="828">
        <f ca="1">SUM(SUMIFS(OFFSET(貼付け_2026実績,$A217,10,1,199),OFFSET(貼付け_2026実績,4,9,1,199),{"横浜*","川崎*"}))</f>
        <v>0</v>
      </c>
      <c r="S217" s="828">
        <f ca="1">SUM(SUMIFS(OFFSET(貼付け_2027実績,$A217,10,1,199),OFFSET(貼付け_2027実績,4,9,1,199),{"横浜*","川崎*"}))</f>
        <v>0</v>
      </c>
      <c r="T217" s="828">
        <f t="shared" ca="1" si="471"/>
        <v>0</v>
      </c>
      <c r="U217" s="828">
        <f t="shared" ca="1" si="471"/>
        <v>0</v>
      </c>
      <c r="V217" s="828">
        <f t="shared" ca="1" si="471"/>
        <v>0</v>
      </c>
      <c r="W217" s="828">
        <f t="shared" ca="1" si="471"/>
        <v>0</v>
      </c>
      <c r="X217" s="828">
        <f t="shared" ca="1" si="425"/>
        <v>0</v>
      </c>
      <c r="Y217" s="828">
        <f t="shared" ca="1" si="426"/>
        <v>0</v>
      </c>
      <c r="Z217" s="828">
        <f t="shared" ca="1" si="427"/>
        <v>0</v>
      </c>
      <c r="AA217" s="828">
        <f t="shared" ca="1" si="428"/>
        <v>0</v>
      </c>
      <c r="AB217" s="828" t="str">
        <f t="shared" ca="1" si="429"/>
        <v/>
      </c>
      <c r="AC217" s="828" t="str">
        <f t="shared" ca="1" si="430"/>
        <v/>
      </c>
      <c r="AD217" s="828" t="str">
        <f t="shared" ca="1" si="431"/>
        <v/>
      </c>
      <c r="AE217" s="828" t="str">
        <f t="shared" ca="1" si="432"/>
        <v/>
      </c>
      <c r="AF217" s="828" t="str">
        <f t="shared" ca="1" si="433"/>
        <v/>
      </c>
      <c r="AG217" s="828" t="str">
        <f t="shared" ca="1" si="434"/>
        <v/>
      </c>
      <c r="AH217" s="828" t="str">
        <f t="shared" ca="1" si="435"/>
        <v/>
      </c>
      <c r="AI217" s="828" t="str">
        <f t="shared" ca="1" si="436"/>
        <v/>
      </c>
      <c r="AJ217" s="828" t="str">
        <f t="shared" ca="1" si="437"/>
        <v/>
      </c>
      <c r="AK217" s="828" t="str">
        <f t="shared" ca="1" si="438"/>
        <v/>
      </c>
      <c r="AL217" s="828" t="str">
        <f t="shared" ca="1" si="439"/>
        <v/>
      </c>
      <c r="AM217" s="828" t="str">
        <f t="shared" ca="1" si="440"/>
        <v/>
      </c>
      <c r="AN217" s="828" t="str">
        <f t="shared" ca="1" si="441"/>
        <v/>
      </c>
      <c r="AO217" s="828" t="str">
        <f t="shared" ca="1" si="442"/>
        <v/>
      </c>
      <c r="AP217" s="828" t="str">
        <f t="shared" ca="1" si="443"/>
        <v/>
      </c>
      <c r="AQ217" s="828" t="str">
        <f t="shared" ca="1" si="444"/>
        <v/>
      </c>
      <c r="AR217" s="828" t="str">
        <f t="shared" ca="1" si="445"/>
        <v/>
      </c>
      <c r="AS217" s="828" t="str">
        <f t="shared" ca="1" si="446"/>
        <v/>
      </c>
      <c r="AT217" s="828" t="str">
        <f t="shared" ca="1" si="447"/>
        <v/>
      </c>
      <c r="AU217" s="828" t="str">
        <f t="shared" ca="1" si="448"/>
        <v/>
      </c>
      <c r="AV217" s="828" t="str">
        <f t="shared" ca="1" si="449"/>
        <v/>
      </c>
      <c r="AW217" s="828" t="str">
        <f t="shared" ca="1" si="450"/>
        <v/>
      </c>
      <c r="AX217" s="828" t="str">
        <f t="shared" ca="1" si="451"/>
        <v/>
      </c>
      <c r="AY217" s="828" t="str">
        <f t="shared" ca="1" si="452"/>
        <v/>
      </c>
      <c r="AZ217" s="828" t="str">
        <f t="shared" ca="1" si="453"/>
        <v/>
      </c>
      <c r="BA217" s="828" t="str">
        <f t="shared" ca="1" si="454"/>
        <v/>
      </c>
      <c r="BB217" s="828" t="str">
        <f t="shared" ca="1" si="455"/>
        <v/>
      </c>
      <c r="BC217" s="828" t="str">
        <f t="shared" ca="1" si="456"/>
        <v/>
      </c>
      <c r="BD217" s="828" t="str">
        <f t="shared" ca="1" si="457"/>
        <v/>
      </c>
      <c r="BE217" s="828" t="str">
        <f t="shared" ca="1" si="458"/>
        <v/>
      </c>
      <c r="BF217" s="828" t="str">
        <f t="shared" ca="1" si="459"/>
        <v/>
      </c>
      <c r="BG217" s="828" t="str">
        <f t="shared" ca="1" si="460"/>
        <v/>
      </c>
      <c r="BH217" s="828" t="str">
        <f t="shared" ca="1" si="461"/>
        <v/>
      </c>
      <c r="BI217" s="828" t="str">
        <f t="shared" ca="1" si="462"/>
        <v/>
      </c>
      <c r="BJ217" s="828" t="str">
        <f t="shared" ca="1" si="463"/>
        <v/>
      </c>
      <c r="BK217" s="828" t="str">
        <f t="shared" ca="1" si="464"/>
        <v/>
      </c>
      <c r="BL217" s="828" t="str">
        <f t="shared" ca="1" si="465"/>
        <v/>
      </c>
      <c r="BM217" s="828" t="str">
        <f t="shared" ca="1" si="466"/>
        <v/>
      </c>
      <c r="BN217" s="828" t="str">
        <f t="shared" ca="1" si="467"/>
        <v/>
      </c>
      <c r="BO217" s="828" t="str">
        <f t="shared" ca="1" si="468"/>
        <v/>
      </c>
    </row>
    <row r="218" spans="1:68" ht="20.100000000000001" customHeight="1">
      <c r="A218" s="823">
        <v>55</v>
      </c>
      <c r="B218" s="1870"/>
      <c r="C218" s="1872"/>
      <c r="D218" s="824" t="s">
        <v>4419</v>
      </c>
      <c r="E218" s="831" t="str">
        <f ca="1">E56</f>
        <v/>
      </c>
      <c r="F218" s="833"/>
      <c r="G218" s="831" t="str">
        <f ca="1">G56</f>
        <v/>
      </c>
      <c r="H218" s="827">
        <f t="shared" ca="1" si="472"/>
        <v>0</v>
      </c>
      <c r="I218" s="827">
        <f t="shared" ca="1" si="472"/>
        <v>0</v>
      </c>
      <c r="J218" s="827">
        <f t="shared" ca="1" si="472"/>
        <v>0</v>
      </c>
      <c r="K218" s="827">
        <f t="shared" ca="1" si="472"/>
        <v>0</v>
      </c>
      <c r="L218" s="828">
        <f t="shared" ca="1" si="470"/>
        <v>0</v>
      </c>
      <c r="M218" s="828">
        <f t="shared" ca="1" si="470"/>
        <v>0</v>
      </c>
      <c r="N218" s="828">
        <f t="shared" ca="1" si="470"/>
        <v>0</v>
      </c>
      <c r="O218" s="828">
        <f t="shared" ca="1" si="470"/>
        <v>0</v>
      </c>
      <c r="P218" s="828">
        <f ca="1">SUM(SUMIFS(OFFSET(貼付け_2024実績,$A218,10,1,199),OFFSET(貼付け_2024実績,4,9,1,199),{"横浜*","川崎*"}))</f>
        <v>0</v>
      </c>
      <c r="Q218" s="828">
        <f ca="1">SUM(SUMIFS(OFFSET(貼付け_2025実績,$A218,10,1,199),OFFSET(貼付け_2025実績,4,9,1,199),{"横浜*","川崎*"}))</f>
        <v>0</v>
      </c>
      <c r="R218" s="828">
        <f ca="1">SUM(SUMIFS(OFFSET(貼付け_2026実績,$A218,10,1,199),OFFSET(貼付け_2026実績,4,9,1,199),{"横浜*","川崎*"}))</f>
        <v>0</v>
      </c>
      <c r="S218" s="828">
        <f ca="1">SUM(SUMIFS(OFFSET(貼付け_2027実績,$A218,10,1,199),OFFSET(貼付け_2027実績,4,9,1,199),{"横浜*","川崎*"}))</f>
        <v>0</v>
      </c>
      <c r="T218" s="828">
        <f t="shared" ca="1" si="471"/>
        <v>0</v>
      </c>
      <c r="U218" s="828">
        <f t="shared" ca="1" si="471"/>
        <v>0</v>
      </c>
      <c r="V218" s="828">
        <f t="shared" ca="1" si="471"/>
        <v>0</v>
      </c>
      <c r="W218" s="828">
        <f t="shared" ca="1" si="471"/>
        <v>0</v>
      </c>
      <c r="X218" s="828">
        <f t="shared" ca="1" si="425"/>
        <v>0</v>
      </c>
      <c r="Y218" s="828">
        <f t="shared" ca="1" si="426"/>
        <v>0</v>
      </c>
      <c r="Z218" s="828">
        <f t="shared" ca="1" si="427"/>
        <v>0</v>
      </c>
      <c r="AA218" s="828">
        <f t="shared" ca="1" si="428"/>
        <v>0</v>
      </c>
      <c r="AB218" s="828" t="str">
        <f t="shared" ca="1" si="429"/>
        <v/>
      </c>
      <c r="AC218" s="828" t="str">
        <f t="shared" ca="1" si="430"/>
        <v/>
      </c>
      <c r="AD218" s="828" t="str">
        <f t="shared" ca="1" si="431"/>
        <v/>
      </c>
      <c r="AE218" s="828" t="str">
        <f t="shared" ca="1" si="432"/>
        <v/>
      </c>
      <c r="AF218" s="828" t="str">
        <f t="shared" ca="1" si="433"/>
        <v/>
      </c>
      <c r="AG218" s="828" t="str">
        <f t="shared" ca="1" si="434"/>
        <v/>
      </c>
      <c r="AH218" s="828" t="str">
        <f t="shared" ca="1" si="435"/>
        <v/>
      </c>
      <c r="AI218" s="828" t="str">
        <f t="shared" ca="1" si="436"/>
        <v/>
      </c>
      <c r="AJ218" s="828" t="str">
        <f t="shared" ca="1" si="437"/>
        <v/>
      </c>
      <c r="AK218" s="828" t="str">
        <f t="shared" ca="1" si="438"/>
        <v/>
      </c>
      <c r="AL218" s="828" t="str">
        <f t="shared" ca="1" si="439"/>
        <v/>
      </c>
      <c r="AM218" s="828" t="str">
        <f t="shared" ca="1" si="440"/>
        <v/>
      </c>
      <c r="AN218" s="828" t="str">
        <f t="shared" ca="1" si="441"/>
        <v/>
      </c>
      <c r="AO218" s="828" t="str">
        <f t="shared" ca="1" si="442"/>
        <v/>
      </c>
      <c r="AP218" s="828" t="str">
        <f t="shared" ca="1" si="443"/>
        <v/>
      </c>
      <c r="AQ218" s="828" t="str">
        <f t="shared" ca="1" si="444"/>
        <v/>
      </c>
      <c r="AR218" s="828" t="str">
        <f t="shared" ca="1" si="445"/>
        <v/>
      </c>
      <c r="AS218" s="828" t="str">
        <f t="shared" ca="1" si="446"/>
        <v/>
      </c>
      <c r="AT218" s="828" t="str">
        <f t="shared" ca="1" si="447"/>
        <v/>
      </c>
      <c r="AU218" s="828" t="str">
        <f t="shared" ca="1" si="448"/>
        <v/>
      </c>
      <c r="AV218" s="828" t="str">
        <f t="shared" ca="1" si="449"/>
        <v/>
      </c>
      <c r="AW218" s="828" t="str">
        <f t="shared" ca="1" si="450"/>
        <v/>
      </c>
      <c r="AX218" s="828" t="str">
        <f t="shared" ca="1" si="451"/>
        <v/>
      </c>
      <c r="AY218" s="828" t="str">
        <f t="shared" ca="1" si="452"/>
        <v/>
      </c>
      <c r="AZ218" s="828" t="str">
        <f t="shared" ca="1" si="453"/>
        <v/>
      </c>
      <c r="BA218" s="828" t="str">
        <f t="shared" ca="1" si="454"/>
        <v/>
      </c>
      <c r="BB218" s="828" t="str">
        <f t="shared" ca="1" si="455"/>
        <v/>
      </c>
      <c r="BC218" s="828" t="str">
        <f t="shared" ca="1" si="456"/>
        <v/>
      </c>
      <c r="BD218" s="828" t="str">
        <f t="shared" ca="1" si="457"/>
        <v/>
      </c>
      <c r="BE218" s="828" t="str">
        <f t="shared" ca="1" si="458"/>
        <v/>
      </c>
      <c r="BF218" s="828" t="str">
        <f t="shared" ca="1" si="459"/>
        <v/>
      </c>
      <c r="BG218" s="828" t="str">
        <f t="shared" ca="1" si="460"/>
        <v/>
      </c>
      <c r="BH218" s="828" t="str">
        <f t="shared" ca="1" si="461"/>
        <v/>
      </c>
      <c r="BI218" s="828" t="str">
        <f t="shared" ca="1" si="462"/>
        <v/>
      </c>
      <c r="BJ218" s="828" t="str">
        <f t="shared" ca="1" si="463"/>
        <v/>
      </c>
      <c r="BK218" s="828" t="str">
        <f t="shared" ca="1" si="464"/>
        <v/>
      </c>
      <c r="BL218" s="828" t="str">
        <f t="shared" ca="1" si="465"/>
        <v/>
      </c>
      <c r="BM218" s="828" t="str">
        <f t="shared" ca="1" si="466"/>
        <v/>
      </c>
      <c r="BN218" s="828" t="str">
        <f t="shared" ca="1" si="467"/>
        <v/>
      </c>
      <c r="BO218" s="828" t="str">
        <f t="shared" ca="1" si="468"/>
        <v/>
      </c>
      <c r="BP218" s="841"/>
    </row>
    <row r="219" spans="1:68" ht="20.100000000000001" customHeight="1" outlineLevel="1">
      <c r="A219" s="823"/>
      <c r="B219" s="1869" t="s">
        <v>4420</v>
      </c>
      <c r="C219" s="1872" t="s">
        <v>4421</v>
      </c>
      <c r="D219" s="824" t="s">
        <v>4422</v>
      </c>
      <c r="E219" s="829"/>
      <c r="F219" s="849"/>
      <c r="G219" s="826" t="s">
        <v>4196</v>
      </c>
      <c r="H219" s="882"/>
      <c r="I219" s="882"/>
      <c r="J219" s="882"/>
      <c r="K219" s="882"/>
      <c r="L219" s="943"/>
      <c r="M219" s="943"/>
      <c r="N219" s="943"/>
      <c r="O219" s="943"/>
      <c r="P219" s="943"/>
      <c r="Q219" s="943"/>
      <c r="R219" s="943"/>
      <c r="S219" s="943"/>
      <c r="T219" s="943"/>
      <c r="U219" s="943"/>
      <c r="V219" s="943"/>
      <c r="W219" s="943"/>
      <c r="X219" s="943"/>
      <c r="Y219" s="943"/>
      <c r="Z219" s="943"/>
      <c r="AA219" s="943"/>
      <c r="AB219" s="943"/>
      <c r="AC219" s="943"/>
      <c r="AD219" s="943"/>
      <c r="AE219" s="943"/>
      <c r="AF219" s="943"/>
      <c r="AG219" s="943"/>
      <c r="AH219" s="943"/>
      <c r="AI219" s="943"/>
      <c r="AJ219" s="943"/>
      <c r="AK219" s="943"/>
      <c r="AL219" s="943"/>
      <c r="AM219" s="943"/>
      <c r="AN219" s="943"/>
      <c r="AO219" s="943"/>
      <c r="AP219" s="943"/>
      <c r="AQ219" s="943"/>
      <c r="AR219" s="943"/>
      <c r="AS219" s="943"/>
      <c r="AT219" s="943"/>
      <c r="AU219" s="943"/>
      <c r="AV219" s="943"/>
      <c r="AW219" s="943"/>
      <c r="AX219" s="943"/>
      <c r="AY219" s="943"/>
      <c r="AZ219" s="943"/>
      <c r="BA219" s="943"/>
      <c r="BB219" s="943"/>
      <c r="BC219" s="943"/>
      <c r="BD219" s="943"/>
      <c r="BE219" s="943"/>
      <c r="BF219" s="943"/>
      <c r="BG219" s="943"/>
      <c r="BH219" s="943"/>
      <c r="BI219" s="943"/>
      <c r="BJ219" s="943"/>
      <c r="BK219" s="943"/>
      <c r="BL219" s="943"/>
      <c r="BM219" s="943"/>
      <c r="BN219" s="943"/>
      <c r="BO219" s="943"/>
      <c r="BP219" s="841"/>
    </row>
    <row r="220" spans="1:68" ht="20.100000000000001" customHeight="1" outlineLevel="1">
      <c r="A220" s="823"/>
      <c r="B220" s="1870"/>
      <c r="C220" s="1872"/>
      <c r="D220" s="824" t="s">
        <v>4423</v>
      </c>
      <c r="E220" s="829"/>
      <c r="F220" s="849"/>
      <c r="G220" s="826" t="s">
        <v>4196</v>
      </c>
      <c r="H220" s="882"/>
      <c r="I220" s="882"/>
      <c r="J220" s="882"/>
      <c r="K220" s="882"/>
      <c r="L220" s="943"/>
      <c r="M220" s="943"/>
      <c r="N220" s="943"/>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3"/>
      <c r="AP220" s="943"/>
      <c r="AQ220" s="943"/>
      <c r="AR220" s="943"/>
      <c r="AS220" s="943"/>
      <c r="AT220" s="943"/>
      <c r="AU220" s="943"/>
      <c r="AV220" s="943"/>
      <c r="AW220" s="943"/>
      <c r="AX220" s="943"/>
      <c r="AY220" s="943"/>
      <c r="AZ220" s="943"/>
      <c r="BA220" s="943"/>
      <c r="BB220" s="943"/>
      <c r="BC220" s="943"/>
      <c r="BD220" s="943"/>
      <c r="BE220" s="943"/>
      <c r="BF220" s="943"/>
      <c r="BG220" s="943"/>
      <c r="BH220" s="943"/>
      <c r="BI220" s="943"/>
      <c r="BJ220" s="943"/>
      <c r="BK220" s="943"/>
      <c r="BL220" s="943"/>
      <c r="BM220" s="943"/>
      <c r="BN220" s="943"/>
      <c r="BO220" s="943"/>
      <c r="BP220" s="841"/>
    </row>
    <row r="221" spans="1:68" ht="20.100000000000001" customHeight="1" outlineLevel="1">
      <c r="A221" s="823"/>
      <c r="B221" s="1870"/>
      <c r="C221" s="1872"/>
      <c r="D221" s="824" t="s">
        <v>4424</v>
      </c>
      <c r="E221" s="829"/>
      <c r="F221" s="849"/>
      <c r="G221" s="826" t="s">
        <v>4196</v>
      </c>
      <c r="H221" s="882"/>
      <c r="I221" s="882"/>
      <c r="J221" s="882"/>
      <c r="K221" s="882"/>
      <c r="L221" s="943"/>
      <c r="M221" s="943"/>
      <c r="N221" s="943"/>
      <c r="O221" s="943"/>
      <c r="P221" s="943"/>
      <c r="Q221" s="943"/>
      <c r="R221" s="943"/>
      <c r="S221" s="943"/>
      <c r="T221" s="943"/>
      <c r="U221" s="943"/>
      <c r="V221" s="943"/>
      <c r="W221" s="943"/>
      <c r="X221" s="943"/>
      <c r="Y221" s="943"/>
      <c r="Z221" s="943"/>
      <c r="AA221" s="943"/>
      <c r="AB221" s="943"/>
      <c r="AC221" s="943"/>
      <c r="AD221" s="943"/>
      <c r="AE221" s="943"/>
      <c r="AF221" s="943"/>
      <c r="AG221" s="943"/>
      <c r="AH221" s="943"/>
      <c r="AI221" s="943"/>
      <c r="AJ221" s="943"/>
      <c r="AK221" s="943"/>
      <c r="AL221" s="943"/>
      <c r="AM221" s="943"/>
      <c r="AN221" s="943"/>
      <c r="AO221" s="943"/>
      <c r="AP221" s="943"/>
      <c r="AQ221" s="943"/>
      <c r="AR221" s="943"/>
      <c r="AS221" s="943"/>
      <c r="AT221" s="943"/>
      <c r="AU221" s="943"/>
      <c r="AV221" s="943"/>
      <c r="AW221" s="943"/>
      <c r="AX221" s="943"/>
      <c r="AY221" s="943"/>
      <c r="AZ221" s="943"/>
      <c r="BA221" s="943"/>
      <c r="BB221" s="943"/>
      <c r="BC221" s="943"/>
      <c r="BD221" s="943"/>
      <c r="BE221" s="943"/>
      <c r="BF221" s="943"/>
      <c r="BG221" s="943"/>
      <c r="BH221" s="943"/>
      <c r="BI221" s="943"/>
      <c r="BJ221" s="943"/>
      <c r="BK221" s="943"/>
      <c r="BL221" s="943"/>
      <c r="BM221" s="943"/>
      <c r="BN221" s="943"/>
      <c r="BO221" s="943"/>
      <c r="BP221" s="841"/>
    </row>
    <row r="222" spans="1:68" ht="20.100000000000001" customHeight="1" outlineLevel="1">
      <c r="A222" s="823"/>
      <c r="B222" s="1870"/>
      <c r="C222" s="1872"/>
      <c r="D222" s="824" t="s">
        <v>4425</v>
      </c>
      <c r="E222" s="829"/>
      <c r="F222" s="849"/>
      <c r="G222" s="826" t="s">
        <v>4196</v>
      </c>
      <c r="H222" s="882"/>
      <c r="I222" s="882"/>
      <c r="J222" s="882"/>
      <c r="K222" s="882"/>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c r="AL222" s="943"/>
      <c r="AM222" s="943"/>
      <c r="AN222" s="943"/>
      <c r="AO222" s="943"/>
      <c r="AP222" s="943"/>
      <c r="AQ222" s="943"/>
      <c r="AR222" s="943"/>
      <c r="AS222" s="943"/>
      <c r="AT222" s="943"/>
      <c r="AU222" s="943"/>
      <c r="AV222" s="943"/>
      <c r="AW222" s="943"/>
      <c r="AX222" s="943"/>
      <c r="AY222" s="943"/>
      <c r="AZ222" s="943"/>
      <c r="BA222" s="943"/>
      <c r="BB222" s="943"/>
      <c r="BC222" s="943"/>
      <c r="BD222" s="943"/>
      <c r="BE222" s="943"/>
      <c r="BF222" s="943"/>
      <c r="BG222" s="943"/>
      <c r="BH222" s="943"/>
      <c r="BI222" s="943"/>
      <c r="BJ222" s="943"/>
      <c r="BK222" s="943"/>
      <c r="BL222" s="943"/>
      <c r="BM222" s="943"/>
      <c r="BN222" s="943"/>
      <c r="BO222" s="943"/>
      <c r="BP222" s="841"/>
    </row>
    <row r="223" spans="1:68" ht="20.100000000000001" customHeight="1" outlineLevel="1">
      <c r="A223" s="823"/>
      <c r="B223" s="1870"/>
      <c r="C223" s="1872"/>
      <c r="D223" s="851" t="s">
        <v>4426</v>
      </c>
      <c r="E223" s="831" t="str">
        <f ca="1">E61</f>
        <v/>
      </c>
      <c r="F223" s="833"/>
      <c r="G223" s="826" t="s">
        <v>4196</v>
      </c>
      <c r="H223" s="882"/>
      <c r="I223" s="882"/>
      <c r="J223" s="882"/>
      <c r="K223" s="882"/>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c r="AL223" s="943"/>
      <c r="AM223" s="943"/>
      <c r="AN223" s="943"/>
      <c r="AO223" s="943"/>
      <c r="AP223" s="943"/>
      <c r="AQ223" s="943"/>
      <c r="AR223" s="943"/>
      <c r="AS223" s="943"/>
      <c r="AT223" s="943"/>
      <c r="AU223" s="943"/>
      <c r="AV223" s="943"/>
      <c r="AW223" s="943"/>
      <c r="AX223" s="943"/>
      <c r="AY223" s="943"/>
      <c r="AZ223" s="943"/>
      <c r="BA223" s="943"/>
      <c r="BB223" s="943"/>
      <c r="BC223" s="943"/>
      <c r="BD223" s="943"/>
      <c r="BE223" s="943"/>
      <c r="BF223" s="943"/>
      <c r="BG223" s="943"/>
      <c r="BH223" s="943"/>
      <c r="BI223" s="943"/>
      <c r="BJ223" s="943"/>
      <c r="BK223" s="943"/>
      <c r="BL223" s="943"/>
      <c r="BM223" s="943"/>
      <c r="BN223" s="943"/>
      <c r="BO223" s="943"/>
      <c r="BP223" s="841"/>
    </row>
    <row r="224" spans="1:68" ht="20.100000000000001" customHeight="1" outlineLevel="1">
      <c r="A224" s="823"/>
      <c r="B224" s="1870"/>
      <c r="C224" s="1872" t="s">
        <v>4427</v>
      </c>
      <c r="D224" s="852" t="s">
        <v>4428</v>
      </c>
      <c r="E224" s="824"/>
      <c r="F224" s="849"/>
      <c r="G224" s="826" t="s">
        <v>4196</v>
      </c>
      <c r="H224" s="882"/>
      <c r="I224" s="882"/>
      <c r="J224" s="882"/>
      <c r="K224" s="882"/>
      <c r="L224" s="943"/>
      <c r="M224" s="943"/>
      <c r="N224" s="943"/>
      <c r="O224" s="943"/>
      <c r="P224" s="943"/>
      <c r="Q224" s="943"/>
      <c r="R224" s="943"/>
      <c r="S224" s="943"/>
      <c r="T224" s="943"/>
      <c r="U224" s="943"/>
      <c r="V224" s="943"/>
      <c r="W224" s="943"/>
      <c r="X224" s="943"/>
      <c r="Y224" s="943"/>
      <c r="Z224" s="943"/>
      <c r="AA224" s="943"/>
      <c r="AB224" s="943"/>
      <c r="AC224" s="943"/>
      <c r="AD224" s="943"/>
      <c r="AE224" s="943"/>
      <c r="AF224" s="943"/>
      <c r="AG224" s="943"/>
      <c r="AH224" s="943"/>
      <c r="AI224" s="943"/>
      <c r="AJ224" s="943"/>
      <c r="AK224" s="943"/>
      <c r="AL224" s="943"/>
      <c r="AM224" s="943"/>
      <c r="AN224" s="943"/>
      <c r="AO224" s="943"/>
      <c r="AP224" s="943"/>
      <c r="AQ224" s="943"/>
      <c r="AR224" s="943"/>
      <c r="AS224" s="943"/>
      <c r="AT224" s="943"/>
      <c r="AU224" s="943"/>
      <c r="AV224" s="943"/>
      <c r="AW224" s="943"/>
      <c r="AX224" s="943"/>
      <c r="AY224" s="943"/>
      <c r="AZ224" s="943"/>
      <c r="BA224" s="943"/>
      <c r="BB224" s="943"/>
      <c r="BC224" s="943"/>
      <c r="BD224" s="943"/>
      <c r="BE224" s="943"/>
      <c r="BF224" s="943"/>
      <c r="BG224" s="943"/>
      <c r="BH224" s="943"/>
      <c r="BI224" s="943"/>
      <c r="BJ224" s="943"/>
      <c r="BK224" s="943"/>
      <c r="BL224" s="943"/>
      <c r="BM224" s="943"/>
      <c r="BN224" s="943"/>
      <c r="BO224" s="943"/>
      <c r="BP224" s="841"/>
    </row>
    <row r="225" spans="1:68" ht="20.100000000000001" customHeight="1" outlineLevel="1">
      <c r="A225" s="823"/>
      <c r="B225" s="1870"/>
      <c r="C225" s="1872"/>
      <c r="D225" s="852" t="s">
        <v>4429</v>
      </c>
      <c r="E225" s="824"/>
      <c r="F225" s="849"/>
      <c r="G225" s="826" t="s">
        <v>4196</v>
      </c>
      <c r="H225" s="882"/>
      <c r="I225" s="882"/>
      <c r="J225" s="882"/>
      <c r="K225" s="882"/>
      <c r="L225" s="943"/>
      <c r="M225" s="943"/>
      <c r="N225" s="943"/>
      <c r="O225" s="943"/>
      <c r="P225" s="943"/>
      <c r="Q225" s="943"/>
      <c r="R225" s="943"/>
      <c r="S225" s="943"/>
      <c r="T225" s="943"/>
      <c r="U225" s="943"/>
      <c r="V225" s="943"/>
      <c r="W225" s="943"/>
      <c r="X225" s="943"/>
      <c r="Y225" s="943"/>
      <c r="Z225" s="943"/>
      <c r="AA225" s="943"/>
      <c r="AB225" s="943"/>
      <c r="AC225" s="943"/>
      <c r="AD225" s="943"/>
      <c r="AE225" s="943"/>
      <c r="AF225" s="943"/>
      <c r="AG225" s="943"/>
      <c r="AH225" s="943"/>
      <c r="AI225" s="943"/>
      <c r="AJ225" s="943"/>
      <c r="AK225" s="943"/>
      <c r="AL225" s="943"/>
      <c r="AM225" s="943"/>
      <c r="AN225" s="943"/>
      <c r="AO225" s="943"/>
      <c r="AP225" s="943"/>
      <c r="AQ225" s="943"/>
      <c r="AR225" s="943"/>
      <c r="AS225" s="943"/>
      <c r="AT225" s="943"/>
      <c r="AU225" s="943"/>
      <c r="AV225" s="943"/>
      <c r="AW225" s="943"/>
      <c r="AX225" s="943"/>
      <c r="AY225" s="943"/>
      <c r="AZ225" s="943"/>
      <c r="BA225" s="943"/>
      <c r="BB225" s="943"/>
      <c r="BC225" s="943"/>
      <c r="BD225" s="943"/>
      <c r="BE225" s="943"/>
      <c r="BF225" s="943"/>
      <c r="BG225" s="943"/>
      <c r="BH225" s="943"/>
      <c r="BI225" s="943"/>
      <c r="BJ225" s="943"/>
      <c r="BK225" s="943"/>
      <c r="BL225" s="943"/>
      <c r="BM225" s="943"/>
      <c r="BN225" s="943"/>
      <c r="BO225" s="943"/>
      <c r="BP225" s="841"/>
    </row>
    <row r="226" spans="1:68" ht="20.100000000000001" customHeight="1" outlineLevel="1">
      <c r="A226" s="823"/>
      <c r="B226" s="1870"/>
      <c r="C226" s="1872"/>
      <c r="D226" s="852" t="s">
        <v>4430</v>
      </c>
      <c r="E226" s="824"/>
      <c r="F226" s="849"/>
      <c r="G226" s="826" t="s">
        <v>4196</v>
      </c>
      <c r="H226" s="882"/>
      <c r="I226" s="882"/>
      <c r="J226" s="882"/>
      <c r="K226" s="882"/>
      <c r="L226" s="943"/>
      <c r="M226" s="943"/>
      <c r="N226" s="943"/>
      <c r="O226" s="943"/>
      <c r="P226" s="943"/>
      <c r="Q226" s="943"/>
      <c r="R226" s="943"/>
      <c r="S226" s="943"/>
      <c r="T226" s="943"/>
      <c r="U226" s="943"/>
      <c r="V226" s="943"/>
      <c r="W226" s="943"/>
      <c r="X226" s="943"/>
      <c r="Y226" s="943"/>
      <c r="Z226" s="943"/>
      <c r="AA226" s="943"/>
      <c r="AB226" s="943"/>
      <c r="AC226" s="943"/>
      <c r="AD226" s="943"/>
      <c r="AE226" s="943"/>
      <c r="AF226" s="943"/>
      <c r="AG226" s="943"/>
      <c r="AH226" s="943"/>
      <c r="AI226" s="943"/>
      <c r="AJ226" s="943"/>
      <c r="AK226" s="943"/>
      <c r="AL226" s="943"/>
      <c r="AM226" s="943"/>
      <c r="AN226" s="943"/>
      <c r="AO226" s="943"/>
      <c r="AP226" s="943"/>
      <c r="AQ226" s="943"/>
      <c r="AR226" s="943"/>
      <c r="AS226" s="943"/>
      <c r="AT226" s="943"/>
      <c r="AU226" s="943"/>
      <c r="AV226" s="943"/>
      <c r="AW226" s="943"/>
      <c r="AX226" s="943"/>
      <c r="AY226" s="943"/>
      <c r="AZ226" s="943"/>
      <c r="BA226" s="943"/>
      <c r="BB226" s="943"/>
      <c r="BC226" s="943"/>
      <c r="BD226" s="943"/>
      <c r="BE226" s="943"/>
      <c r="BF226" s="943"/>
      <c r="BG226" s="943"/>
      <c r="BH226" s="943"/>
      <c r="BI226" s="943"/>
      <c r="BJ226" s="943"/>
      <c r="BK226" s="943"/>
      <c r="BL226" s="943"/>
      <c r="BM226" s="943"/>
      <c r="BN226" s="943"/>
      <c r="BO226" s="943"/>
      <c r="BP226" s="841"/>
    </row>
    <row r="227" spans="1:68" ht="20.100000000000001" customHeight="1" outlineLevel="1">
      <c r="A227" s="823"/>
      <c r="B227" s="1870"/>
      <c r="C227" s="1872"/>
      <c r="D227" s="852" t="s">
        <v>4431</v>
      </c>
      <c r="E227" s="824"/>
      <c r="F227" s="849"/>
      <c r="G227" s="826" t="s">
        <v>4196</v>
      </c>
      <c r="H227" s="882"/>
      <c r="I227" s="882"/>
      <c r="J227" s="882"/>
      <c r="K227" s="882"/>
      <c r="L227" s="943"/>
      <c r="M227" s="943"/>
      <c r="N227" s="943"/>
      <c r="O227" s="943"/>
      <c r="P227" s="943"/>
      <c r="Q227" s="943"/>
      <c r="R227" s="943"/>
      <c r="S227" s="943"/>
      <c r="T227" s="943"/>
      <c r="U227" s="943"/>
      <c r="V227" s="943"/>
      <c r="W227" s="943"/>
      <c r="X227" s="943"/>
      <c r="Y227" s="943"/>
      <c r="Z227" s="943"/>
      <c r="AA227" s="943"/>
      <c r="AB227" s="943"/>
      <c r="AC227" s="943"/>
      <c r="AD227" s="943"/>
      <c r="AE227" s="943"/>
      <c r="AF227" s="943"/>
      <c r="AG227" s="943"/>
      <c r="AH227" s="943"/>
      <c r="AI227" s="943"/>
      <c r="AJ227" s="943"/>
      <c r="AK227" s="943"/>
      <c r="AL227" s="943"/>
      <c r="AM227" s="943"/>
      <c r="AN227" s="943"/>
      <c r="AO227" s="943"/>
      <c r="AP227" s="943"/>
      <c r="AQ227" s="943"/>
      <c r="AR227" s="943"/>
      <c r="AS227" s="943"/>
      <c r="AT227" s="943"/>
      <c r="AU227" s="943"/>
      <c r="AV227" s="943"/>
      <c r="AW227" s="943"/>
      <c r="AX227" s="943"/>
      <c r="AY227" s="943"/>
      <c r="AZ227" s="943"/>
      <c r="BA227" s="943"/>
      <c r="BB227" s="943"/>
      <c r="BC227" s="943"/>
      <c r="BD227" s="943"/>
      <c r="BE227" s="943"/>
      <c r="BF227" s="943"/>
      <c r="BG227" s="943"/>
      <c r="BH227" s="943"/>
      <c r="BI227" s="943"/>
      <c r="BJ227" s="943"/>
      <c r="BK227" s="943"/>
      <c r="BL227" s="943"/>
      <c r="BM227" s="943"/>
      <c r="BN227" s="943"/>
      <c r="BO227" s="943"/>
      <c r="BP227" s="841"/>
    </row>
    <row r="228" spans="1:68" ht="20.100000000000001" customHeight="1" outlineLevel="1">
      <c r="A228" s="823"/>
      <c r="B228" s="1870"/>
      <c r="C228" s="1872"/>
      <c r="D228" s="853" t="s">
        <v>4432</v>
      </c>
      <c r="E228" s="831" t="str">
        <f ca="1">E66</f>
        <v/>
      </c>
      <c r="F228" s="833"/>
      <c r="G228" s="826" t="s">
        <v>4196</v>
      </c>
      <c r="H228" s="882"/>
      <c r="I228" s="882"/>
      <c r="J228" s="882"/>
      <c r="K228" s="882"/>
      <c r="L228" s="943"/>
      <c r="M228" s="943"/>
      <c r="N228" s="943"/>
      <c r="O228" s="943"/>
      <c r="P228" s="943"/>
      <c r="Q228" s="943"/>
      <c r="R228" s="943"/>
      <c r="S228" s="943"/>
      <c r="T228" s="943"/>
      <c r="U228" s="943"/>
      <c r="V228" s="943"/>
      <c r="W228" s="943"/>
      <c r="X228" s="943"/>
      <c r="Y228" s="943"/>
      <c r="Z228" s="943"/>
      <c r="AA228" s="943"/>
      <c r="AB228" s="943"/>
      <c r="AC228" s="943"/>
      <c r="AD228" s="943"/>
      <c r="AE228" s="943"/>
      <c r="AF228" s="943"/>
      <c r="AG228" s="943"/>
      <c r="AH228" s="943"/>
      <c r="AI228" s="943"/>
      <c r="AJ228" s="943"/>
      <c r="AK228" s="943"/>
      <c r="AL228" s="943"/>
      <c r="AM228" s="943"/>
      <c r="AN228" s="943"/>
      <c r="AO228" s="943"/>
      <c r="AP228" s="943"/>
      <c r="AQ228" s="943"/>
      <c r="AR228" s="943"/>
      <c r="AS228" s="943"/>
      <c r="AT228" s="943"/>
      <c r="AU228" s="943"/>
      <c r="AV228" s="943"/>
      <c r="AW228" s="943"/>
      <c r="AX228" s="943"/>
      <c r="AY228" s="943"/>
      <c r="AZ228" s="943"/>
      <c r="BA228" s="943"/>
      <c r="BB228" s="943"/>
      <c r="BC228" s="943"/>
      <c r="BD228" s="943"/>
      <c r="BE228" s="943"/>
      <c r="BF228" s="943"/>
      <c r="BG228" s="943"/>
      <c r="BH228" s="943"/>
      <c r="BI228" s="943"/>
      <c r="BJ228" s="943"/>
      <c r="BK228" s="943"/>
      <c r="BL228" s="943"/>
      <c r="BM228" s="943"/>
      <c r="BN228" s="943"/>
      <c r="BO228" s="943"/>
      <c r="BP228" s="841"/>
    </row>
    <row r="229" spans="1:68" ht="20.100000000000001" customHeight="1" outlineLevel="1">
      <c r="A229" s="823"/>
      <c r="B229" s="1870"/>
      <c r="C229" s="1872"/>
      <c r="D229" s="853" t="s">
        <v>4433</v>
      </c>
      <c r="E229" s="831" t="str">
        <f ca="1">E67</f>
        <v/>
      </c>
      <c r="F229" s="833"/>
      <c r="G229" s="826" t="s">
        <v>4196</v>
      </c>
      <c r="H229" s="882"/>
      <c r="I229" s="882"/>
      <c r="J229" s="882"/>
      <c r="K229" s="882"/>
      <c r="L229" s="943"/>
      <c r="M229" s="943"/>
      <c r="N229" s="943"/>
      <c r="O229" s="943"/>
      <c r="P229" s="943"/>
      <c r="Q229" s="943"/>
      <c r="R229" s="943"/>
      <c r="S229" s="943"/>
      <c r="T229" s="943"/>
      <c r="U229" s="943"/>
      <c r="V229" s="943"/>
      <c r="W229" s="943"/>
      <c r="X229" s="943"/>
      <c r="Y229" s="943"/>
      <c r="Z229" s="943"/>
      <c r="AA229" s="943"/>
      <c r="AB229" s="943"/>
      <c r="AC229" s="943"/>
      <c r="AD229" s="943"/>
      <c r="AE229" s="943"/>
      <c r="AF229" s="943"/>
      <c r="AG229" s="943"/>
      <c r="AH229" s="943"/>
      <c r="AI229" s="943"/>
      <c r="AJ229" s="943"/>
      <c r="AK229" s="943"/>
      <c r="AL229" s="943"/>
      <c r="AM229" s="943"/>
      <c r="AN229" s="943"/>
      <c r="AO229" s="943"/>
      <c r="AP229" s="943"/>
      <c r="AQ229" s="943"/>
      <c r="AR229" s="943"/>
      <c r="AS229" s="943"/>
      <c r="AT229" s="943"/>
      <c r="AU229" s="943"/>
      <c r="AV229" s="943"/>
      <c r="AW229" s="943"/>
      <c r="AX229" s="943"/>
      <c r="AY229" s="943"/>
      <c r="AZ229" s="943"/>
      <c r="BA229" s="943"/>
      <c r="BB229" s="943"/>
      <c r="BC229" s="943"/>
      <c r="BD229" s="943"/>
      <c r="BE229" s="943"/>
      <c r="BF229" s="943"/>
      <c r="BG229" s="943"/>
      <c r="BH229" s="943"/>
      <c r="BI229" s="943"/>
      <c r="BJ229" s="943"/>
      <c r="BK229" s="943"/>
      <c r="BL229" s="943"/>
      <c r="BM229" s="943"/>
      <c r="BN229" s="943"/>
      <c r="BO229" s="943"/>
      <c r="BP229" s="841"/>
    </row>
    <row r="230" spans="1:68" ht="20.100000000000001" customHeight="1" outlineLevel="1">
      <c r="A230" s="823"/>
      <c r="B230" s="1869" t="s">
        <v>4434</v>
      </c>
      <c r="C230" s="933" t="s">
        <v>4435</v>
      </c>
      <c r="D230" s="934"/>
      <c r="E230" s="829"/>
      <c r="F230" s="849"/>
      <c r="G230" s="826" t="s">
        <v>4594</v>
      </c>
      <c r="H230" s="882"/>
      <c r="I230" s="882"/>
      <c r="J230" s="882"/>
      <c r="K230" s="882"/>
      <c r="L230" s="943"/>
      <c r="M230" s="943"/>
      <c r="N230" s="943"/>
      <c r="O230" s="943"/>
      <c r="P230" s="943"/>
      <c r="Q230" s="943"/>
      <c r="R230" s="943"/>
      <c r="S230" s="943"/>
      <c r="T230" s="943"/>
      <c r="U230" s="943"/>
      <c r="V230" s="943"/>
      <c r="W230" s="943"/>
      <c r="X230" s="943"/>
      <c r="Y230" s="943"/>
      <c r="Z230" s="943"/>
      <c r="AA230" s="943"/>
      <c r="AB230" s="943"/>
      <c r="AC230" s="943"/>
      <c r="AD230" s="943"/>
      <c r="AE230" s="943"/>
      <c r="AF230" s="943"/>
      <c r="AG230" s="943"/>
      <c r="AH230" s="943"/>
      <c r="AI230" s="943"/>
      <c r="AJ230" s="943"/>
      <c r="AK230" s="943"/>
      <c r="AL230" s="943"/>
      <c r="AM230" s="943"/>
      <c r="AN230" s="943"/>
      <c r="AO230" s="943"/>
      <c r="AP230" s="943"/>
      <c r="AQ230" s="943"/>
      <c r="AR230" s="943"/>
      <c r="AS230" s="943"/>
      <c r="AT230" s="943"/>
      <c r="AU230" s="943"/>
      <c r="AV230" s="943"/>
      <c r="AW230" s="943"/>
      <c r="AX230" s="943"/>
      <c r="AY230" s="943"/>
      <c r="AZ230" s="943"/>
      <c r="BA230" s="943"/>
      <c r="BB230" s="943"/>
      <c r="BC230" s="943"/>
      <c r="BD230" s="943"/>
      <c r="BE230" s="943"/>
      <c r="BF230" s="943"/>
      <c r="BG230" s="943"/>
      <c r="BH230" s="943"/>
      <c r="BI230" s="943"/>
      <c r="BJ230" s="943"/>
      <c r="BK230" s="943"/>
      <c r="BL230" s="943"/>
      <c r="BM230" s="943"/>
      <c r="BN230" s="943"/>
      <c r="BO230" s="943"/>
      <c r="BP230" s="841"/>
    </row>
    <row r="231" spans="1:68" ht="20.100000000000001" customHeight="1" outlineLevel="1">
      <c r="A231" s="823"/>
      <c r="B231" s="1870"/>
      <c r="C231" s="1872" t="s">
        <v>4436</v>
      </c>
      <c r="D231" s="851" t="s">
        <v>4437</v>
      </c>
      <c r="E231" s="824"/>
      <c r="F231" s="849"/>
      <c r="G231" s="826" t="s">
        <v>4594</v>
      </c>
      <c r="H231" s="882"/>
      <c r="I231" s="882"/>
      <c r="J231" s="882"/>
      <c r="K231" s="882"/>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3"/>
      <c r="BC231" s="943"/>
      <c r="BD231" s="943"/>
      <c r="BE231" s="943"/>
      <c r="BF231" s="943"/>
      <c r="BG231" s="943"/>
      <c r="BH231" s="943"/>
      <c r="BI231" s="943"/>
      <c r="BJ231" s="943"/>
      <c r="BK231" s="943"/>
      <c r="BL231" s="943"/>
      <c r="BM231" s="943"/>
      <c r="BN231" s="943"/>
      <c r="BO231" s="943"/>
      <c r="BP231" s="841"/>
    </row>
    <row r="232" spans="1:68" ht="20.100000000000001" customHeight="1" outlineLevel="1">
      <c r="A232" s="823"/>
      <c r="B232" s="1870"/>
      <c r="C232" s="1872"/>
      <c r="D232" s="853" t="s">
        <v>4438</v>
      </c>
      <c r="E232" s="824"/>
      <c r="F232" s="849"/>
      <c r="G232" s="826" t="s">
        <v>4594</v>
      </c>
      <c r="H232" s="882"/>
      <c r="I232" s="882"/>
      <c r="J232" s="882"/>
      <c r="K232" s="882"/>
      <c r="L232" s="943"/>
      <c r="M232" s="943"/>
      <c r="N232" s="943"/>
      <c r="O232" s="943"/>
      <c r="P232" s="943"/>
      <c r="Q232" s="943"/>
      <c r="R232" s="943"/>
      <c r="S232" s="943"/>
      <c r="T232" s="943"/>
      <c r="U232" s="943"/>
      <c r="V232" s="943"/>
      <c r="W232" s="943"/>
      <c r="X232" s="943"/>
      <c r="Y232" s="943"/>
      <c r="Z232" s="943"/>
      <c r="AA232" s="943"/>
      <c r="AB232" s="943"/>
      <c r="AC232" s="943"/>
      <c r="AD232" s="943"/>
      <c r="AE232" s="943"/>
      <c r="AF232" s="943"/>
      <c r="AG232" s="943"/>
      <c r="AH232" s="943"/>
      <c r="AI232" s="943"/>
      <c r="AJ232" s="943"/>
      <c r="AK232" s="943"/>
      <c r="AL232" s="943"/>
      <c r="AM232" s="943"/>
      <c r="AN232" s="943"/>
      <c r="AO232" s="943"/>
      <c r="AP232" s="943"/>
      <c r="AQ232" s="943"/>
      <c r="AR232" s="943"/>
      <c r="AS232" s="943"/>
      <c r="AT232" s="943"/>
      <c r="AU232" s="943"/>
      <c r="AV232" s="943"/>
      <c r="AW232" s="943"/>
      <c r="AX232" s="943"/>
      <c r="AY232" s="943"/>
      <c r="AZ232" s="943"/>
      <c r="BA232" s="943"/>
      <c r="BB232" s="943"/>
      <c r="BC232" s="943"/>
      <c r="BD232" s="943"/>
      <c r="BE232" s="943"/>
      <c r="BF232" s="943"/>
      <c r="BG232" s="943"/>
      <c r="BH232" s="943"/>
      <c r="BI232" s="943"/>
      <c r="BJ232" s="943"/>
      <c r="BK232" s="943"/>
      <c r="BL232" s="943"/>
      <c r="BM232" s="943"/>
      <c r="BN232" s="943"/>
      <c r="BO232" s="943"/>
      <c r="BP232" s="841"/>
    </row>
    <row r="233" spans="1:68" ht="20.100000000000001" customHeight="1" outlineLevel="1">
      <c r="A233" s="823"/>
      <c r="B233" s="1870"/>
      <c r="C233" s="1872"/>
      <c r="D233" s="853" t="s">
        <v>4250</v>
      </c>
      <c r="E233" s="831" t="str">
        <f ca="1">E71</f>
        <v/>
      </c>
      <c r="F233" s="833"/>
      <c r="G233" s="826" t="s">
        <v>4594</v>
      </c>
      <c r="H233" s="882"/>
      <c r="I233" s="882"/>
      <c r="J233" s="882"/>
      <c r="K233" s="882"/>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c r="AL233" s="943"/>
      <c r="AM233" s="943"/>
      <c r="AN233" s="943"/>
      <c r="AO233" s="943"/>
      <c r="AP233" s="943"/>
      <c r="AQ233" s="943"/>
      <c r="AR233" s="943"/>
      <c r="AS233" s="943"/>
      <c r="AT233" s="943"/>
      <c r="AU233" s="943"/>
      <c r="AV233" s="943"/>
      <c r="AW233" s="943"/>
      <c r="AX233" s="943"/>
      <c r="AY233" s="943"/>
      <c r="AZ233" s="943"/>
      <c r="BA233" s="943"/>
      <c r="BB233" s="943"/>
      <c r="BC233" s="943"/>
      <c r="BD233" s="943"/>
      <c r="BE233" s="943"/>
      <c r="BF233" s="943"/>
      <c r="BG233" s="943"/>
      <c r="BH233" s="943"/>
      <c r="BI233" s="943"/>
      <c r="BJ233" s="943"/>
      <c r="BK233" s="943"/>
      <c r="BL233" s="943"/>
      <c r="BM233" s="943"/>
      <c r="BN233" s="943"/>
      <c r="BO233" s="943"/>
      <c r="BP233" s="841"/>
    </row>
    <row r="234" spans="1:68" ht="20.100000000000001" customHeight="1" outlineLevel="1">
      <c r="A234" s="823"/>
      <c r="B234" s="1870"/>
      <c r="C234" s="1872"/>
      <c r="D234" s="944" t="s">
        <v>4251</v>
      </c>
      <c r="E234" s="831" t="str">
        <f ca="1">E73</f>
        <v/>
      </c>
      <c r="F234" s="833"/>
      <c r="G234" s="826" t="s">
        <v>4594</v>
      </c>
      <c r="H234" s="882"/>
      <c r="I234" s="882"/>
      <c r="J234" s="882"/>
      <c r="K234" s="882"/>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3"/>
      <c r="AZ234" s="943"/>
      <c r="BA234" s="943"/>
      <c r="BB234" s="943"/>
      <c r="BC234" s="943"/>
      <c r="BD234" s="943"/>
      <c r="BE234" s="943"/>
      <c r="BF234" s="943"/>
      <c r="BG234" s="943"/>
      <c r="BH234" s="943"/>
      <c r="BI234" s="943"/>
      <c r="BJ234" s="943"/>
      <c r="BK234" s="943"/>
      <c r="BL234" s="943"/>
      <c r="BM234" s="943"/>
      <c r="BN234" s="943"/>
      <c r="BO234" s="943"/>
      <c r="BP234" s="841"/>
    </row>
    <row r="235" spans="1:68" ht="20.100000000000001" customHeight="1" outlineLevel="1">
      <c r="A235" s="823"/>
      <c r="B235" s="1870"/>
      <c r="C235" s="1872" t="s">
        <v>4439</v>
      </c>
      <c r="D235" s="853" t="s">
        <v>4440</v>
      </c>
      <c r="E235" s="824"/>
      <c r="F235" s="875"/>
      <c r="G235" s="826" t="s">
        <v>4594</v>
      </c>
      <c r="H235" s="882"/>
      <c r="I235" s="882"/>
      <c r="J235" s="882"/>
      <c r="K235" s="882"/>
      <c r="L235" s="943"/>
      <c r="M235" s="943"/>
      <c r="N235" s="943"/>
      <c r="O235" s="943"/>
      <c r="P235" s="943"/>
      <c r="Q235" s="943"/>
      <c r="R235" s="943"/>
      <c r="S235" s="943"/>
      <c r="T235" s="943"/>
      <c r="U235" s="943"/>
      <c r="V235" s="943"/>
      <c r="W235" s="943"/>
      <c r="X235" s="943"/>
      <c r="Y235" s="943"/>
      <c r="Z235" s="943"/>
      <c r="AA235" s="943"/>
      <c r="AB235" s="943"/>
      <c r="AC235" s="943"/>
      <c r="AD235" s="943"/>
      <c r="AE235" s="943"/>
      <c r="AF235" s="943"/>
      <c r="AG235" s="943"/>
      <c r="AH235" s="943"/>
      <c r="AI235" s="943"/>
      <c r="AJ235" s="943"/>
      <c r="AK235" s="943"/>
      <c r="AL235" s="943"/>
      <c r="AM235" s="943"/>
      <c r="AN235" s="943"/>
      <c r="AO235" s="943"/>
      <c r="AP235" s="943"/>
      <c r="AQ235" s="943"/>
      <c r="AR235" s="943"/>
      <c r="AS235" s="943"/>
      <c r="AT235" s="943"/>
      <c r="AU235" s="943"/>
      <c r="AV235" s="943"/>
      <c r="AW235" s="943"/>
      <c r="AX235" s="943"/>
      <c r="AY235" s="943"/>
      <c r="AZ235" s="943"/>
      <c r="BA235" s="943"/>
      <c r="BB235" s="943"/>
      <c r="BC235" s="943"/>
      <c r="BD235" s="943"/>
      <c r="BE235" s="943"/>
      <c r="BF235" s="943"/>
      <c r="BG235" s="943"/>
      <c r="BH235" s="943"/>
      <c r="BI235" s="943"/>
      <c r="BJ235" s="943"/>
      <c r="BK235" s="943"/>
      <c r="BL235" s="943"/>
      <c r="BM235" s="943"/>
      <c r="BN235" s="943"/>
      <c r="BO235" s="943"/>
      <c r="BP235" s="841"/>
    </row>
    <row r="236" spans="1:68" ht="20.100000000000001" customHeight="1" outlineLevel="1">
      <c r="A236" s="823"/>
      <c r="B236" s="1870"/>
      <c r="C236" s="1872"/>
      <c r="D236" s="853" t="s">
        <v>4441</v>
      </c>
      <c r="E236" s="824"/>
      <c r="F236" s="875"/>
      <c r="G236" s="826" t="s">
        <v>4216</v>
      </c>
      <c r="H236" s="882"/>
      <c r="I236" s="882"/>
      <c r="J236" s="882"/>
      <c r="K236" s="882"/>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c r="AL236" s="943"/>
      <c r="AM236" s="943"/>
      <c r="AN236" s="943"/>
      <c r="AO236" s="943"/>
      <c r="AP236" s="943"/>
      <c r="AQ236" s="943"/>
      <c r="AR236" s="943"/>
      <c r="AS236" s="943"/>
      <c r="AT236" s="943"/>
      <c r="AU236" s="943"/>
      <c r="AV236" s="943"/>
      <c r="AW236" s="943"/>
      <c r="AX236" s="943"/>
      <c r="AY236" s="943"/>
      <c r="AZ236" s="943"/>
      <c r="BA236" s="943"/>
      <c r="BB236" s="943"/>
      <c r="BC236" s="943"/>
      <c r="BD236" s="943"/>
      <c r="BE236" s="943"/>
      <c r="BF236" s="943"/>
      <c r="BG236" s="943"/>
      <c r="BH236" s="943"/>
      <c r="BI236" s="943"/>
      <c r="BJ236" s="943"/>
      <c r="BK236" s="943"/>
      <c r="BL236" s="943"/>
      <c r="BM236" s="943"/>
      <c r="BN236" s="943"/>
      <c r="BO236" s="943"/>
      <c r="BP236" s="841"/>
    </row>
    <row r="237" spans="1:68" ht="20.100000000000001" customHeight="1" outlineLevel="1">
      <c r="A237" s="823"/>
      <c r="B237" s="1870"/>
      <c r="C237" s="1872"/>
      <c r="D237" s="853" t="s">
        <v>4442</v>
      </c>
      <c r="E237" s="824"/>
      <c r="F237" s="875"/>
      <c r="G237" s="826" t="s">
        <v>4594</v>
      </c>
      <c r="H237" s="882"/>
      <c r="I237" s="882"/>
      <c r="J237" s="882"/>
      <c r="K237" s="882"/>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c r="AL237" s="943"/>
      <c r="AM237" s="943"/>
      <c r="AN237" s="943"/>
      <c r="AO237" s="943"/>
      <c r="AP237" s="943"/>
      <c r="AQ237" s="943"/>
      <c r="AR237" s="943"/>
      <c r="AS237" s="943"/>
      <c r="AT237" s="943"/>
      <c r="AU237" s="943"/>
      <c r="AV237" s="943"/>
      <c r="AW237" s="943"/>
      <c r="AX237" s="943"/>
      <c r="AY237" s="943"/>
      <c r="AZ237" s="943"/>
      <c r="BA237" s="943"/>
      <c r="BB237" s="943"/>
      <c r="BC237" s="943"/>
      <c r="BD237" s="943"/>
      <c r="BE237" s="943"/>
      <c r="BF237" s="943"/>
      <c r="BG237" s="943"/>
      <c r="BH237" s="943"/>
      <c r="BI237" s="943"/>
      <c r="BJ237" s="943"/>
      <c r="BK237" s="943"/>
      <c r="BL237" s="943"/>
      <c r="BM237" s="943"/>
      <c r="BN237" s="943"/>
      <c r="BO237" s="943"/>
      <c r="BP237" s="841"/>
    </row>
    <row r="238" spans="1:68" ht="20.100000000000001" customHeight="1" outlineLevel="1">
      <c r="A238" s="823"/>
      <c r="B238" s="1870"/>
      <c r="C238" s="1872"/>
      <c r="D238" s="853" t="s">
        <v>4443</v>
      </c>
      <c r="E238" s="824"/>
      <c r="F238" s="875"/>
      <c r="G238" s="826" t="s">
        <v>4216</v>
      </c>
      <c r="H238" s="882"/>
      <c r="I238" s="882"/>
      <c r="J238" s="882"/>
      <c r="K238" s="882"/>
      <c r="L238" s="943"/>
      <c r="M238" s="943"/>
      <c r="N238" s="943"/>
      <c r="O238" s="943"/>
      <c r="P238" s="943"/>
      <c r="Q238" s="943"/>
      <c r="R238" s="943"/>
      <c r="S238" s="943"/>
      <c r="T238" s="943"/>
      <c r="U238" s="943"/>
      <c r="V238" s="943"/>
      <c r="W238" s="943"/>
      <c r="X238" s="943"/>
      <c r="Y238" s="943"/>
      <c r="Z238" s="943"/>
      <c r="AA238" s="943"/>
      <c r="AB238" s="943"/>
      <c r="AC238" s="943"/>
      <c r="AD238" s="943"/>
      <c r="AE238" s="943"/>
      <c r="AF238" s="943"/>
      <c r="AG238" s="943"/>
      <c r="AH238" s="943"/>
      <c r="AI238" s="943"/>
      <c r="AJ238" s="943"/>
      <c r="AK238" s="943"/>
      <c r="AL238" s="943"/>
      <c r="AM238" s="943"/>
      <c r="AN238" s="943"/>
      <c r="AO238" s="943"/>
      <c r="AP238" s="943"/>
      <c r="AQ238" s="943"/>
      <c r="AR238" s="943"/>
      <c r="AS238" s="943"/>
      <c r="AT238" s="943"/>
      <c r="AU238" s="943"/>
      <c r="AV238" s="943"/>
      <c r="AW238" s="943"/>
      <c r="AX238" s="943"/>
      <c r="AY238" s="943"/>
      <c r="AZ238" s="943"/>
      <c r="BA238" s="943"/>
      <c r="BB238" s="943"/>
      <c r="BC238" s="943"/>
      <c r="BD238" s="943"/>
      <c r="BE238" s="943"/>
      <c r="BF238" s="943"/>
      <c r="BG238" s="943"/>
      <c r="BH238" s="943"/>
      <c r="BI238" s="943"/>
      <c r="BJ238" s="943"/>
      <c r="BK238" s="943"/>
      <c r="BL238" s="943"/>
      <c r="BM238" s="943"/>
      <c r="BN238" s="943"/>
      <c r="BO238" s="943"/>
      <c r="BP238" s="841"/>
    </row>
    <row r="239" spans="1:68" ht="20.100000000000001" customHeight="1" outlineLevel="1">
      <c r="A239" s="823"/>
      <c r="B239" s="1870"/>
      <c r="C239" s="1872"/>
      <c r="D239" s="853" t="s">
        <v>4444</v>
      </c>
      <c r="E239" s="824"/>
      <c r="F239" s="875"/>
      <c r="G239" s="826" t="s">
        <v>4594</v>
      </c>
      <c r="H239" s="882"/>
      <c r="I239" s="882"/>
      <c r="J239" s="882"/>
      <c r="K239" s="882"/>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3"/>
      <c r="BC239" s="943"/>
      <c r="BD239" s="943"/>
      <c r="BE239" s="943"/>
      <c r="BF239" s="943"/>
      <c r="BG239" s="943"/>
      <c r="BH239" s="943"/>
      <c r="BI239" s="943"/>
      <c r="BJ239" s="943"/>
      <c r="BK239" s="943"/>
      <c r="BL239" s="943"/>
      <c r="BM239" s="943"/>
      <c r="BN239" s="943"/>
      <c r="BO239" s="943"/>
      <c r="BP239" s="841"/>
    </row>
    <row r="240" spans="1:68" ht="20.100000000000001" customHeight="1" outlineLevel="1">
      <c r="A240" s="823"/>
      <c r="B240" s="1870"/>
      <c r="C240" s="1872"/>
      <c r="D240" s="853" t="s">
        <v>4445</v>
      </c>
      <c r="E240" s="824"/>
      <c r="F240" s="875"/>
      <c r="G240" s="826" t="s">
        <v>4216</v>
      </c>
      <c r="H240" s="882"/>
      <c r="I240" s="882"/>
      <c r="J240" s="882"/>
      <c r="K240" s="882"/>
      <c r="L240" s="943"/>
      <c r="M240" s="943"/>
      <c r="N240" s="943"/>
      <c r="O240" s="943"/>
      <c r="P240" s="943"/>
      <c r="Q240" s="943"/>
      <c r="R240" s="943"/>
      <c r="S240" s="943"/>
      <c r="T240" s="943"/>
      <c r="U240" s="943"/>
      <c r="V240" s="943"/>
      <c r="W240" s="943"/>
      <c r="X240" s="943"/>
      <c r="Y240" s="943"/>
      <c r="Z240" s="943"/>
      <c r="AA240" s="943"/>
      <c r="AB240" s="943"/>
      <c r="AC240" s="943"/>
      <c r="AD240" s="943"/>
      <c r="AE240" s="943"/>
      <c r="AF240" s="943"/>
      <c r="AG240" s="943"/>
      <c r="AH240" s="943"/>
      <c r="AI240" s="943"/>
      <c r="AJ240" s="943"/>
      <c r="AK240" s="943"/>
      <c r="AL240" s="943"/>
      <c r="AM240" s="943"/>
      <c r="AN240" s="943"/>
      <c r="AO240" s="943"/>
      <c r="AP240" s="943"/>
      <c r="AQ240" s="943"/>
      <c r="AR240" s="943"/>
      <c r="AS240" s="943"/>
      <c r="AT240" s="943"/>
      <c r="AU240" s="943"/>
      <c r="AV240" s="943"/>
      <c r="AW240" s="943"/>
      <c r="AX240" s="943"/>
      <c r="AY240" s="943"/>
      <c r="AZ240" s="943"/>
      <c r="BA240" s="943"/>
      <c r="BB240" s="943"/>
      <c r="BC240" s="943"/>
      <c r="BD240" s="943"/>
      <c r="BE240" s="943"/>
      <c r="BF240" s="943"/>
      <c r="BG240" s="943"/>
      <c r="BH240" s="943"/>
      <c r="BI240" s="943"/>
      <c r="BJ240" s="943"/>
      <c r="BK240" s="943"/>
      <c r="BL240" s="943"/>
      <c r="BM240" s="943"/>
      <c r="BN240" s="943"/>
      <c r="BO240" s="943"/>
      <c r="BP240" s="841"/>
    </row>
    <row r="241" spans="1:68" ht="20.100000000000001" customHeight="1" outlineLevel="1">
      <c r="A241" s="823"/>
      <c r="B241" s="1870"/>
      <c r="C241" s="1872"/>
      <c r="D241" s="853" t="s">
        <v>4446</v>
      </c>
      <c r="E241" s="824"/>
      <c r="F241" s="875"/>
      <c r="G241" s="826" t="s">
        <v>4594</v>
      </c>
      <c r="H241" s="882"/>
      <c r="I241" s="882"/>
      <c r="J241" s="882"/>
      <c r="K241" s="882"/>
      <c r="L241" s="943"/>
      <c r="M241" s="943"/>
      <c r="N241" s="943"/>
      <c r="O241" s="943"/>
      <c r="P241" s="943"/>
      <c r="Q241" s="943"/>
      <c r="R241" s="943"/>
      <c r="S241" s="943"/>
      <c r="T241" s="943"/>
      <c r="U241" s="943"/>
      <c r="V241" s="943"/>
      <c r="W241" s="943"/>
      <c r="X241" s="943"/>
      <c r="Y241" s="943"/>
      <c r="Z241" s="943"/>
      <c r="AA241" s="943"/>
      <c r="AB241" s="943"/>
      <c r="AC241" s="943"/>
      <c r="AD241" s="943"/>
      <c r="AE241" s="943"/>
      <c r="AF241" s="943"/>
      <c r="AG241" s="943"/>
      <c r="AH241" s="943"/>
      <c r="AI241" s="943"/>
      <c r="AJ241" s="943"/>
      <c r="AK241" s="943"/>
      <c r="AL241" s="943"/>
      <c r="AM241" s="943"/>
      <c r="AN241" s="943"/>
      <c r="AO241" s="943"/>
      <c r="AP241" s="943"/>
      <c r="AQ241" s="943"/>
      <c r="AR241" s="943"/>
      <c r="AS241" s="943"/>
      <c r="AT241" s="943"/>
      <c r="AU241" s="943"/>
      <c r="AV241" s="943"/>
      <c r="AW241" s="943"/>
      <c r="AX241" s="943"/>
      <c r="AY241" s="943"/>
      <c r="AZ241" s="943"/>
      <c r="BA241" s="943"/>
      <c r="BB241" s="943"/>
      <c r="BC241" s="943"/>
      <c r="BD241" s="943"/>
      <c r="BE241" s="943"/>
      <c r="BF241" s="943"/>
      <c r="BG241" s="943"/>
      <c r="BH241" s="943"/>
      <c r="BI241" s="943"/>
      <c r="BJ241" s="943"/>
      <c r="BK241" s="943"/>
      <c r="BL241" s="943"/>
      <c r="BM241" s="943"/>
      <c r="BN241" s="943"/>
      <c r="BO241" s="943"/>
      <c r="BP241" s="841"/>
    </row>
    <row r="242" spans="1:68" ht="20.100000000000001" customHeight="1" outlineLevel="1">
      <c r="A242" s="823"/>
      <c r="B242" s="1870"/>
      <c r="C242" s="1872"/>
      <c r="D242" s="853" t="s">
        <v>4447</v>
      </c>
      <c r="E242" s="824"/>
      <c r="F242" s="875"/>
      <c r="G242" s="826" t="s">
        <v>4216</v>
      </c>
      <c r="H242" s="882"/>
      <c r="I242" s="882"/>
      <c r="J242" s="882"/>
      <c r="K242" s="882"/>
      <c r="L242" s="943"/>
      <c r="M242" s="943"/>
      <c r="N242" s="943"/>
      <c r="O242" s="943"/>
      <c r="P242" s="943"/>
      <c r="Q242" s="943"/>
      <c r="R242" s="943"/>
      <c r="S242" s="943"/>
      <c r="T242" s="943"/>
      <c r="U242" s="943"/>
      <c r="V242" s="943"/>
      <c r="W242" s="943"/>
      <c r="X242" s="943"/>
      <c r="Y242" s="943"/>
      <c r="Z242" s="943"/>
      <c r="AA242" s="943"/>
      <c r="AB242" s="943"/>
      <c r="AC242" s="943"/>
      <c r="AD242" s="943"/>
      <c r="AE242" s="943"/>
      <c r="AF242" s="943"/>
      <c r="AG242" s="943"/>
      <c r="AH242" s="943"/>
      <c r="AI242" s="943"/>
      <c r="AJ242" s="943"/>
      <c r="AK242" s="943"/>
      <c r="AL242" s="943"/>
      <c r="AM242" s="943"/>
      <c r="AN242" s="943"/>
      <c r="AO242" s="943"/>
      <c r="AP242" s="943"/>
      <c r="AQ242" s="943"/>
      <c r="AR242" s="943"/>
      <c r="AS242" s="943"/>
      <c r="AT242" s="943"/>
      <c r="AU242" s="943"/>
      <c r="AV242" s="943"/>
      <c r="AW242" s="943"/>
      <c r="AX242" s="943"/>
      <c r="AY242" s="943"/>
      <c r="AZ242" s="943"/>
      <c r="BA242" s="943"/>
      <c r="BB242" s="943"/>
      <c r="BC242" s="943"/>
      <c r="BD242" s="943"/>
      <c r="BE242" s="943"/>
      <c r="BF242" s="943"/>
      <c r="BG242" s="943"/>
      <c r="BH242" s="943"/>
      <c r="BI242" s="943"/>
      <c r="BJ242" s="943"/>
      <c r="BK242" s="943"/>
      <c r="BL242" s="943"/>
      <c r="BM242" s="943"/>
      <c r="BN242" s="943"/>
      <c r="BO242" s="943"/>
      <c r="BP242" s="841"/>
    </row>
    <row r="243" spans="1:68" ht="20.100000000000001" customHeight="1" outlineLevel="1">
      <c r="A243" s="823"/>
      <c r="B243" s="1870"/>
      <c r="C243" s="1872"/>
      <c r="D243" s="1893" t="s">
        <v>4448</v>
      </c>
      <c r="E243" s="877" t="str">
        <f ca="1">E83</f>
        <v/>
      </c>
      <c r="F243" s="878"/>
      <c r="G243" s="826" t="s">
        <v>4594</v>
      </c>
      <c r="H243" s="882"/>
      <c r="I243" s="882"/>
      <c r="J243" s="882"/>
      <c r="K243" s="882"/>
      <c r="L243" s="943"/>
      <c r="M243" s="943"/>
      <c r="N243" s="943"/>
      <c r="O243" s="943"/>
      <c r="P243" s="943"/>
      <c r="Q243" s="943"/>
      <c r="R243" s="943"/>
      <c r="S243" s="943"/>
      <c r="T243" s="943"/>
      <c r="U243" s="943"/>
      <c r="V243" s="943"/>
      <c r="W243" s="943"/>
      <c r="X243" s="943"/>
      <c r="Y243" s="943"/>
      <c r="Z243" s="943"/>
      <c r="AA243" s="943"/>
      <c r="AB243" s="943"/>
      <c r="AC243" s="943"/>
      <c r="AD243" s="943"/>
      <c r="AE243" s="943"/>
      <c r="AF243" s="943"/>
      <c r="AG243" s="943"/>
      <c r="AH243" s="943"/>
      <c r="AI243" s="943"/>
      <c r="AJ243" s="943"/>
      <c r="AK243" s="943"/>
      <c r="AL243" s="943"/>
      <c r="AM243" s="943"/>
      <c r="AN243" s="943"/>
      <c r="AO243" s="943"/>
      <c r="AP243" s="943"/>
      <c r="AQ243" s="943"/>
      <c r="AR243" s="943"/>
      <c r="AS243" s="943"/>
      <c r="AT243" s="943"/>
      <c r="AU243" s="943"/>
      <c r="AV243" s="943"/>
      <c r="AW243" s="943"/>
      <c r="AX243" s="943"/>
      <c r="AY243" s="943"/>
      <c r="AZ243" s="943"/>
      <c r="BA243" s="943"/>
      <c r="BB243" s="943"/>
      <c r="BC243" s="943"/>
      <c r="BD243" s="943"/>
      <c r="BE243" s="943"/>
      <c r="BF243" s="943"/>
      <c r="BG243" s="943"/>
      <c r="BH243" s="943"/>
      <c r="BI243" s="943"/>
      <c r="BJ243" s="943"/>
      <c r="BK243" s="943"/>
      <c r="BL243" s="943"/>
      <c r="BM243" s="943"/>
      <c r="BN243" s="943"/>
      <c r="BO243" s="943"/>
      <c r="BP243" s="841"/>
    </row>
    <row r="244" spans="1:68" ht="20.100000000000001" customHeight="1" outlineLevel="1">
      <c r="A244" s="823"/>
      <c r="B244" s="1870"/>
      <c r="C244" s="1872"/>
      <c r="D244" s="1893"/>
      <c r="E244" s="879"/>
      <c r="F244" s="880"/>
      <c r="G244" s="826" t="s">
        <v>4216</v>
      </c>
      <c r="H244" s="882"/>
      <c r="I244" s="882"/>
      <c r="J244" s="882"/>
      <c r="K244" s="882"/>
      <c r="L244" s="943"/>
      <c r="M244" s="943"/>
      <c r="N244" s="943"/>
      <c r="O244" s="943"/>
      <c r="P244" s="943"/>
      <c r="Q244" s="943"/>
      <c r="R244" s="943"/>
      <c r="S244" s="943"/>
      <c r="T244" s="943"/>
      <c r="U244" s="943"/>
      <c r="V244" s="943"/>
      <c r="W244" s="943"/>
      <c r="X244" s="943"/>
      <c r="Y244" s="943"/>
      <c r="Z244" s="943"/>
      <c r="AA244" s="943"/>
      <c r="AB244" s="943"/>
      <c r="AC244" s="943"/>
      <c r="AD244" s="943"/>
      <c r="AE244" s="943"/>
      <c r="AF244" s="943"/>
      <c r="AG244" s="943"/>
      <c r="AH244" s="943"/>
      <c r="AI244" s="943"/>
      <c r="AJ244" s="943"/>
      <c r="AK244" s="943"/>
      <c r="AL244" s="943"/>
      <c r="AM244" s="943"/>
      <c r="AN244" s="943"/>
      <c r="AO244" s="943"/>
      <c r="AP244" s="943"/>
      <c r="AQ244" s="943"/>
      <c r="AR244" s="943"/>
      <c r="AS244" s="943"/>
      <c r="AT244" s="943"/>
      <c r="AU244" s="943"/>
      <c r="AV244" s="943"/>
      <c r="AW244" s="943"/>
      <c r="AX244" s="943"/>
      <c r="AY244" s="943"/>
      <c r="AZ244" s="943"/>
      <c r="BA244" s="943"/>
      <c r="BB244" s="943"/>
      <c r="BC244" s="943"/>
      <c r="BD244" s="943"/>
      <c r="BE244" s="943"/>
      <c r="BF244" s="943"/>
      <c r="BG244" s="943"/>
      <c r="BH244" s="943"/>
      <c r="BI244" s="943"/>
      <c r="BJ244" s="943"/>
      <c r="BK244" s="943"/>
      <c r="BL244" s="943"/>
      <c r="BM244" s="943"/>
      <c r="BN244" s="943"/>
      <c r="BO244" s="943"/>
      <c r="BP244" s="841"/>
    </row>
    <row r="245" spans="1:68" ht="20.100000000000001" customHeight="1" outlineLevel="1">
      <c r="A245" s="823"/>
      <c r="B245" s="1870"/>
      <c r="C245" s="1872"/>
      <c r="D245" s="1893" t="s">
        <v>4449</v>
      </c>
      <c r="E245" s="877" t="str">
        <f ca="1">E85</f>
        <v/>
      </c>
      <c r="F245" s="878"/>
      <c r="G245" s="826" t="s">
        <v>4594</v>
      </c>
      <c r="H245" s="882"/>
      <c r="I245" s="882"/>
      <c r="J245" s="882"/>
      <c r="K245" s="882"/>
      <c r="L245" s="943"/>
      <c r="M245" s="943"/>
      <c r="N245" s="943"/>
      <c r="O245" s="943"/>
      <c r="P245" s="943"/>
      <c r="Q245" s="943"/>
      <c r="R245" s="943"/>
      <c r="S245" s="943"/>
      <c r="T245" s="943"/>
      <c r="U245" s="943"/>
      <c r="V245" s="943"/>
      <c r="W245" s="943"/>
      <c r="X245" s="943"/>
      <c r="Y245" s="943"/>
      <c r="Z245" s="943"/>
      <c r="AA245" s="943"/>
      <c r="AB245" s="943"/>
      <c r="AC245" s="943"/>
      <c r="AD245" s="943"/>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3"/>
      <c r="AZ245" s="943"/>
      <c r="BA245" s="943"/>
      <c r="BB245" s="943"/>
      <c r="BC245" s="943"/>
      <c r="BD245" s="943"/>
      <c r="BE245" s="943"/>
      <c r="BF245" s="943"/>
      <c r="BG245" s="943"/>
      <c r="BH245" s="943"/>
      <c r="BI245" s="943"/>
      <c r="BJ245" s="943"/>
      <c r="BK245" s="943"/>
      <c r="BL245" s="943"/>
      <c r="BM245" s="943"/>
      <c r="BN245" s="943"/>
      <c r="BO245" s="943"/>
      <c r="BP245" s="841"/>
    </row>
    <row r="246" spans="1:68" ht="20.100000000000001" customHeight="1" outlineLevel="1">
      <c r="A246" s="823"/>
      <c r="B246" s="1870"/>
      <c r="C246" s="1872"/>
      <c r="D246" s="1893"/>
      <c r="E246" s="879"/>
      <c r="F246" s="880"/>
      <c r="G246" s="826" t="s">
        <v>4216</v>
      </c>
      <c r="H246" s="882"/>
      <c r="I246" s="882"/>
      <c r="J246" s="882"/>
      <c r="K246" s="882"/>
      <c r="L246" s="943"/>
      <c r="M246" s="943"/>
      <c r="N246" s="943"/>
      <c r="O246" s="943"/>
      <c r="P246" s="943"/>
      <c r="Q246" s="943"/>
      <c r="R246" s="943"/>
      <c r="S246" s="943"/>
      <c r="T246" s="943"/>
      <c r="U246" s="943"/>
      <c r="V246" s="943"/>
      <c r="W246" s="943"/>
      <c r="X246" s="943"/>
      <c r="Y246" s="943"/>
      <c r="Z246" s="943"/>
      <c r="AA246" s="943"/>
      <c r="AB246" s="943"/>
      <c r="AC246" s="943"/>
      <c r="AD246" s="943"/>
      <c r="AE246" s="943"/>
      <c r="AF246" s="943"/>
      <c r="AG246" s="943"/>
      <c r="AH246" s="943"/>
      <c r="AI246" s="943"/>
      <c r="AJ246" s="943"/>
      <c r="AK246" s="943"/>
      <c r="AL246" s="943"/>
      <c r="AM246" s="943"/>
      <c r="AN246" s="943"/>
      <c r="AO246" s="943"/>
      <c r="AP246" s="943"/>
      <c r="AQ246" s="943"/>
      <c r="AR246" s="943"/>
      <c r="AS246" s="943"/>
      <c r="AT246" s="943"/>
      <c r="AU246" s="943"/>
      <c r="AV246" s="943"/>
      <c r="AW246" s="943"/>
      <c r="AX246" s="943"/>
      <c r="AY246" s="943"/>
      <c r="AZ246" s="943"/>
      <c r="BA246" s="943"/>
      <c r="BB246" s="943"/>
      <c r="BC246" s="943"/>
      <c r="BD246" s="943"/>
      <c r="BE246" s="943"/>
      <c r="BF246" s="943"/>
      <c r="BG246" s="943"/>
      <c r="BH246" s="943"/>
      <c r="BI246" s="943"/>
      <c r="BJ246" s="943"/>
      <c r="BK246" s="943"/>
      <c r="BL246" s="943"/>
      <c r="BM246" s="943"/>
      <c r="BN246" s="943"/>
      <c r="BO246" s="943"/>
      <c r="BP246" s="841"/>
    </row>
    <row r="247" spans="1:68" ht="20.100000000000001" customHeight="1" outlineLevel="1">
      <c r="A247" s="823"/>
      <c r="B247" s="1870"/>
      <c r="C247" s="1872"/>
      <c r="D247" s="853" t="s">
        <v>4254</v>
      </c>
      <c r="E247" s="831" t="str">
        <f ca="1">E87</f>
        <v/>
      </c>
      <c r="F247" s="825" t="s">
        <v>4470</v>
      </c>
      <c r="G247" s="826" t="s">
        <v>4594</v>
      </c>
      <c r="H247" s="882"/>
      <c r="I247" s="882"/>
      <c r="J247" s="882"/>
      <c r="K247" s="882"/>
      <c r="L247" s="943"/>
      <c r="M247" s="943"/>
      <c r="N247" s="943"/>
      <c r="O247" s="943"/>
      <c r="P247" s="943"/>
      <c r="Q247" s="943"/>
      <c r="R247" s="943"/>
      <c r="S247" s="943"/>
      <c r="T247" s="943"/>
      <c r="U247" s="943"/>
      <c r="V247" s="943"/>
      <c r="W247" s="943"/>
      <c r="X247" s="943"/>
      <c r="Y247" s="943"/>
      <c r="Z247" s="943"/>
      <c r="AA247" s="943"/>
      <c r="AB247" s="943"/>
      <c r="AC247" s="943"/>
      <c r="AD247" s="943"/>
      <c r="AE247" s="943"/>
      <c r="AF247" s="943"/>
      <c r="AG247" s="943"/>
      <c r="AH247" s="943"/>
      <c r="AI247" s="943"/>
      <c r="AJ247" s="943"/>
      <c r="AK247" s="943"/>
      <c r="AL247" s="943"/>
      <c r="AM247" s="943"/>
      <c r="AN247" s="943"/>
      <c r="AO247" s="943"/>
      <c r="AP247" s="943"/>
      <c r="AQ247" s="943"/>
      <c r="AR247" s="943"/>
      <c r="AS247" s="943"/>
      <c r="AT247" s="943"/>
      <c r="AU247" s="943"/>
      <c r="AV247" s="943"/>
      <c r="AW247" s="943"/>
      <c r="AX247" s="943"/>
      <c r="AY247" s="943"/>
      <c r="AZ247" s="943"/>
      <c r="BA247" s="943"/>
      <c r="BB247" s="943"/>
      <c r="BC247" s="943"/>
      <c r="BD247" s="943"/>
      <c r="BE247" s="943"/>
      <c r="BF247" s="943"/>
      <c r="BG247" s="943"/>
      <c r="BH247" s="943"/>
      <c r="BI247" s="943"/>
      <c r="BJ247" s="943"/>
      <c r="BK247" s="943"/>
      <c r="BL247" s="943"/>
      <c r="BM247" s="943"/>
      <c r="BN247" s="943"/>
      <c r="BO247" s="943"/>
      <c r="BP247" s="841"/>
    </row>
    <row r="248" spans="1:68" ht="20.100000000000001" customHeight="1" outlineLevel="1">
      <c r="A248" s="823"/>
      <c r="B248" s="1870"/>
      <c r="C248" s="1872"/>
      <c r="D248" s="853" t="s">
        <v>4255</v>
      </c>
      <c r="E248" s="831" t="str">
        <f ca="1">E88</f>
        <v/>
      </c>
      <c r="F248" s="881" t="s">
        <v>4471</v>
      </c>
      <c r="G248" s="826" t="s">
        <v>4594</v>
      </c>
      <c r="H248" s="882"/>
      <c r="I248" s="882"/>
      <c r="J248" s="882"/>
      <c r="K248" s="882"/>
      <c r="L248" s="943"/>
      <c r="M248" s="943"/>
      <c r="N248" s="943"/>
      <c r="O248" s="943"/>
      <c r="P248" s="943"/>
      <c r="Q248" s="943"/>
      <c r="R248" s="943"/>
      <c r="S248" s="943"/>
      <c r="T248" s="943"/>
      <c r="U248" s="943"/>
      <c r="V248" s="943"/>
      <c r="W248" s="943"/>
      <c r="X248" s="943"/>
      <c r="Y248" s="943"/>
      <c r="Z248" s="943"/>
      <c r="AA248" s="943"/>
      <c r="AB248" s="943"/>
      <c r="AC248" s="943"/>
      <c r="AD248" s="943"/>
      <c r="AE248" s="943"/>
      <c r="AF248" s="943"/>
      <c r="AG248" s="943"/>
      <c r="AH248" s="943"/>
      <c r="AI248" s="943"/>
      <c r="AJ248" s="943"/>
      <c r="AK248" s="943"/>
      <c r="AL248" s="943"/>
      <c r="AM248" s="943"/>
      <c r="AN248" s="943"/>
      <c r="AO248" s="943"/>
      <c r="AP248" s="943"/>
      <c r="AQ248" s="943"/>
      <c r="AR248" s="943"/>
      <c r="AS248" s="943"/>
      <c r="AT248" s="943"/>
      <c r="AU248" s="943"/>
      <c r="AV248" s="943"/>
      <c r="AW248" s="943"/>
      <c r="AX248" s="943"/>
      <c r="AY248" s="943"/>
      <c r="AZ248" s="943"/>
      <c r="BA248" s="943"/>
      <c r="BB248" s="943"/>
      <c r="BC248" s="943"/>
      <c r="BD248" s="943"/>
      <c r="BE248" s="943"/>
      <c r="BF248" s="943"/>
      <c r="BG248" s="943"/>
      <c r="BH248" s="943"/>
      <c r="BI248" s="943"/>
      <c r="BJ248" s="943"/>
      <c r="BK248" s="943"/>
      <c r="BL248" s="943"/>
      <c r="BM248" s="943"/>
      <c r="BN248" s="943"/>
      <c r="BO248" s="943"/>
      <c r="BP248" s="841"/>
    </row>
    <row r="249" spans="1:68" ht="20.100000000000001" customHeight="1" outlineLevel="1">
      <c r="A249" s="823"/>
      <c r="B249" s="1870"/>
      <c r="C249" s="1872"/>
      <c r="D249" s="853" t="s">
        <v>4256</v>
      </c>
      <c r="E249" s="831" t="str">
        <f ca="1">E89</f>
        <v/>
      </c>
      <c r="F249" s="881" t="s">
        <v>4472</v>
      </c>
      <c r="G249" s="826" t="s">
        <v>4594</v>
      </c>
      <c r="H249" s="882"/>
      <c r="I249" s="882"/>
      <c r="J249" s="882"/>
      <c r="K249" s="882"/>
      <c r="L249" s="943"/>
      <c r="M249" s="943"/>
      <c r="N249" s="943"/>
      <c r="O249" s="943"/>
      <c r="P249" s="943"/>
      <c r="Q249" s="943"/>
      <c r="R249" s="943"/>
      <c r="S249" s="943"/>
      <c r="T249" s="943"/>
      <c r="U249" s="943"/>
      <c r="V249" s="943"/>
      <c r="W249" s="943"/>
      <c r="X249" s="943"/>
      <c r="Y249" s="943"/>
      <c r="Z249" s="943"/>
      <c r="AA249" s="943"/>
      <c r="AB249" s="943"/>
      <c r="AC249" s="943"/>
      <c r="AD249" s="943"/>
      <c r="AE249" s="943"/>
      <c r="AF249" s="943"/>
      <c r="AG249" s="943"/>
      <c r="AH249" s="943"/>
      <c r="AI249" s="943"/>
      <c r="AJ249" s="943"/>
      <c r="AK249" s="943"/>
      <c r="AL249" s="943"/>
      <c r="AM249" s="943"/>
      <c r="AN249" s="943"/>
      <c r="AO249" s="943"/>
      <c r="AP249" s="943"/>
      <c r="AQ249" s="943"/>
      <c r="AR249" s="943"/>
      <c r="AS249" s="943"/>
      <c r="AT249" s="943"/>
      <c r="AU249" s="943"/>
      <c r="AV249" s="943"/>
      <c r="AW249" s="943"/>
      <c r="AX249" s="943"/>
      <c r="AY249" s="943"/>
      <c r="AZ249" s="943"/>
      <c r="BA249" s="943"/>
      <c r="BB249" s="943"/>
      <c r="BC249" s="943"/>
      <c r="BD249" s="943"/>
      <c r="BE249" s="943"/>
      <c r="BF249" s="943"/>
      <c r="BG249" s="943"/>
      <c r="BH249" s="943"/>
      <c r="BI249" s="943"/>
      <c r="BJ249" s="943"/>
      <c r="BK249" s="943"/>
      <c r="BL249" s="943"/>
      <c r="BM249" s="943"/>
      <c r="BN249" s="943"/>
      <c r="BO249" s="943"/>
      <c r="BP249" s="841"/>
    </row>
    <row r="250" spans="1:68" ht="20.100000000000001" customHeight="1" outlineLevel="1">
      <c r="A250" s="823"/>
      <c r="B250" s="1870"/>
      <c r="C250" s="1872"/>
      <c r="D250" s="853" t="s">
        <v>4257</v>
      </c>
      <c r="E250" s="831" t="str">
        <f ca="1">E90</f>
        <v/>
      </c>
      <c r="F250" s="881" t="s">
        <v>4473</v>
      </c>
      <c r="G250" s="826" t="s">
        <v>4594</v>
      </c>
      <c r="H250" s="882"/>
      <c r="I250" s="882"/>
      <c r="J250" s="882"/>
      <c r="K250" s="882"/>
      <c r="L250" s="943"/>
      <c r="M250" s="943"/>
      <c r="N250" s="943"/>
      <c r="O250" s="943"/>
      <c r="P250" s="943"/>
      <c r="Q250" s="943"/>
      <c r="R250" s="943"/>
      <c r="S250" s="943"/>
      <c r="T250" s="943"/>
      <c r="U250" s="943"/>
      <c r="V250" s="943"/>
      <c r="W250" s="943"/>
      <c r="X250" s="943"/>
      <c r="Y250" s="943"/>
      <c r="Z250" s="943"/>
      <c r="AA250" s="943"/>
      <c r="AB250" s="943"/>
      <c r="AC250" s="943"/>
      <c r="AD250" s="943"/>
      <c r="AE250" s="943"/>
      <c r="AF250" s="943"/>
      <c r="AG250" s="943"/>
      <c r="AH250" s="943"/>
      <c r="AI250" s="943"/>
      <c r="AJ250" s="943"/>
      <c r="AK250" s="943"/>
      <c r="AL250" s="943"/>
      <c r="AM250" s="943"/>
      <c r="AN250" s="943"/>
      <c r="AO250" s="943"/>
      <c r="AP250" s="943"/>
      <c r="AQ250" s="943"/>
      <c r="AR250" s="943"/>
      <c r="AS250" s="943"/>
      <c r="AT250" s="943"/>
      <c r="AU250" s="943"/>
      <c r="AV250" s="943"/>
      <c r="AW250" s="943"/>
      <c r="AX250" s="943"/>
      <c r="AY250" s="943"/>
      <c r="AZ250" s="943"/>
      <c r="BA250" s="943"/>
      <c r="BB250" s="943"/>
      <c r="BC250" s="943"/>
      <c r="BD250" s="943"/>
      <c r="BE250" s="943"/>
      <c r="BF250" s="943"/>
      <c r="BG250" s="943"/>
      <c r="BH250" s="943"/>
      <c r="BI250" s="943"/>
      <c r="BJ250" s="943"/>
      <c r="BK250" s="943"/>
      <c r="BL250" s="943"/>
      <c r="BM250" s="943"/>
      <c r="BN250" s="943"/>
      <c r="BO250" s="943"/>
      <c r="BP250" s="841"/>
    </row>
    <row r="251" spans="1:68" ht="20.100000000000001" customHeight="1">
      <c r="A251" s="822">
        <v>2</v>
      </c>
      <c r="B251" s="1872" t="s">
        <v>4654</v>
      </c>
      <c r="C251" s="1872"/>
      <c r="D251" s="824" t="s">
        <v>4597</v>
      </c>
      <c r="E251" s="824"/>
      <c r="F251" s="849" t="s">
        <v>4474</v>
      </c>
      <c r="G251" s="826" t="s">
        <v>4451</v>
      </c>
      <c r="H251" s="882"/>
      <c r="I251" s="882"/>
      <c r="J251" s="882"/>
      <c r="K251" s="882"/>
      <c r="L251" s="883">
        <f ca="1">SUMPRODUCT(ROUND((0&amp;L171:L218)*$H171:$H218,0))+ROUND(SUM(SUMIFS(OFFSET(A1_集計2024,$A251,10,1,199),OFFSET(貼付け_2024実績,4,9,1,199),{"横浜*","川崎*","県域*","エネルギー管理指定工場等*"})),0)</f>
        <v>0</v>
      </c>
      <c r="M251" s="883">
        <f ca="1">SUMPRODUCT(ROUND((0&amp;M171:M218)*$H171:$H218,0))+ROUND(SUM(SUMIFS(OFFSET(A1_集計2025,$A251,10,1,199),OFFSET(貼付け_2025実績,4,9,1,199),{"横浜*","川崎*","県域*","エネルギー管理指定工場等*"})),0)</f>
        <v>0</v>
      </c>
      <c r="N251" s="883">
        <f ca="1">SUMPRODUCT(ROUND((0&amp;N171:N218)*$H171:$H218,0))+ROUND(SUM(SUMIFS(OFFSET(A1_集計2026,$A251,10,1,199),OFFSET(貼付け_2026実績,4,9,1,199),{"横浜*","川崎*","県域*","エネルギー管理指定工場等*"})),0)</f>
        <v>0</v>
      </c>
      <c r="O251" s="883">
        <f ca="1">SUMPRODUCT(ROUND((0&amp;O171:O218)*$H171:$H218,0))+ROUND(SUM(SUMIFS(OFFSET(A1_集計2027,$A251,10,1,199),OFFSET(貼付け_2027実績,4,9,1,199),{"横浜*","川崎*","県域*","エネルギー管理指定工場等*"})),0)</f>
        <v>0</v>
      </c>
      <c r="P251" s="883">
        <f ca="1">SUMPRODUCT(ROUND((0&amp;P171:P218)*$H171:$H218,0))+ROUND(SUM(SUMIFS(OFFSET(A1_集計2024,$A251,10,1,199),OFFSET(貼付け_2024実績,4,9,1,199),{"横浜*","川崎*"})),0)</f>
        <v>0</v>
      </c>
      <c r="Q251" s="883">
        <f ca="1">SUMPRODUCT(ROUND((0&amp;Q171:Q218)*$H171:$H218,0))+ROUND(SUM(SUMIFS(OFFSET(A1_集計2025,$A251,10,1,199),OFFSET(貼付け_2025実績,4,9,1,199),{"横浜*","川崎*"})),0)</f>
        <v>0</v>
      </c>
      <c r="R251" s="883">
        <f ca="1">SUMPRODUCT(ROUND((0&amp;R171:R218)*$H171:$H218,0))+ROUND(SUM(SUMIFS(OFFSET(A1_集計2026,$A251,10,1,199),OFFSET(貼付け_2026実績,4,9,1,199),{"横浜*","川崎*"})),0)</f>
        <v>0</v>
      </c>
      <c r="S251" s="883">
        <f ca="1">SUMPRODUCT(ROUND((0&amp;S171:S218)*$H171:$H218,0))+ROUND(SUM(SUMIFS(OFFSET(A1_集計2027,$A251,10,1,199),OFFSET(貼付け_2027実績,4,9,1,199),{"横浜*","川崎*"})),0)</f>
        <v>0</v>
      </c>
      <c r="T251" s="883">
        <f ca="1">SUMPRODUCT(ROUND((0&amp;T171:T218)*$H171:$H218,0))+ROUND(SUM(SUMIFS(OFFSET(A1_集計2024,$A251,10,1,199),OFFSET(貼付け_2024実績,4,9,1,199),{"県域*","エネルギー管理指定工場等*"})),0)</f>
        <v>0</v>
      </c>
      <c r="U251" s="883">
        <f ca="1">SUMPRODUCT(ROUND((0&amp;U171:U218)*$H171:$H218,0))+ROUND(SUM(SUMIFS(OFFSET(A1_集計2025,$A251,10,1,199),OFFSET(貼付け_2025実績,4,9,1,199),{"県域*","エネルギー管理指定工場等*"})),0)</f>
        <v>0</v>
      </c>
      <c r="V251" s="883">
        <f ca="1">SUMPRODUCT(ROUND((0&amp;V171:V218)*$H171:$H218,0))+ROUND(SUM(SUMIFS(OFFSET(A1_集計2026,$A251,10,1,199),OFFSET(貼付け_2026実績,4,9,1,199),{"県域*","エネルギー管理指定工場等*"})),0)</f>
        <v>0</v>
      </c>
      <c r="W251" s="883">
        <f ca="1">SUMPRODUCT(ROUND((0&amp;W171:W218)*$H171:$H218,0))+ROUND(SUM(SUMIFS(OFFSET(A1_集計2027,$A251,10,1,199),OFFSET(貼付け_2027実績,4,9,1,199),{"県域*","エネルギー管理指定工場等*"})),0)</f>
        <v>0</v>
      </c>
      <c r="X251" s="883">
        <f ca="1">SUMPRODUCT(ROUND((0&amp;X171:X218)*$H171:$H218,0))+ROUND(SUMIFS(OFFSET(A1_集計2024,$A251,10,1,199),OFFSET(貼付け_2024実績,4,9,1,199),"県域*"),0)</f>
        <v>0</v>
      </c>
      <c r="Y251" s="883">
        <f ca="1">SUMPRODUCT(ROUND((0&amp;Y171:Y218)*$H171:$H218,0))+ROUND(SUMIFS(OFFSET(A1_集計2025,$A251,10,1,199),OFFSET(貼付け_2025実績,4,9,1,199),"県域*"),0)</f>
        <v>0</v>
      </c>
      <c r="Z251" s="883">
        <f ca="1">SUMPRODUCT(ROUND((0&amp;Z171:Z218)*$H171:$H218,0))+ROUND(SUMIFS(OFFSET(A1_集計2026,$A251,10,1,199),OFFSET(貼付け_2026実績,4,9,1,199),"県域*"),0)</f>
        <v>0</v>
      </c>
      <c r="AA251" s="883">
        <f ca="1">SUMPRODUCT(ROUND((0&amp;AA171:AA218)*$H171:$H218,0))+ROUND(SUMIFS(OFFSET(A1_集計2027,$A251,10,1,199),OFFSET(貼付け_2027実績,4,9,1,199),"県域*"),0)</f>
        <v>0</v>
      </c>
      <c r="AB251" s="883">
        <f ca="1">SUMPRODUCT(ROUND((0&amp;AB171:AB218)*$H171:$H218,0))+ROUND(IFERROR(OFFSET(A1_集計2024,$A251,AB$1+1),0),0)</f>
        <v>0</v>
      </c>
      <c r="AC251" s="883">
        <f ca="1">SUMPRODUCT(ROUND((0&amp;AC171:AC218)*$H171:$H218,0))+ROUND(IFERROR(OFFSET(A1_集計2025,$A251,AC$1+1),0),0)</f>
        <v>0</v>
      </c>
      <c r="AD251" s="883">
        <f ca="1">SUMPRODUCT(ROUND((0&amp;AD171:AD218)*$H171:$H218,0))+ROUND(IFERROR(OFFSET(A1_集計2026,$A251,AD$1+1),0),0)</f>
        <v>0</v>
      </c>
      <c r="AE251" s="883">
        <f ca="1">SUMPRODUCT(ROUND((0&amp;AE171:AE218)*$H171:$H218,0))+ROUND(IFERROR(OFFSET(A1_集計2027,$A251,AE$1+1),0),0)</f>
        <v>0</v>
      </c>
      <c r="AF251" s="883">
        <f ca="1">SUMPRODUCT(ROUND((0&amp;AF171:AF218)*$H171:$H218,0))+ROUND(IFERROR(OFFSET(A1_集計2024,$A251,AF$1+1),0),0)</f>
        <v>0</v>
      </c>
      <c r="AG251" s="883">
        <f ca="1">SUMPRODUCT(ROUND((0&amp;AG171:AG218)*$H171:$H218,0))+ROUND(IFERROR(OFFSET(A1_集計2025,$A251,AG$1+1),0),0)</f>
        <v>0</v>
      </c>
      <c r="AH251" s="883">
        <f ca="1">SUMPRODUCT(ROUND((0&amp;AH171:AH218)*$H171:$H218,0))+ROUND(IFERROR(OFFSET(A1_集計2026,$A251,AH$1+1),0),0)</f>
        <v>0</v>
      </c>
      <c r="AI251" s="883">
        <f ca="1">SUMPRODUCT(ROUND((0&amp;AI171:AI218)*$H171:$H218,0))+ROUND(IFERROR(OFFSET(A1_集計2027,$A251,AI$1+1),0),0)</f>
        <v>0</v>
      </c>
      <c r="AJ251" s="883">
        <f ca="1">SUMPRODUCT(ROUND((0&amp;AJ171:AJ218)*$H171:$H218,0))+ROUND(IFERROR(OFFSET(A1_集計2024,$A251,AJ$1+1),0),0)</f>
        <v>0</v>
      </c>
      <c r="AK251" s="883">
        <f ca="1">SUMPRODUCT(ROUND((0&amp;AK171:AK218)*$H171:$H218,0))+ROUND(IFERROR(OFFSET(A1_集計2025,$A251,AK$1+1),0),0)</f>
        <v>0</v>
      </c>
      <c r="AL251" s="883">
        <f ca="1">SUMPRODUCT(ROUND((0&amp;AL171:AL218)*$H171:$H218,0))+ROUND(IFERROR(OFFSET(A1_集計2026,$A251,AL$1+1),0),0)</f>
        <v>0</v>
      </c>
      <c r="AM251" s="883">
        <f ca="1">SUMPRODUCT(ROUND((0&amp;AM171:AM218)*$H171:$H218,0))+ROUND(IFERROR(OFFSET(A1_集計2027,$A251,AM$1+1),0),0)</f>
        <v>0</v>
      </c>
      <c r="AN251" s="883">
        <f ca="1">SUMPRODUCT(ROUND((0&amp;AN171:AN218)*$H171:$H218,0))+ROUND(IFERROR(OFFSET(A1_集計2024,$A251,AN$1+1),0),0)</f>
        <v>0</v>
      </c>
      <c r="AO251" s="883">
        <f ca="1">SUMPRODUCT(ROUND((0&amp;AO171:AO218)*$H171:$H218,0))+ROUND(IFERROR(OFFSET(A1_集計2025,$A251,AO$1+1),0),0)</f>
        <v>0</v>
      </c>
      <c r="AP251" s="883">
        <f ca="1">SUMPRODUCT(ROUND((0&amp;AP171:AP218)*$H171:$H218,0))+ROUND(IFERROR(OFFSET(A1_集計2026,$A251,AP$1+1),0),0)</f>
        <v>0</v>
      </c>
      <c r="AQ251" s="883">
        <f ca="1">SUMPRODUCT(ROUND((0&amp;AQ171:AQ218)*$H171:$H218,0))+ROUND(IFERROR(OFFSET(A1_集計2027,$A251,AQ$1+1),0),0)</f>
        <v>0</v>
      </c>
      <c r="AR251" s="883">
        <f ca="1">SUMPRODUCT(ROUND((0&amp;AR171:AR218)*$H171:$H218,0))+ROUND(IFERROR(OFFSET(A1_集計2024,$A251,AR$1+1),0),0)</f>
        <v>0</v>
      </c>
      <c r="AS251" s="883">
        <f ca="1">SUMPRODUCT(ROUND((0&amp;AS171:AS218)*$H171:$H218,0))+ROUND(IFERROR(OFFSET(A1_集計2025,$A251,AS$1+1),0),0)</f>
        <v>0</v>
      </c>
      <c r="AT251" s="883">
        <f ca="1">SUMPRODUCT(ROUND((0&amp;AT171:AT218)*$H171:$H218,0))+ROUND(IFERROR(OFFSET(A1_集計2026,$A251,AT$1+1),0),0)</f>
        <v>0</v>
      </c>
      <c r="AU251" s="883">
        <f ca="1">SUMPRODUCT(ROUND((0&amp;AU171:AU218)*$H171:$H218,0))+ROUND(IFERROR(OFFSET(A1_集計2027,$A251,AU$1+1),0),0)</f>
        <v>0</v>
      </c>
      <c r="AV251" s="883">
        <f ca="1">SUMPRODUCT(ROUND((0&amp;AV171:AV218)*$H171:$H218,0))+ROUND(IFERROR(OFFSET(A1_集計2024,$A251,AV$1+1),0),0)</f>
        <v>0</v>
      </c>
      <c r="AW251" s="883">
        <f ca="1">SUMPRODUCT(ROUND((0&amp;AW171:AW218)*$H171:$H218,0))+ROUND(IFERROR(OFFSET(A1_集計2025,$A251,AW$1+1),0),0)</f>
        <v>0</v>
      </c>
      <c r="AX251" s="883">
        <f ca="1">SUMPRODUCT(ROUND((0&amp;AX171:AX218)*$H171:$H218,0))+ROUND(IFERROR(OFFSET(A1_集計2026,$A251,AX$1+1),0),0)</f>
        <v>0</v>
      </c>
      <c r="AY251" s="883">
        <f ca="1">SUMPRODUCT(ROUND((0&amp;AY171:AY218)*$H171:$H218,0))+ROUND(IFERROR(OFFSET(A1_集計2027,$A251,AY$1+1),0),0)</f>
        <v>0</v>
      </c>
      <c r="AZ251" s="883">
        <f ca="1">SUMPRODUCT(ROUND((0&amp;AZ171:AZ218)*$H171:$H218,0))+ROUND(IFERROR(OFFSET(A1_集計2024,$A251,AZ$1+1),0),0)</f>
        <v>0</v>
      </c>
      <c r="BA251" s="883">
        <f ca="1">SUMPRODUCT(ROUND((0&amp;BA171:BA218)*$H171:$H218,0))+ROUND(IFERROR(OFFSET(A1_集計2025,$A251,BA$1+1),0),0)</f>
        <v>0</v>
      </c>
      <c r="BB251" s="883">
        <f ca="1">SUMPRODUCT(ROUND((0&amp;BB171:BB218)*$H171:$H218,0))+ROUND(IFERROR(OFFSET(A1_集計2026,$A251,BB$1+1),0),0)</f>
        <v>0</v>
      </c>
      <c r="BC251" s="883">
        <f ca="1">SUMPRODUCT(ROUND((0&amp;BC171:BC218)*$H171:$H218,0))+ROUND(IFERROR(OFFSET(A1_集計2027,$A251,BC$1+1),0),0)</f>
        <v>0</v>
      </c>
      <c r="BD251" s="883">
        <f ca="1">SUMPRODUCT(ROUND((0&amp;BD171:BD218)*$H171:$H218,0))+ROUND(IFERROR(OFFSET(A1_集計2024,$A251,BD$1+1),0),0)</f>
        <v>0</v>
      </c>
      <c r="BE251" s="883">
        <f ca="1">SUMPRODUCT(ROUND((0&amp;BE171:BE218)*$H171:$H218,0))+ROUND(IFERROR(OFFSET(A1_集計2025,$A251,BE$1+1),0),0)</f>
        <v>0</v>
      </c>
      <c r="BF251" s="883">
        <f ca="1">SUMPRODUCT(ROUND((0&amp;BF171:BF218)*$H171:$H218,0))+ROUND(IFERROR(OFFSET(A1_集計2026,$A251,BF$1+1),0),0)</f>
        <v>0</v>
      </c>
      <c r="BG251" s="883">
        <f ca="1">SUMPRODUCT(ROUND((0&amp;BG171:BG218)*$H171:$H218,0))+ROUND(IFERROR(OFFSET(A1_集計2027,$A251,BG$1+1),0),0)</f>
        <v>0</v>
      </c>
      <c r="BH251" s="883">
        <f ca="1">SUMPRODUCT(ROUND((0&amp;BH171:BH218)*$H171:$H218,0))+ROUND(IFERROR(OFFSET(A1_集計2024,$A251,BH$1+1),0),0)</f>
        <v>0</v>
      </c>
      <c r="BI251" s="883">
        <f ca="1">SUMPRODUCT(ROUND((0&amp;BI171:BI218)*$H171:$H218,0))+ROUND(IFERROR(OFFSET(A1_集計2025,$A251,BI$1+1),0),0)</f>
        <v>0</v>
      </c>
      <c r="BJ251" s="883">
        <f ca="1">SUMPRODUCT(ROUND((0&amp;BJ171:BJ218)*$H171:$H218,0))+ROUND(IFERROR(OFFSET(A1_集計2026,$A251,BJ$1+1),0),0)</f>
        <v>0</v>
      </c>
      <c r="BK251" s="883">
        <f ca="1">SUMPRODUCT(ROUND((0&amp;BK171:BK218)*$H171:$H218,0))+ROUND(IFERROR(OFFSET(A1_集計2027,$A251,BK$1+1),0),0)</f>
        <v>0</v>
      </c>
      <c r="BL251" s="883">
        <f ca="1">SUMPRODUCT(ROUND((0&amp;BL171:BL218)*$H171:$H218,0))+ROUND(IFERROR(OFFSET(A1_集計2024,$A251,BL$1+1),0),0)</f>
        <v>0</v>
      </c>
      <c r="BM251" s="883">
        <f ca="1">SUMPRODUCT(ROUND((0&amp;BM171:BM218)*$H171:$H218,0))+ROUND(IFERROR(OFFSET(A1_集計2025,$A251,BM$1+1),0),0)</f>
        <v>0</v>
      </c>
      <c r="BN251" s="883">
        <f ca="1">SUMPRODUCT(ROUND((0&amp;BN171:BN218)*$H171:$H218,0))+ROUND(IFERROR(OFFSET(A1_集計2026,$A251,BN$1+1),0),0)</f>
        <v>0</v>
      </c>
      <c r="BO251" s="883">
        <f ca="1">SUMPRODUCT(ROUND((0&amp;BO171:BO218)*$H171:$H218,0))+ROUND(IFERROR(OFFSET(A1_集計2027,$A251,BO$1+1),0),0)</f>
        <v>0</v>
      </c>
      <c r="BP251" s="841"/>
    </row>
    <row r="252" spans="1:68" ht="20.100000000000001" customHeight="1">
      <c r="A252" s="822"/>
      <c r="B252" s="1872"/>
      <c r="C252" s="1872"/>
      <c r="D252" s="824" t="s">
        <v>4598</v>
      </c>
      <c r="E252" s="824"/>
      <c r="F252" s="849" t="s">
        <v>4475</v>
      </c>
      <c r="G252" s="826" t="s">
        <v>4451</v>
      </c>
      <c r="H252" s="882"/>
      <c r="I252" s="882"/>
      <c r="J252" s="882"/>
      <c r="K252" s="882"/>
      <c r="L252" s="943"/>
      <c r="M252" s="943"/>
      <c r="N252" s="943"/>
      <c r="O252" s="943"/>
      <c r="P252" s="943"/>
      <c r="Q252" s="943"/>
      <c r="R252" s="943"/>
      <c r="S252" s="943"/>
      <c r="T252" s="943"/>
      <c r="U252" s="943"/>
      <c r="V252" s="943"/>
      <c r="W252" s="943"/>
      <c r="X252" s="943"/>
      <c r="Y252" s="943"/>
      <c r="Z252" s="943"/>
      <c r="AA252" s="943"/>
      <c r="AB252" s="943"/>
      <c r="AC252" s="943"/>
      <c r="AD252" s="943"/>
      <c r="AE252" s="943"/>
      <c r="AF252" s="943"/>
      <c r="AG252" s="943"/>
      <c r="AH252" s="943"/>
      <c r="AI252" s="943"/>
      <c r="AJ252" s="943"/>
      <c r="AK252" s="943"/>
      <c r="AL252" s="943"/>
      <c r="AM252" s="943"/>
      <c r="AN252" s="943"/>
      <c r="AO252" s="943"/>
      <c r="AP252" s="943"/>
      <c r="AQ252" s="943"/>
      <c r="AR252" s="943"/>
      <c r="AS252" s="943"/>
      <c r="AT252" s="943"/>
      <c r="AU252" s="943"/>
      <c r="AV252" s="943"/>
      <c r="AW252" s="943"/>
      <c r="AX252" s="943"/>
      <c r="AY252" s="943"/>
      <c r="AZ252" s="943"/>
      <c r="BA252" s="943"/>
      <c r="BB252" s="943"/>
      <c r="BC252" s="943"/>
      <c r="BD252" s="943"/>
      <c r="BE252" s="943"/>
      <c r="BF252" s="943"/>
      <c r="BG252" s="943"/>
      <c r="BH252" s="943"/>
      <c r="BI252" s="943"/>
      <c r="BJ252" s="943"/>
      <c r="BK252" s="943"/>
      <c r="BL252" s="943"/>
      <c r="BM252" s="943"/>
      <c r="BN252" s="943"/>
      <c r="BO252" s="943"/>
      <c r="BP252" s="841"/>
    </row>
    <row r="253" spans="1:68" ht="20.100000000000001" customHeight="1">
      <c r="A253" s="822"/>
      <c r="B253" s="1872"/>
      <c r="C253" s="1872"/>
      <c r="D253" s="824" t="s">
        <v>4599</v>
      </c>
      <c r="E253" s="824" t="s">
        <v>4655</v>
      </c>
      <c r="F253" s="849" t="s">
        <v>4476</v>
      </c>
      <c r="G253" s="826" t="s">
        <v>4451</v>
      </c>
      <c r="H253" s="882"/>
      <c r="I253" s="882"/>
      <c r="J253" s="882"/>
      <c r="K253" s="882"/>
      <c r="L253" s="943"/>
      <c r="M253" s="943"/>
      <c r="N253" s="943"/>
      <c r="O253" s="943"/>
      <c r="P253" s="943"/>
      <c r="Q253" s="943"/>
      <c r="R253" s="943"/>
      <c r="S253" s="943"/>
      <c r="T253" s="943"/>
      <c r="U253" s="943"/>
      <c r="V253" s="943"/>
      <c r="W253" s="943"/>
      <c r="X253" s="943"/>
      <c r="Y253" s="943"/>
      <c r="Z253" s="943"/>
      <c r="AA253" s="943"/>
      <c r="AB253" s="943"/>
      <c r="AC253" s="943"/>
      <c r="AD253" s="943"/>
      <c r="AE253" s="943"/>
      <c r="AF253" s="943"/>
      <c r="AG253" s="943"/>
      <c r="AH253" s="943"/>
      <c r="AI253" s="943"/>
      <c r="AJ253" s="943"/>
      <c r="AK253" s="943"/>
      <c r="AL253" s="943"/>
      <c r="AM253" s="943"/>
      <c r="AN253" s="943"/>
      <c r="AO253" s="943"/>
      <c r="AP253" s="943"/>
      <c r="AQ253" s="943"/>
      <c r="AR253" s="943"/>
      <c r="AS253" s="943"/>
      <c r="AT253" s="943"/>
      <c r="AU253" s="943"/>
      <c r="AV253" s="943"/>
      <c r="AW253" s="943"/>
      <c r="AX253" s="943"/>
      <c r="AY253" s="943"/>
      <c r="AZ253" s="943"/>
      <c r="BA253" s="943"/>
      <c r="BB253" s="943"/>
      <c r="BC253" s="943"/>
      <c r="BD253" s="943"/>
      <c r="BE253" s="943"/>
      <c r="BF253" s="943"/>
      <c r="BG253" s="943"/>
      <c r="BH253" s="943"/>
      <c r="BI253" s="943"/>
      <c r="BJ253" s="943"/>
      <c r="BK253" s="943"/>
      <c r="BL253" s="943"/>
      <c r="BM253" s="943"/>
      <c r="BN253" s="943"/>
      <c r="BO253" s="943"/>
      <c r="BP253" s="841"/>
    </row>
    <row r="254" spans="1:68" ht="20.100000000000001" customHeight="1">
      <c r="A254" s="822"/>
      <c r="B254" s="1872"/>
      <c r="C254" s="1872"/>
      <c r="D254" s="824" t="s">
        <v>4454</v>
      </c>
      <c r="E254" s="824" t="s">
        <v>4656</v>
      </c>
      <c r="F254" s="849" t="s">
        <v>4477</v>
      </c>
      <c r="G254" s="826" t="s">
        <v>4451</v>
      </c>
      <c r="H254" s="882"/>
      <c r="I254" s="882"/>
      <c r="J254" s="882"/>
      <c r="K254" s="882"/>
      <c r="L254" s="828">
        <f ca="1">L251</f>
        <v>0</v>
      </c>
      <c r="M254" s="828">
        <f t="shared" ref="M254:BO254" ca="1" si="473">M251</f>
        <v>0</v>
      </c>
      <c r="N254" s="828">
        <f t="shared" ca="1" si="473"/>
        <v>0</v>
      </c>
      <c r="O254" s="828">
        <f t="shared" ca="1" si="473"/>
        <v>0</v>
      </c>
      <c r="P254" s="828">
        <f t="shared" ca="1" si="473"/>
        <v>0</v>
      </c>
      <c r="Q254" s="828">
        <f t="shared" ca="1" si="473"/>
        <v>0</v>
      </c>
      <c r="R254" s="828">
        <f t="shared" ca="1" si="473"/>
        <v>0</v>
      </c>
      <c r="S254" s="828">
        <f t="shared" ca="1" si="473"/>
        <v>0</v>
      </c>
      <c r="T254" s="828">
        <f t="shared" ca="1" si="473"/>
        <v>0</v>
      </c>
      <c r="U254" s="828">
        <f t="shared" ca="1" si="473"/>
        <v>0</v>
      </c>
      <c r="V254" s="828">
        <f t="shared" ca="1" si="473"/>
        <v>0</v>
      </c>
      <c r="W254" s="828">
        <f t="shared" ca="1" si="473"/>
        <v>0</v>
      </c>
      <c r="X254" s="828">
        <f t="shared" ca="1" si="473"/>
        <v>0</v>
      </c>
      <c r="Y254" s="828">
        <f t="shared" ca="1" si="473"/>
        <v>0</v>
      </c>
      <c r="Z254" s="828">
        <f t="shared" ca="1" si="473"/>
        <v>0</v>
      </c>
      <c r="AA254" s="828">
        <f t="shared" ca="1" si="473"/>
        <v>0</v>
      </c>
      <c r="AB254" s="828">
        <f t="shared" ca="1" si="473"/>
        <v>0</v>
      </c>
      <c r="AC254" s="828">
        <f t="shared" ca="1" si="473"/>
        <v>0</v>
      </c>
      <c r="AD254" s="828">
        <f t="shared" ca="1" si="473"/>
        <v>0</v>
      </c>
      <c r="AE254" s="828">
        <f t="shared" ca="1" si="473"/>
        <v>0</v>
      </c>
      <c r="AF254" s="828">
        <f t="shared" ca="1" si="473"/>
        <v>0</v>
      </c>
      <c r="AG254" s="828">
        <f t="shared" ca="1" si="473"/>
        <v>0</v>
      </c>
      <c r="AH254" s="828">
        <f t="shared" ca="1" si="473"/>
        <v>0</v>
      </c>
      <c r="AI254" s="828">
        <f t="shared" ca="1" si="473"/>
        <v>0</v>
      </c>
      <c r="AJ254" s="828">
        <f t="shared" ca="1" si="473"/>
        <v>0</v>
      </c>
      <c r="AK254" s="828">
        <f t="shared" ca="1" si="473"/>
        <v>0</v>
      </c>
      <c r="AL254" s="828">
        <f t="shared" ca="1" si="473"/>
        <v>0</v>
      </c>
      <c r="AM254" s="828">
        <f t="shared" ca="1" si="473"/>
        <v>0</v>
      </c>
      <c r="AN254" s="828">
        <f t="shared" ca="1" si="473"/>
        <v>0</v>
      </c>
      <c r="AO254" s="828">
        <f t="shared" ca="1" si="473"/>
        <v>0</v>
      </c>
      <c r="AP254" s="828">
        <f t="shared" ca="1" si="473"/>
        <v>0</v>
      </c>
      <c r="AQ254" s="828">
        <f t="shared" ca="1" si="473"/>
        <v>0</v>
      </c>
      <c r="AR254" s="828">
        <f t="shared" ca="1" si="473"/>
        <v>0</v>
      </c>
      <c r="AS254" s="828">
        <f t="shared" ca="1" si="473"/>
        <v>0</v>
      </c>
      <c r="AT254" s="828">
        <f t="shared" ca="1" si="473"/>
        <v>0</v>
      </c>
      <c r="AU254" s="828">
        <f t="shared" ca="1" si="473"/>
        <v>0</v>
      </c>
      <c r="AV254" s="828">
        <f t="shared" ca="1" si="473"/>
        <v>0</v>
      </c>
      <c r="AW254" s="828">
        <f t="shared" ca="1" si="473"/>
        <v>0</v>
      </c>
      <c r="AX254" s="828">
        <f t="shared" ca="1" si="473"/>
        <v>0</v>
      </c>
      <c r="AY254" s="828">
        <f t="shared" ca="1" si="473"/>
        <v>0</v>
      </c>
      <c r="AZ254" s="828">
        <f t="shared" ca="1" si="473"/>
        <v>0</v>
      </c>
      <c r="BA254" s="828">
        <f t="shared" ca="1" si="473"/>
        <v>0</v>
      </c>
      <c r="BB254" s="828">
        <f t="shared" ca="1" si="473"/>
        <v>0</v>
      </c>
      <c r="BC254" s="828">
        <f t="shared" ca="1" si="473"/>
        <v>0</v>
      </c>
      <c r="BD254" s="828">
        <f t="shared" ca="1" si="473"/>
        <v>0</v>
      </c>
      <c r="BE254" s="828">
        <f t="shared" ca="1" si="473"/>
        <v>0</v>
      </c>
      <c r="BF254" s="828">
        <f t="shared" ca="1" si="473"/>
        <v>0</v>
      </c>
      <c r="BG254" s="828">
        <f t="shared" ca="1" si="473"/>
        <v>0</v>
      </c>
      <c r="BH254" s="828">
        <f t="shared" ca="1" si="473"/>
        <v>0</v>
      </c>
      <c r="BI254" s="828">
        <f t="shared" ca="1" si="473"/>
        <v>0</v>
      </c>
      <c r="BJ254" s="828">
        <f t="shared" ca="1" si="473"/>
        <v>0</v>
      </c>
      <c r="BK254" s="828">
        <f t="shared" ca="1" si="473"/>
        <v>0</v>
      </c>
      <c r="BL254" s="828">
        <f t="shared" ca="1" si="473"/>
        <v>0</v>
      </c>
      <c r="BM254" s="828">
        <f t="shared" ca="1" si="473"/>
        <v>0</v>
      </c>
      <c r="BN254" s="828">
        <f t="shared" ca="1" si="473"/>
        <v>0</v>
      </c>
      <c r="BO254" s="828">
        <f t="shared" ca="1" si="473"/>
        <v>0</v>
      </c>
      <c r="BP254" s="841"/>
    </row>
    <row r="255" spans="1:68" ht="20.100000000000001" customHeight="1">
      <c r="A255" s="822"/>
      <c r="B255" s="886" t="s">
        <v>4657</v>
      </c>
      <c r="C255" s="887"/>
      <c r="D255" s="824"/>
      <c r="E255" s="824" t="s">
        <v>4658</v>
      </c>
      <c r="F255" s="849"/>
      <c r="G255" s="826" t="s">
        <v>4604</v>
      </c>
      <c r="H255" s="882"/>
      <c r="I255" s="882"/>
      <c r="J255" s="882"/>
      <c r="K255" s="882"/>
      <c r="L255" s="884">
        <f ca="1">ROUND(L254*0.0258,0)</f>
        <v>0</v>
      </c>
      <c r="M255" s="884">
        <f t="shared" ref="M255:BO255" ca="1" si="474">ROUND(M254*0.0258,0)</f>
        <v>0</v>
      </c>
      <c r="N255" s="884">
        <f t="shared" ca="1" si="474"/>
        <v>0</v>
      </c>
      <c r="O255" s="884">
        <f t="shared" ca="1" si="474"/>
        <v>0</v>
      </c>
      <c r="P255" s="884">
        <f t="shared" ca="1" si="474"/>
        <v>0</v>
      </c>
      <c r="Q255" s="884">
        <f t="shared" ca="1" si="474"/>
        <v>0</v>
      </c>
      <c r="R255" s="884">
        <f t="shared" ca="1" si="474"/>
        <v>0</v>
      </c>
      <c r="S255" s="884">
        <f t="shared" ca="1" si="474"/>
        <v>0</v>
      </c>
      <c r="T255" s="884">
        <f t="shared" ca="1" si="474"/>
        <v>0</v>
      </c>
      <c r="U255" s="884">
        <f t="shared" ca="1" si="474"/>
        <v>0</v>
      </c>
      <c r="V255" s="884">
        <f t="shared" ca="1" si="474"/>
        <v>0</v>
      </c>
      <c r="W255" s="884">
        <f t="shared" ca="1" si="474"/>
        <v>0</v>
      </c>
      <c r="X255" s="884">
        <f t="shared" ca="1" si="474"/>
        <v>0</v>
      </c>
      <c r="Y255" s="884">
        <f t="shared" ca="1" si="474"/>
        <v>0</v>
      </c>
      <c r="Z255" s="884">
        <f t="shared" ca="1" si="474"/>
        <v>0</v>
      </c>
      <c r="AA255" s="884">
        <f t="shared" ca="1" si="474"/>
        <v>0</v>
      </c>
      <c r="AB255" s="884">
        <f t="shared" ca="1" si="474"/>
        <v>0</v>
      </c>
      <c r="AC255" s="884">
        <f t="shared" ca="1" si="474"/>
        <v>0</v>
      </c>
      <c r="AD255" s="884">
        <f t="shared" ca="1" si="474"/>
        <v>0</v>
      </c>
      <c r="AE255" s="884">
        <f t="shared" ca="1" si="474"/>
        <v>0</v>
      </c>
      <c r="AF255" s="884">
        <f t="shared" ca="1" si="474"/>
        <v>0</v>
      </c>
      <c r="AG255" s="884">
        <f t="shared" ca="1" si="474"/>
        <v>0</v>
      </c>
      <c r="AH255" s="884">
        <f t="shared" ca="1" si="474"/>
        <v>0</v>
      </c>
      <c r="AI255" s="884">
        <f t="shared" ca="1" si="474"/>
        <v>0</v>
      </c>
      <c r="AJ255" s="884">
        <f t="shared" ca="1" si="474"/>
        <v>0</v>
      </c>
      <c r="AK255" s="884">
        <f t="shared" ca="1" si="474"/>
        <v>0</v>
      </c>
      <c r="AL255" s="884">
        <f t="shared" ca="1" si="474"/>
        <v>0</v>
      </c>
      <c r="AM255" s="884">
        <f t="shared" ca="1" si="474"/>
        <v>0</v>
      </c>
      <c r="AN255" s="884">
        <f t="shared" ca="1" si="474"/>
        <v>0</v>
      </c>
      <c r="AO255" s="884">
        <f t="shared" ca="1" si="474"/>
        <v>0</v>
      </c>
      <c r="AP255" s="884">
        <f t="shared" ca="1" si="474"/>
        <v>0</v>
      </c>
      <c r="AQ255" s="884">
        <f t="shared" ca="1" si="474"/>
        <v>0</v>
      </c>
      <c r="AR255" s="884">
        <f t="shared" ca="1" si="474"/>
        <v>0</v>
      </c>
      <c r="AS255" s="884">
        <f t="shared" ca="1" si="474"/>
        <v>0</v>
      </c>
      <c r="AT255" s="884">
        <f t="shared" ca="1" si="474"/>
        <v>0</v>
      </c>
      <c r="AU255" s="884">
        <f t="shared" ca="1" si="474"/>
        <v>0</v>
      </c>
      <c r="AV255" s="884">
        <f t="shared" ca="1" si="474"/>
        <v>0</v>
      </c>
      <c r="AW255" s="884">
        <f t="shared" ca="1" si="474"/>
        <v>0</v>
      </c>
      <c r="AX255" s="884">
        <f t="shared" ca="1" si="474"/>
        <v>0</v>
      </c>
      <c r="AY255" s="884">
        <f t="shared" ca="1" si="474"/>
        <v>0</v>
      </c>
      <c r="AZ255" s="884">
        <f t="shared" ca="1" si="474"/>
        <v>0</v>
      </c>
      <c r="BA255" s="884">
        <f t="shared" ca="1" si="474"/>
        <v>0</v>
      </c>
      <c r="BB255" s="884">
        <f t="shared" ca="1" si="474"/>
        <v>0</v>
      </c>
      <c r="BC255" s="884">
        <f t="shared" ca="1" si="474"/>
        <v>0</v>
      </c>
      <c r="BD255" s="884">
        <f t="shared" ca="1" si="474"/>
        <v>0</v>
      </c>
      <c r="BE255" s="884">
        <f t="shared" ca="1" si="474"/>
        <v>0</v>
      </c>
      <c r="BF255" s="884">
        <f t="shared" ca="1" si="474"/>
        <v>0</v>
      </c>
      <c r="BG255" s="884">
        <f t="shared" ca="1" si="474"/>
        <v>0</v>
      </c>
      <c r="BH255" s="884">
        <f t="shared" ca="1" si="474"/>
        <v>0</v>
      </c>
      <c r="BI255" s="884">
        <f t="shared" ca="1" si="474"/>
        <v>0</v>
      </c>
      <c r="BJ255" s="884">
        <f t="shared" ca="1" si="474"/>
        <v>0</v>
      </c>
      <c r="BK255" s="884">
        <f t="shared" ca="1" si="474"/>
        <v>0</v>
      </c>
      <c r="BL255" s="884">
        <f t="shared" ca="1" si="474"/>
        <v>0</v>
      </c>
      <c r="BM255" s="884">
        <f t="shared" ca="1" si="474"/>
        <v>0</v>
      </c>
      <c r="BN255" s="884">
        <f t="shared" ca="1" si="474"/>
        <v>0</v>
      </c>
      <c r="BO255" s="884">
        <f t="shared" ca="1" si="474"/>
        <v>0</v>
      </c>
      <c r="BP255" s="841"/>
    </row>
    <row r="256" spans="1:68" ht="20.100000000000001" customHeight="1">
      <c r="A256" s="819">
        <v>3</v>
      </c>
      <c r="B256" s="819" t="s">
        <v>4659</v>
      </c>
      <c r="C256" s="820"/>
      <c r="D256" s="820"/>
      <c r="E256" s="820"/>
      <c r="F256" s="820"/>
      <c r="G256" s="821"/>
      <c r="H256" s="918"/>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row>
    <row r="257" spans="1:67" ht="20.100000000000001" customHeight="1">
      <c r="A257" s="822"/>
      <c r="B257" s="819" t="s">
        <v>4388</v>
      </c>
      <c r="C257" s="820"/>
      <c r="D257" s="820"/>
      <c r="E257" s="820"/>
      <c r="F257" s="820"/>
      <c r="G257" s="821"/>
      <c r="H257" s="918"/>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row>
    <row r="258" spans="1:67" ht="20.100000000000001" customHeight="1">
      <c r="A258" s="823">
        <v>8</v>
      </c>
      <c r="B258" s="1869" t="s">
        <v>4389</v>
      </c>
      <c r="C258" s="1872" t="s">
        <v>4390</v>
      </c>
      <c r="D258" s="824" t="s">
        <v>4143</v>
      </c>
      <c r="E258" s="824"/>
      <c r="F258" s="825"/>
      <c r="G258" s="826" t="s">
        <v>4144</v>
      </c>
      <c r="H258" s="827">
        <f t="shared" ref="H258:K273" ca="1" si="475">H9</f>
        <v>38.299999999999997</v>
      </c>
      <c r="I258" s="827">
        <f t="shared" ca="1" si="475"/>
        <v>38.299999999999997</v>
      </c>
      <c r="J258" s="827">
        <f t="shared" ca="1" si="475"/>
        <v>38.299999999999997</v>
      </c>
      <c r="K258" s="827">
        <f t="shared" ca="1" si="475"/>
        <v>38.299999999999997</v>
      </c>
      <c r="L258" s="828">
        <f t="shared" ref="L258:O273" ca="1" si="476">P258+T258</f>
        <v>0</v>
      </c>
      <c r="M258" s="828">
        <f t="shared" ca="1" si="476"/>
        <v>0</v>
      </c>
      <c r="N258" s="828">
        <f t="shared" ca="1" si="476"/>
        <v>0</v>
      </c>
      <c r="O258" s="828">
        <f t="shared" ca="1" si="476"/>
        <v>0</v>
      </c>
      <c r="P258" s="828">
        <f ca="1">SUM(SUMIFS(OFFSET(貼付け_2024実績,$A258,11,1,199),OFFSET(貼付け_2024実績,4,9,1,199),{"横浜*","川崎*"}))</f>
        <v>0</v>
      </c>
      <c r="Q258" s="828">
        <f ca="1">SUM(SUMIFS(OFFSET(貼付け_2025実績,$A258,11,1,199),OFFSET(貼付け_2025実績,4,9,1,199),{"横浜*","川崎*"}))</f>
        <v>0</v>
      </c>
      <c r="R258" s="828">
        <f ca="1">SUM(SUMIFS(OFFSET(貼付け_2026実績,$A258,11,1,199),OFFSET(貼付け_2026実績,4,9,1,199),{"横浜*","川崎*"}))</f>
        <v>0</v>
      </c>
      <c r="S258" s="828">
        <f ca="1">SUM(SUMIFS(OFFSET(貼付け_2027実績,$A258,11,1,199),OFFSET(貼付け_2027実績,4,9,1,199),{"横浜*","川崎*"}))</f>
        <v>0</v>
      </c>
      <c r="T258" s="828">
        <f t="shared" ref="T258:W273" ca="1" si="477">SUM(X258,AB258,AF258,AJ258,AN258,AR258,AV258,AZ258,BD258,BH258,BL258)</f>
        <v>0</v>
      </c>
      <c r="U258" s="828">
        <f t="shared" ca="1" si="477"/>
        <v>0</v>
      </c>
      <c r="V258" s="828">
        <f t="shared" ca="1" si="477"/>
        <v>0</v>
      </c>
      <c r="W258" s="828">
        <f t="shared" ca="1" si="477"/>
        <v>0</v>
      </c>
      <c r="X258" s="828">
        <f t="shared" ref="X258:X289" ca="1" si="478">SUMIFS(OFFSET(貼付け_2024実績,$A258,11,1,199),OFFSET(貼付け_2024実績,4,9,1,199),"県域*")</f>
        <v>0</v>
      </c>
      <c r="Y258" s="828">
        <f t="shared" ref="Y258:Y289" ca="1" si="479">SUMIFS(OFFSET(貼付け_2025実績,$A258,11,1,199),OFFSET(貼付け_2025実績,4,9,1,199),"県域*")</f>
        <v>0</v>
      </c>
      <c r="Z258" s="828">
        <f t="shared" ref="Z258:Z289" ca="1" si="480">SUMIFS(OFFSET(貼付け_2026実績,$A258,11,1,199),OFFSET(貼付け_2026実績,4,9,1,199),"県域*")</f>
        <v>0</v>
      </c>
      <c r="AA258" s="828">
        <f t="shared" ref="AA258:AA289" ca="1" si="481">SUMIFS(OFFSET(貼付け_2027実績,$A258,11,1,199),OFFSET(貼付け_2027実績,4,9,1,199),"県域*")</f>
        <v>0</v>
      </c>
      <c r="AB258" s="828" t="str">
        <f t="shared" ref="AB258:AB289" ca="1" si="482">IFERROR(OFFSET(貼付け_2024実績,$A258,AB$1+2),"")</f>
        <v/>
      </c>
      <c r="AC258" s="828" t="str">
        <f t="shared" ref="AC258:AC289" ca="1" si="483">IFERROR(OFFSET(貼付け_2025実績,$A258,AC$1+2),"")</f>
        <v/>
      </c>
      <c r="AD258" s="828" t="str">
        <f t="shared" ref="AD258:AD289" ca="1" si="484">IFERROR(OFFSET(貼付け_2026実績,$A258,AD$1+2),"")</f>
        <v/>
      </c>
      <c r="AE258" s="828" t="str">
        <f t="shared" ref="AE258:AE289" ca="1" si="485">IFERROR(OFFSET(貼付け_2027実績,$A258,AE$1+2),"")</f>
        <v/>
      </c>
      <c r="AF258" s="828" t="str">
        <f t="shared" ref="AF258:AF289" ca="1" si="486">IFERROR(OFFSET(貼付け_2024実績,$A258,AF$1+2),"")</f>
        <v/>
      </c>
      <c r="AG258" s="828" t="str">
        <f t="shared" ref="AG258:AG289" ca="1" si="487">IFERROR(OFFSET(貼付け_2025実績,$A258,AG$1+2),"")</f>
        <v/>
      </c>
      <c r="AH258" s="828" t="str">
        <f t="shared" ref="AH258:AH289" ca="1" si="488">IFERROR(OFFSET(貼付け_2026実績,$A258,AH$1+2),"")</f>
        <v/>
      </c>
      <c r="AI258" s="828" t="str">
        <f t="shared" ref="AI258:AI289" ca="1" si="489">IFERROR(OFFSET(貼付け_2027実績,$A258,AI$1+2),"")</f>
        <v/>
      </c>
      <c r="AJ258" s="828" t="str">
        <f t="shared" ref="AJ258:AJ289" ca="1" si="490">IFERROR(OFFSET(貼付け_2024実績,$A258,AJ$1+2),"")</f>
        <v/>
      </c>
      <c r="AK258" s="828" t="str">
        <f t="shared" ref="AK258:AK289" ca="1" si="491">IFERROR(OFFSET(貼付け_2025実績,$A258,AK$1+2),"")</f>
        <v/>
      </c>
      <c r="AL258" s="828" t="str">
        <f t="shared" ref="AL258:AL289" ca="1" si="492">IFERROR(OFFSET(貼付け_2026実績,$A258,AL$1+2),"")</f>
        <v/>
      </c>
      <c r="AM258" s="828" t="str">
        <f t="shared" ref="AM258:AM289" ca="1" si="493">IFERROR(OFFSET(貼付け_2027実績,$A258,AM$1+2),"")</f>
        <v/>
      </c>
      <c r="AN258" s="828" t="str">
        <f t="shared" ref="AN258:AN289" ca="1" si="494">IFERROR(OFFSET(貼付け_2024実績,$A258,AN$1+2),"")</f>
        <v/>
      </c>
      <c r="AO258" s="828" t="str">
        <f t="shared" ref="AO258:AO289" ca="1" si="495">IFERROR(OFFSET(貼付け_2025実績,$A258,AO$1+2),"")</f>
        <v/>
      </c>
      <c r="AP258" s="828" t="str">
        <f t="shared" ref="AP258:AP289" ca="1" si="496">IFERROR(OFFSET(貼付け_2026実績,$A258,AP$1+2),"")</f>
        <v/>
      </c>
      <c r="AQ258" s="828" t="str">
        <f t="shared" ref="AQ258:AQ289" ca="1" si="497">IFERROR(OFFSET(貼付け_2027実績,$A258,AQ$1+2),"")</f>
        <v/>
      </c>
      <c r="AR258" s="828" t="str">
        <f t="shared" ref="AR258:AR289" ca="1" si="498">IFERROR(OFFSET(貼付け_2024実績,$A258,AR$1+2),"")</f>
        <v/>
      </c>
      <c r="AS258" s="828" t="str">
        <f t="shared" ref="AS258:AS289" ca="1" si="499">IFERROR(OFFSET(貼付け_2025実績,$A258,AS$1+2),"")</f>
        <v/>
      </c>
      <c r="AT258" s="828" t="str">
        <f t="shared" ref="AT258:AT289" ca="1" si="500">IFERROR(OFFSET(貼付け_2026実績,$A258,AT$1+2),"")</f>
        <v/>
      </c>
      <c r="AU258" s="828" t="str">
        <f t="shared" ref="AU258:AU289" ca="1" si="501">IFERROR(OFFSET(貼付け_2027実績,$A258,AU$1+2),"")</f>
        <v/>
      </c>
      <c r="AV258" s="828" t="str">
        <f t="shared" ref="AV258:AV289" ca="1" si="502">IFERROR(OFFSET(貼付け_2024実績,$A258,AV$1+2),"")</f>
        <v/>
      </c>
      <c r="AW258" s="828" t="str">
        <f t="shared" ref="AW258:AW289" ca="1" si="503">IFERROR(OFFSET(貼付け_2025実績,$A258,AW$1+2),"")</f>
        <v/>
      </c>
      <c r="AX258" s="828" t="str">
        <f t="shared" ref="AX258:AX289" ca="1" si="504">IFERROR(OFFSET(貼付け_2026実績,$A258,AX$1+2),"")</f>
        <v/>
      </c>
      <c r="AY258" s="828" t="str">
        <f t="shared" ref="AY258:AY289" ca="1" si="505">IFERROR(OFFSET(貼付け_2027実績,$A258,AY$1+2),"")</f>
        <v/>
      </c>
      <c r="AZ258" s="828" t="str">
        <f t="shared" ref="AZ258:AZ289" ca="1" si="506">IFERROR(OFFSET(貼付け_2024実績,$A258,AZ$1+2),"")</f>
        <v/>
      </c>
      <c r="BA258" s="828" t="str">
        <f t="shared" ref="BA258:BA289" ca="1" si="507">IFERROR(OFFSET(貼付け_2025実績,$A258,BA$1+2),"")</f>
        <v/>
      </c>
      <c r="BB258" s="828" t="str">
        <f t="shared" ref="BB258:BB289" ca="1" si="508">IFERROR(OFFSET(貼付け_2026実績,$A258,BB$1+2),"")</f>
        <v/>
      </c>
      <c r="BC258" s="828" t="str">
        <f t="shared" ref="BC258:BC289" ca="1" si="509">IFERROR(OFFSET(貼付け_2027実績,$A258,BC$1+2),"")</f>
        <v/>
      </c>
      <c r="BD258" s="828" t="str">
        <f t="shared" ref="BD258:BD289" ca="1" si="510">IFERROR(OFFSET(貼付け_2024実績,$A258,BD$1+2),"")</f>
        <v/>
      </c>
      <c r="BE258" s="828" t="str">
        <f t="shared" ref="BE258:BE289" ca="1" si="511">IFERROR(OFFSET(貼付け_2025実績,$A258,BE$1+2),"")</f>
        <v/>
      </c>
      <c r="BF258" s="828" t="str">
        <f t="shared" ref="BF258:BF289" ca="1" si="512">IFERROR(OFFSET(貼付け_2026実績,$A258,BF$1+2),"")</f>
        <v/>
      </c>
      <c r="BG258" s="828" t="str">
        <f t="shared" ref="BG258:BG289" ca="1" si="513">IFERROR(OFFSET(貼付け_2027実績,$A258,BG$1+2),"")</f>
        <v/>
      </c>
      <c r="BH258" s="828" t="str">
        <f t="shared" ref="BH258:BH289" ca="1" si="514">IFERROR(OFFSET(貼付け_2024実績,$A258,BH$1+2),"")</f>
        <v/>
      </c>
      <c r="BI258" s="828" t="str">
        <f t="shared" ref="BI258:BI289" ca="1" si="515">IFERROR(OFFSET(貼付け_2025実績,$A258,BI$1+2),"")</f>
        <v/>
      </c>
      <c r="BJ258" s="828" t="str">
        <f t="shared" ref="BJ258:BJ289" ca="1" si="516">IFERROR(OFFSET(貼付け_2026実績,$A258,BJ$1+2),"")</f>
        <v/>
      </c>
      <c r="BK258" s="828" t="str">
        <f t="shared" ref="BK258:BK289" ca="1" si="517">IFERROR(OFFSET(貼付け_2027実績,$A258,BK$1+2),"")</f>
        <v/>
      </c>
      <c r="BL258" s="828" t="str">
        <f t="shared" ref="BL258:BL289" ca="1" si="518">IFERROR(OFFSET(貼付け_2024実績,$A258,BL$1+2),"")</f>
        <v/>
      </c>
      <c r="BM258" s="828" t="str">
        <f t="shared" ref="BM258:BM289" ca="1" si="519">IFERROR(OFFSET(貼付け_2025実績,$A258,BM$1+2),"")</f>
        <v/>
      </c>
      <c r="BN258" s="828" t="str">
        <f t="shared" ref="BN258:BN289" ca="1" si="520">IFERROR(OFFSET(貼付け_2026実績,$A258,BN$1+2),"")</f>
        <v/>
      </c>
      <c r="BO258" s="828" t="str">
        <f t="shared" ref="BO258:BO289" ca="1" si="521">IFERROR(OFFSET(貼付け_2027実績,$A258,BO$1+2),"")</f>
        <v/>
      </c>
    </row>
    <row r="259" spans="1:67" ht="20.100000000000001" customHeight="1">
      <c r="A259" s="823">
        <v>9</v>
      </c>
      <c r="B259" s="1870"/>
      <c r="C259" s="1872"/>
      <c r="D259" s="824" t="s">
        <v>4391</v>
      </c>
      <c r="E259" s="824"/>
      <c r="F259" s="825"/>
      <c r="G259" s="826" t="s">
        <v>4144</v>
      </c>
      <c r="H259" s="827">
        <f t="shared" ca="1" si="475"/>
        <v>34.799999999999997</v>
      </c>
      <c r="I259" s="827">
        <f t="shared" ca="1" si="475"/>
        <v>34.799999999999997</v>
      </c>
      <c r="J259" s="827">
        <f t="shared" ca="1" si="475"/>
        <v>34.799999999999997</v>
      </c>
      <c r="K259" s="827">
        <f t="shared" ca="1" si="475"/>
        <v>34.799999999999997</v>
      </c>
      <c r="L259" s="828">
        <f t="shared" ca="1" si="476"/>
        <v>0</v>
      </c>
      <c r="M259" s="828">
        <f t="shared" ca="1" si="476"/>
        <v>0</v>
      </c>
      <c r="N259" s="828">
        <f t="shared" ca="1" si="476"/>
        <v>0</v>
      </c>
      <c r="O259" s="828">
        <f t="shared" ca="1" si="476"/>
        <v>0</v>
      </c>
      <c r="P259" s="828">
        <f ca="1">SUM(SUMIFS(OFFSET(貼付け_2024実績,$A259,11,1,199),OFFSET(貼付け_2024実績,4,9,1,199),{"横浜*","川崎*"}))</f>
        <v>0</v>
      </c>
      <c r="Q259" s="828">
        <f ca="1">SUM(SUMIFS(OFFSET(貼付け_2025実績,$A259,11,1,199),OFFSET(貼付け_2025実績,4,9,1,199),{"横浜*","川崎*"}))</f>
        <v>0</v>
      </c>
      <c r="R259" s="828">
        <f ca="1">SUM(SUMIFS(OFFSET(貼付け_2026実績,$A259,11,1,199),OFFSET(貼付け_2026実績,4,9,1,199),{"横浜*","川崎*"}))</f>
        <v>0</v>
      </c>
      <c r="S259" s="828">
        <f ca="1">SUM(SUMIFS(OFFSET(貼付け_2027実績,$A259,11,1,199),OFFSET(貼付け_2027実績,4,9,1,199),{"横浜*","川崎*"}))</f>
        <v>0</v>
      </c>
      <c r="T259" s="828">
        <f t="shared" ca="1" si="477"/>
        <v>0</v>
      </c>
      <c r="U259" s="828">
        <f t="shared" ca="1" si="477"/>
        <v>0</v>
      </c>
      <c r="V259" s="828">
        <f t="shared" ca="1" si="477"/>
        <v>0</v>
      </c>
      <c r="W259" s="828">
        <f t="shared" ca="1" si="477"/>
        <v>0</v>
      </c>
      <c r="X259" s="828">
        <f t="shared" ca="1" si="478"/>
        <v>0</v>
      </c>
      <c r="Y259" s="828">
        <f t="shared" ca="1" si="479"/>
        <v>0</v>
      </c>
      <c r="Z259" s="828">
        <f t="shared" ca="1" si="480"/>
        <v>0</v>
      </c>
      <c r="AA259" s="828">
        <f t="shared" ca="1" si="481"/>
        <v>0</v>
      </c>
      <c r="AB259" s="828" t="str">
        <f t="shared" ca="1" si="482"/>
        <v/>
      </c>
      <c r="AC259" s="828" t="str">
        <f t="shared" ca="1" si="483"/>
        <v/>
      </c>
      <c r="AD259" s="828" t="str">
        <f t="shared" ca="1" si="484"/>
        <v/>
      </c>
      <c r="AE259" s="828" t="str">
        <f t="shared" ca="1" si="485"/>
        <v/>
      </c>
      <c r="AF259" s="828" t="str">
        <f t="shared" ca="1" si="486"/>
        <v/>
      </c>
      <c r="AG259" s="828" t="str">
        <f t="shared" ca="1" si="487"/>
        <v/>
      </c>
      <c r="AH259" s="828" t="str">
        <f t="shared" ca="1" si="488"/>
        <v/>
      </c>
      <c r="AI259" s="828" t="str">
        <f t="shared" ca="1" si="489"/>
        <v/>
      </c>
      <c r="AJ259" s="828" t="str">
        <f t="shared" ca="1" si="490"/>
        <v/>
      </c>
      <c r="AK259" s="828" t="str">
        <f t="shared" ca="1" si="491"/>
        <v/>
      </c>
      <c r="AL259" s="828" t="str">
        <f t="shared" ca="1" si="492"/>
        <v/>
      </c>
      <c r="AM259" s="828" t="str">
        <f t="shared" ca="1" si="493"/>
        <v/>
      </c>
      <c r="AN259" s="828" t="str">
        <f t="shared" ca="1" si="494"/>
        <v/>
      </c>
      <c r="AO259" s="828" t="str">
        <f t="shared" ca="1" si="495"/>
        <v/>
      </c>
      <c r="AP259" s="828" t="str">
        <f t="shared" ca="1" si="496"/>
        <v/>
      </c>
      <c r="AQ259" s="828" t="str">
        <f t="shared" ca="1" si="497"/>
        <v/>
      </c>
      <c r="AR259" s="828" t="str">
        <f t="shared" ca="1" si="498"/>
        <v/>
      </c>
      <c r="AS259" s="828" t="str">
        <f t="shared" ca="1" si="499"/>
        <v/>
      </c>
      <c r="AT259" s="828" t="str">
        <f t="shared" ca="1" si="500"/>
        <v/>
      </c>
      <c r="AU259" s="828" t="str">
        <f t="shared" ca="1" si="501"/>
        <v/>
      </c>
      <c r="AV259" s="828" t="str">
        <f t="shared" ca="1" si="502"/>
        <v/>
      </c>
      <c r="AW259" s="828" t="str">
        <f t="shared" ca="1" si="503"/>
        <v/>
      </c>
      <c r="AX259" s="828" t="str">
        <f t="shared" ca="1" si="504"/>
        <v/>
      </c>
      <c r="AY259" s="828" t="str">
        <f t="shared" ca="1" si="505"/>
        <v/>
      </c>
      <c r="AZ259" s="828" t="str">
        <f t="shared" ca="1" si="506"/>
        <v/>
      </c>
      <c r="BA259" s="828" t="str">
        <f t="shared" ca="1" si="507"/>
        <v/>
      </c>
      <c r="BB259" s="828" t="str">
        <f t="shared" ca="1" si="508"/>
        <v/>
      </c>
      <c r="BC259" s="828" t="str">
        <f t="shared" ca="1" si="509"/>
        <v/>
      </c>
      <c r="BD259" s="828" t="str">
        <f t="shared" ca="1" si="510"/>
        <v/>
      </c>
      <c r="BE259" s="828" t="str">
        <f t="shared" ca="1" si="511"/>
        <v/>
      </c>
      <c r="BF259" s="828" t="str">
        <f t="shared" ca="1" si="512"/>
        <v/>
      </c>
      <c r="BG259" s="828" t="str">
        <f t="shared" ca="1" si="513"/>
        <v/>
      </c>
      <c r="BH259" s="828" t="str">
        <f t="shared" ca="1" si="514"/>
        <v/>
      </c>
      <c r="BI259" s="828" t="str">
        <f t="shared" ca="1" si="515"/>
        <v/>
      </c>
      <c r="BJ259" s="828" t="str">
        <f t="shared" ca="1" si="516"/>
        <v/>
      </c>
      <c r="BK259" s="828" t="str">
        <f t="shared" ca="1" si="517"/>
        <v/>
      </c>
      <c r="BL259" s="828" t="str">
        <f t="shared" ca="1" si="518"/>
        <v/>
      </c>
      <c r="BM259" s="828" t="str">
        <f t="shared" ca="1" si="519"/>
        <v/>
      </c>
      <c r="BN259" s="828" t="str">
        <f t="shared" ca="1" si="520"/>
        <v/>
      </c>
      <c r="BO259" s="828" t="str">
        <f t="shared" ca="1" si="521"/>
        <v/>
      </c>
    </row>
    <row r="260" spans="1:67" ht="20.100000000000001" customHeight="1">
      <c r="A260" s="823">
        <v>10</v>
      </c>
      <c r="B260" s="1871"/>
      <c r="C260" s="1872"/>
      <c r="D260" s="824" t="s">
        <v>4392</v>
      </c>
      <c r="E260" s="824"/>
      <c r="F260" s="825"/>
      <c r="G260" s="826" t="s">
        <v>4144</v>
      </c>
      <c r="H260" s="827">
        <f t="shared" ca="1" si="475"/>
        <v>33.4</v>
      </c>
      <c r="I260" s="827">
        <f t="shared" ca="1" si="475"/>
        <v>33.4</v>
      </c>
      <c r="J260" s="827">
        <f t="shared" ca="1" si="475"/>
        <v>33.4</v>
      </c>
      <c r="K260" s="827">
        <f t="shared" ca="1" si="475"/>
        <v>33.4</v>
      </c>
      <c r="L260" s="828">
        <f t="shared" ca="1" si="476"/>
        <v>0</v>
      </c>
      <c r="M260" s="828">
        <f t="shared" ca="1" si="476"/>
        <v>0</v>
      </c>
      <c r="N260" s="828">
        <f t="shared" ca="1" si="476"/>
        <v>0</v>
      </c>
      <c r="O260" s="828">
        <f t="shared" ca="1" si="476"/>
        <v>0</v>
      </c>
      <c r="P260" s="828">
        <f ca="1">SUM(SUMIFS(OFFSET(貼付け_2024実績,$A260,11,1,199),OFFSET(貼付け_2024実績,4,9,1,199),{"横浜*","川崎*"}))</f>
        <v>0</v>
      </c>
      <c r="Q260" s="828">
        <f ca="1">SUM(SUMIFS(OFFSET(貼付け_2025実績,$A260,11,1,199),OFFSET(貼付け_2025実績,4,9,1,199),{"横浜*","川崎*"}))</f>
        <v>0</v>
      </c>
      <c r="R260" s="828">
        <f ca="1">SUM(SUMIFS(OFFSET(貼付け_2026実績,$A260,11,1,199),OFFSET(貼付け_2026実績,4,9,1,199),{"横浜*","川崎*"}))</f>
        <v>0</v>
      </c>
      <c r="S260" s="828">
        <f ca="1">SUM(SUMIFS(OFFSET(貼付け_2027実績,$A260,11,1,199),OFFSET(貼付け_2027実績,4,9,1,199),{"横浜*","川崎*"}))</f>
        <v>0</v>
      </c>
      <c r="T260" s="828">
        <f t="shared" ca="1" si="477"/>
        <v>0</v>
      </c>
      <c r="U260" s="828">
        <f t="shared" ca="1" si="477"/>
        <v>0</v>
      </c>
      <c r="V260" s="828">
        <f t="shared" ca="1" si="477"/>
        <v>0</v>
      </c>
      <c r="W260" s="828">
        <f t="shared" ca="1" si="477"/>
        <v>0</v>
      </c>
      <c r="X260" s="828">
        <f t="shared" ca="1" si="478"/>
        <v>0</v>
      </c>
      <c r="Y260" s="828">
        <f t="shared" ca="1" si="479"/>
        <v>0</v>
      </c>
      <c r="Z260" s="828">
        <f t="shared" ca="1" si="480"/>
        <v>0</v>
      </c>
      <c r="AA260" s="828">
        <f t="shared" ca="1" si="481"/>
        <v>0</v>
      </c>
      <c r="AB260" s="828" t="str">
        <f t="shared" ca="1" si="482"/>
        <v/>
      </c>
      <c r="AC260" s="828" t="str">
        <f t="shared" ca="1" si="483"/>
        <v/>
      </c>
      <c r="AD260" s="828" t="str">
        <f t="shared" ca="1" si="484"/>
        <v/>
      </c>
      <c r="AE260" s="828" t="str">
        <f t="shared" ca="1" si="485"/>
        <v/>
      </c>
      <c r="AF260" s="828" t="str">
        <f t="shared" ca="1" si="486"/>
        <v/>
      </c>
      <c r="AG260" s="828" t="str">
        <f t="shared" ca="1" si="487"/>
        <v/>
      </c>
      <c r="AH260" s="828" t="str">
        <f t="shared" ca="1" si="488"/>
        <v/>
      </c>
      <c r="AI260" s="828" t="str">
        <f t="shared" ca="1" si="489"/>
        <v/>
      </c>
      <c r="AJ260" s="828" t="str">
        <f t="shared" ca="1" si="490"/>
        <v/>
      </c>
      <c r="AK260" s="828" t="str">
        <f t="shared" ca="1" si="491"/>
        <v/>
      </c>
      <c r="AL260" s="828" t="str">
        <f t="shared" ca="1" si="492"/>
        <v/>
      </c>
      <c r="AM260" s="828" t="str">
        <f t="shared" ca="1" si="493"/>
        <v/>
      </c>
      <c r="AN260" s="828" t="str">
        <f t="shared" ca="1" si="494"/>
        <v/>
      </c>
      <c r="AO260" s="828" t="str">
        <f t="shared" ca="1" si="495"/>
        <v/>
      </c>
      <c r="AP260" s="828" t="str">
        <f t="shared" ca="1" si="496"/>
        <v/>
      </c>
      <c r="AQ260" s="828" t="str">
        <f t="shared" ca="1" si="497"/>
        <v/>
      </c>
      <c r="AR260" s="828" t="str">
        <f t="shared" ca="1" si="498"/>
        <v/>
      </c>
      <c r="AS260" s="828" t="str">
        <f t="shared" ca="1" si="499"/>
        <v/>
      </c>
      <c r="AT260" s="828" t="str">
        <f t="shared" ca="1" si="500"/>
        <v/>
      </c>
      <c r="AU260" s="828" t="str">
        <f t="shared" ca="1" si="501"/>
        <v/>
      </c>
      <c r="AV260" s="828" t="str">
        <f t="shared" ca="1" si="502"/>
        <v/>
      </c>
      <c r="AW260" s="828" t="str">
        <f t="shared" ca="1" si="503"/>
        <v/>
      </c>
      <c r="AX260" s="828" t="str">
        <f t="shared" ca="1" si="504"/>
        <v/>
      </c>
      <c r="AY260" s="828" t="str">
        <f t="shared" ca="1" si="505"/>
        <v/>
      </c>
      <c r="AZ260" s="828" t="str">
        <f t="shared" ca="1" si="506"/>
        <v/>
      </c>
      <c r="BA260" s="828" t="str">
        <f t="shared" ca="1" si="507"/>
        <v/>
      </c>
      <c r="BB260" s="828" t="str">
        <f t="shared" ca="1" si="508"/>
        <v/>
      </c>
      <c r="BC260" s="828" t="str">
        <f t="shared" ca="1" si="509"/>
        <v/>
      </c>
      <c r="BD260" s="828" t="str">
        <f t="shared" ca="1" si="510"/>
        <v/>
      </c>
      <c r="BE260" s="828" t="str">
        <f t="shared" ca="1" si="511"/>
        <v/>
      </c>
      <c r="BF260" s="828" t="str">
        <f t="shared" ca="1" si="512"/>
        <v/>
      </c>
      <c r="BG260" s="828" t="str">
        <f t="shared" ca="1" si="513"/>
        <v/>
      </c>
      <c r="BH260" s="828" t="str">
        <f t="shared" ca="1" si="514"/>
        <v/>
      </c>
      <c r="BI260" s="828" t="str">
        <f t="shared" ca="1" si="515"/>
        <v/>
      </c>
      <c r="BJ260" s="828" t="str">
        <f t="shared" ca="1" si="516"/>
        <v/>
      </c>
      <c r="BK260" s="828" t="str">
        <f t="shared" ca="1" si="517"/>
        <v/>
      </c>
      <c r="BL260" s="828" t="str">
        <f t="shared" ca="1" si="518"/>
        <v/>
      </c>
      <c r="BM260" s="828" t="str">
        <f t="shared" ca="1" si="519"/>
        <v/>
      </c>
      <c r="BN260" s="828" t="str">
        <f t="shared" ca="1" si="520"/>
        <v/>
      </c>
      <c r="BO260" s="828" t="str">
        <f t="shared" ca="1" si="521"/>
        <v/>
      </c>
    </row>
    <row r="261" spans="1:67" ht="20.100000000000001" customHeight="1">
      <c r="A261" s="823">
        <v>11</v>
      </c>
      <c r="B261" s="1870"/>
      <c r="C261" s="1872"/>
      <c r="D261" s="824" t="s">
        <v>4147</v>
      </c>
      <c r="E261" s="824"/>
      <c r="F261" s="825"/>
      <c r="G261" s="826" t="s">
        <v>4144</v>
      </c>
      <c r="H261" s="827">
        <f t="shared" ca="1" si="475"/>
        <v>33.299999999999997</v>
      </c>
      <c r="I261" s="827">
        <f t="shared" ca="1" si="475"/>
        <v>33.299999999999997</v>
      </c>
      <c r="J261" s="827">
        <f t="shared" ca="1" si="475"/>
        <v>33.299999999999997</v>
      </c>
      <c r="K261" s="827">
        <f t="shared" ca="1" si="475"/>
        <v>33.299999999999997</v>
      </c>
      <c r="L261" s="828">
        <f t="shared" ca="1" si="476"/>
        <v>0</v>
      </c>
      <c r="M261" s="828">
        <f t="shared" ca="1" si="476"/>
        <v>0</v>
      </c>
      <c r="N261" s="828">
        <f t="shared" ca="1" si="476"/>
        <v>0</v>
      </c>
      <c r="O261" s="828">
        <f t="shared" ca="1" si="476"/>
        <v>0</v>
      </c>
      <c r="P261" s="828">
        <f ca="1">SUM(SUMIFS(OFFSET(貼付け_2024実績,$A261,11,1,199),OFFSET(貼付け_2024実績,4,9,1,199),{"横浜*","川崎*"}))</f>
        <v>0</v>
      </c>
      <c r="Q261" s="828">
        <f ca="1">SUM(SUMIFS(OFFSET(貼付け_2025実績,$A261,11,1,199),OFFSET(貼付け_2025実績,4,9,1,199),{"横浜*","川崎*"}))</f>
        <v>0</v>
      </c>
      <c r="R261" s="828">
        <f ca="1">SUM(SUMIFS(OFFSET(貼付け_2026実績,$A261,11,1,199),OFFSET(貼付け_2026実績,4,9,1,199),{"横浜*","川崎*"}))</f>
        <v>0</v>
      </c>
      <c r="S261" s="828">
        <f ca="1">SUM(SUMIFS(OFFSET(貼付け_2027実績,$A261,11,1,199),OFFSET(貼付け_2027実績,4,9,1,199),{"横浜*","川崎*"}))</f>
        <v>0</v>
      </c>
      <c r="T261" s="828">
        <f t="shared" ca="1" si="477"/>
        <v>0</v>
      </c>
      <c r="U261" s="828">
        <f t="shared" ca="1" si="477"/>
        <v>0</v>
      </c>
      <c r="V261" s="828">
        <f t="shared" ca="1" si="477"/>
        <v>0</v>
      </c>
      <c r="W261" s="828">
        <f t="shared" ca="1" si="477"/>
        <v>0</v>
      </c>
      <c r="X261" s="828">
        <f t="shared" ca="1" si="478"/>
        <v>0</v>
      </c>
      <c r="Y261" s="828">
        <f t="shared" ca="1" si="479"/>
        <v>0</v>
      </c>
      <c r="Z261" s="828">
        <f t="shared" ca="1" si="480"/>
        <v>0</v>
      </c>
      <c r="AA261" s="828">
        <f t="shared" ca="1" si="481"/>
        <v>0</v>
      </c>
      <c r="AB261" s="828" t="str">
        <f t="shared" ca="1" si="482"/>
        <v/>
      </c>
      <c r="AC261" s="828" t="str">
        <f t="shared" ca="1" si="483"/>
        <v/>
      </c>
      <c r="AD261" s="828" t="str">
        <f t="shared" ca="1" si="484"/>
        <v/>
      </c>
      <c r="AE261" s="828" t="str">
        <f t="shared" ca="1" si="485"/>
        <v/>
      </c>
      <c r="AF261" s="828" t="str">
        <f t="shared" ca="1" si="486"/>
        <v/>
      </c>
      <c r="AG261" s="828" t="str">
        <f t="shared" ca="1" si="487"/>
        <v/>
      </c>
      <c r="AH261" s="828" t="str">
        <f t="shared" ca="1" si="488"/>
        <v/>
      </c>
      <c r="AI261" s="828" t="str">
        <f t="shared" ca="1" si="489"/>
        <v/>
      </c>
      <c r="AJ261" s="828" t="str">
        <f t="shared" ca="1" si="490"/>
        <v/>
      </c>
      <c r="AK261" s="828" t="str">
        <f t="shared" ca="1" si="491"/>
        <v/>
      </c>
      <c r="AL261" s="828" t="str">
        <f t="shared" ca="1" si="492"/>
        <v/>
      </c>
      <c r="AM261" s="828" t="str">
        <f t="shared" ca="1" si="493"/>
        <v/>
      </c>
      <c r="AN261" s="828" t="str">
        <f t="shared" ca="1" si="494"/>
        <v/>
      </c>
      <c r="AO261" s="828" t="str">
        <f t="shared" ca="1" si="495"/>
        <v/>
      </c>
      <c r="AP261" s="828" t="str">
        <f t="shared" ca="1" si="496"/>
        <v/>
      </c>
      <c r="AQ261" s="828" t="str">
        <f t="shared" ca="1" si="497"/>
        <v/>
      </c>
      <c r="AR261" s="828" t="str">
        <f t="shared" ca="1" si="498"/>
        <v/>
      </c>
      <c r="AS261" s="828" t="str">
        <f t="shared" ca="1" si="499"/>
        <v/>
      </c>
      <c r="AT261" s="828" t="str">
        <f t="shared" ca="1" si="500"/>
        <v/>
      </c>
      <c r="AU261" s="828" t="str">
        <f t="shared" ca="1" si="501"/>
        <v/>
      </c>
      <c r="AV261" s="828" t="str">
        <f t="shared" ca="1" si="502"/>
        <v/>
      </c>
      <c r="AW261" s="828" t="str">
        <f t="shared" ca="1" si="503"/>
        <v/>
      </c>
      <c r="AX261" s="828" t="str">
        <f t="shared" ca="1" si="504"/>
        <v/>
      </c>
      <c r="AY261" s="828" t="str">
        <f t="shared" ca="1" si="505"/>
        <v/>
      </c>
      <c r="AZ261" s="828" t="str">
        <f t="shared" ca="1" si="506"/>
        <v/>
      </c>
      <c r="BA261" s="828" t="str">
        <f t="shared" ca="1" si="507"/>
        <v/>
      </c>
      <c r="BB261" s="828" t="str">
        <f t="shared" ca="1" si="508"/>
        <v/>
      </c>
      <c r="BC261" s="828" t="str">
        <f t="shared" ca="1" si="509"/>
        <v/>
      </c>
      <c r="BD261" s="828" t="str">
        <f t="shared" ca="1" si="510"/>
        <v/>
      </c>
      <c r="BE261" s="828" t="str">
        <f t="shared" ca="1" si="511"/>
        <v/>
      </c>
      <c r="BF261" s="828" t="str">
        <f t="shared" ca="1" si="512"/>
        <v/>
      </c>
      <c r="BG261" s="828" t="str">
        <f t="shared" ca="1" si="513"/>
        <v/>
      </c>
      <c r="BH261" s="828" t="str">
        <f t="shared" ca="1" si="514"/>
        <v/>
      </c>
      <c r="BI261" s="828" t="str">
        <f t="shared" ca="1" si="515"/>
        <v/>
      </c>
      <c r="BJ261" s="828" t="str">
        <f t="shared" ca="1" si="516"/>
        <v/>
      </c>
      <c r="BK261" s="828" t="str">
        <f t="shared" ca="1" si="517"/>
        <v/>
      </c>
      <c r="BL261" s="828" t="str">
        <f t="shared" ca="1" si="518"/>
        <v/>
      </c>
      <c r="BM261" s="828" t="str">
        <f t="shared" ca="1" si="519"/>
        <v/>
      </c>
      <c r="BN261" s="828" t="str">
        <f t="shared" ca="1" si="520"/>
        <v/>
      </c>
      <c r="BO261" s="828" t="str">
        <f t="shared" ca="1" si="521"/>
        <v/>
      </c>
    </row>
    <row r="262" spans="1:67" ht="20.100000000000001" customHeight="1">
      <c r="A262" s="823">
        <v>12</v>
      </c>
      <c r="B262" s="1870"/>
      <c r="C262" s="1872"/>
      <c r="D262" s="824" t="s">
        <v>4393</v>
      </c>
      <c r="E262" s="824"/>
      <c r="F262" s="825"/>
      <c r="G262" s="826" t="s">
        <v>4144</v>
      </c>
      <c r="H262" s="827">
        <f t="shared" ca="1" si="475"/>
        <v>36.299999999999997</v>
      </c>
      <c r="I262" s="827">
        <f t="shared" ca="1" si="475"/>
        <v>36.299999999999997</v>
      </c>
      <c r="J262" s="827">
        <f t="shared" ca="1" si="475"/>
        <v>36.299999999999997</v>
      </c>
      <c r="K262" s="827">
        <f t="shared" ca="1" si="475"/>
        <v>36.299999999999997</v>
      </c>
      <c r="L262" s="828">
        <f t="shared" ca="1" si="476"/>
        <v>0</v>
      </c>
      <c r="M262" s="828">
        <f t="shared" ca="1" si="476"/>
        <v>0</v>
      </c>
      <c r="N262" s="828">
        <f t="shared" ca="1" si="476"/>
        <v>0</v>
      </c>
      <c r="O262" s="828">
        <f t="shared" ca="1" si="476"/>
        <v>0</v>
      </c>
      <c r="P262" s="828">
        <f ca="1">SUM(SUMIFS(OFFSET(貼付け_2024実績,$A262,11,1,199),OFFSET(貼付け_2024実績,4,9,1,199),{"横浜*","川崎*"}))</f>
        <v>0</v>
      </c>
      <c r="Q262" s="828">
        <f ca="1">SUM(SUMIFS(OFFSET(貼付け_2025実績,$A262,11,1,199),OFFSET(貼付け_2025実績,4,9,1,199),{"横浜*","川崎*"}))</f>
        <v>0</v>
      </c>
      <c r="R262" s="828">
        <f ca="1">SUM(SUMIFS(OFFSET(貼付け_2026実績,$A262,11,1,199),OFFSET(貼付け_2026実績,4,9,1,199),{"横浜*","川崎*"}))</f>
        <v>0</v>
      </c>
      <c r="S262" s="828">
        <f ca="1">SUM(SUMIFS(OFFSET(貼付け_2027実績,$A262,11,1,199),OFFSET(貼付け_2027実績,4,9,1,199),{"横浜*","川崎*"}))</f>
        <v>0</v>
      </c>
      <c r="T262" s="828">
        <f t="shared" ca="1" si="477"/>
        <v>0</v>
      </c>
      <c r="U262" s="828">
        <f t="shared" ca="1" si="477"/>
        <v>0</v>
      </c>
      <c r="V262" s="828">
        <f t="shared" ca="1" si="477"/>
        <v>0</v>
      </c>
      <c r="W262" s="828">
        <f t="shared" ca="1" si="477"/>
        <v>0</v>
      </c>
      <c r="X262" s="828">
        <f t="shared" ca="1" si="478"/>
        <v>0</v>
      </c>
      <c r="Y262" s="828">
        <f t="shared" ca="1" si="479"/>
        <v>0</v>
      </c>
      <c r="Z262" s="828">
        <f t="shared" ca="1" si="480"/>
        <v>0</v>
      </c>
      <c r="AA262" s="828">
        <f t="shared" ca="1" si="481"/>
        <v>0</v>
      </c>
      <c r="AB262" s="828" t="str">
        <f t="shared" ca="1" si="482"/>
        <v/>
      </c>
      <c r="AC262" s="828" t="str">
        <f t="shared" ca="1" si="483"/>
        <v/>
      </c>
      <c r="AD262" s="828" t="str">
        <f t="shared" ca="1" si="484"/>
        <v/>
      </c>
      <c r="AE262" s="828" t="str">
        <f t="shared" ca="1" si="485"/>
        <v/>
      </c>
      <c r="AF262" s="828" t="str">
        <f t="shared" ca="1" si="486"/>
        <v/>
      </c>
      <c r="AG262" s="828" t="str">
        <f t="shared" ca="1" si="487"/>
        <v/>
      </c>
      <c r="AH262" s="828" t="str">
        <f t="shared" ca="1" si="488"/>
        <v/>
      </c>
      <c r="AI262" s="828" t="str">
        <f t="shared" ca="1" si="489"/>
        <v/>
      </c>
      <c r="AJ262" s="828" t="str">
        <f t="shared" ca="1" si="490"/>
        <v/>
      </c>
      <c r="AK262" s="828" t="str">
        <f t="shared" ca="1" si="491"/>
        <v/>
      </c>
      <c r="AL262" s="828" t="str">
        <f t="shared" ca="1" si="492"/>
        <v/>
      </c>
      <c r="AM262" s="828" t="str">
        <f t="shared" ca="1" si="493"/>
        <v/>
      </c>
      <c r="AN262" s="828" t="str">
        <f t="shared" ca="1" si="494"/>
        <v/>
      </c>
      <c r="AO262" s="828" t="str">
        <f t="shared" ca="1" si="495"/>
        <v/>
      </c>
      <c r="AP262" s="828" t="str">
        <f t="shared" ca="1" si="496"/>
        <v/>
      </c>
      <c r="AQ262" s="828" t="str">
        <f t="shared" ca="1" si="497"/>
        <v/>
      </c>
      <c r="AR262" s="828" t="str">
        <f t="shared" ca="1" si="498"/>
        <v/>
      </c>
      <c r="AS262" s="828" t="str">
        <f t="shared" ca="1" si="499"/>
        <v/>
      </c>
      <c r="AT262" s="828" t="str">
        <f t="shared" ca="1" si="500"/>
        <v/>
      </c>
      <c r="AU262" s="828" t="str">
        <f t="shared" ca="1" si="501"/>
        <v/>
      </c>
      <c r="AV262" s="828" t="str">
        <f t="shared" ca="1" si="502"/>
        <v/>
      </c>
      <c r="AW262" s="828" t="str">
        <f t="shared" ca="1" si="503"/>
        <v/>
      </c>
      <c r="AX262" s="828" t="str">
        <f t="shared" ca="1" si="504"/>
        <v/>
      </c>
      <c r="AY262" s="828" t="str">
        <f t="shared" ca="1" si="505"/>
        <v/>
      </c>
      <c r="AZ262" s="828" t="str">
        <f t="shared" ca="1" si="506"/>
        <v/>
      </c>
      <c r="BA262" s="828" t="str">
        <f t="shared" ca="1" si="507"/>
        <v/>
      </c>
      <c r="BB262" s="828" t="str">
        <f t="shared" ca="1" si="508"/>
        <v/>
      </c>
      <c r="BC262" s="828" t="str">
        <f t="shared" ca="1" si="509"/>
        <v/>
      </c>
      <c r="BD262" s="828" t="str">
        <f t="shared" ca="1" si="510"/>
        <v/>
      </c>
      <c r="BE262" s="828" t="str">
        <f t="shared" ca="1" si="511"/>
        <v/>
      </c>
      <c r="BF262" s="828" t="str">
        <f t="shared" ca="1" si="512"/>
        <v/>
      </c>
      <c r="BG262" s="828" t="str">
        <f t="shared" ca="1" si="513"/>
        <v/>
      </c>
      <c r="BH262" s="828" t="str">
        <f t="shared" ca="1" si="514"/>
        <v/>
      </c>
      <c r="BI262" s="828" t="str">
        <f t="shared" ca="1" si="515"/>
        <v/>
      </c>
      <c r="BJ262" s="828" t="str">
        <f t="shared" ca="1" si="516"/>
        <v/>
      </c>
      <c r="BK262" s="828" t="str">
        <f t="shared" ca="1" si="517"/>
        <v/>
      </c>
      <c r="BL262" s="828" t="str">
        <f t="shared" ca="1" si="518"/>
        <v/>
      </c>
      <c r="BM262" s="828" t="str">
        <f t="shared" ca="1" si="519"/>
        <v/>
      </c>
      <c r="BN262" s="828" t="str">
        <f t="shared" ca="1" si="520"/>
        <v/>
      </c>
      <c r="BO262" s="828" t="str">
        <f t="shared" ca="1" si="521"/>
        <v/>
      </c>
    </row>
    <row r="263" spans="1:67" ht="20.100000000000001" customHeight="1">
      <c r="A263" s="823">
        <v>13</v>
      </c>
      <c r="B263" s="1871"/>
      <c r="C263" s="1872"/>
      <c r="D263" s="824" t="s">
        <v>4149</v>
      </c>
      <c r="E263" s="824"/>
      <c r="F263" s="825"/>
      <c r="G263" s="826" t="s">
        <v>4144</v>
      </c>
      <c r="H263" s="827">
        <f t="shared" ca="1" si="475"/>
        <v>36.5</v>
      </c>
      <c r="I263" s="827">
        <f t="shared" ca="1" si="475"/>
        <v>36.5</v>
      </c>
      <c r="J263" s="827">
        <f t="shared" ca="1" si="475"/>
        <v>36.5</v>
      </c>
      <c r="K263" s="827">
        <f t="shared" ca="1" si="475"/>
        <v>36.5</v>
      </c>
      <c r="L263" s="828">
        <f t="shared" ca="1" si="476"/>
        <v>0</v>
      </c>
      <c r="M263" s="828">
        <f t="shared" ca="1" si="476"/>
        <v>0</v>
      </c>
      <c r="N263" s="828">
        <f t="shared" ca="1" si="476"/>
        <v>0</v>
      </c>
      <c r="O263" s="828">
        <f t="shared" ca="1" si="476"/>
        <v>0</v>
      </c>
      <c r="P263" s="828">
        <f ca="1">SUM(SUMIFS(OFFSET(貼付け_2024実績,$A263,11,1,199),OFFSET(貼付け_2024実績,4,9,1,199),{"横浜*","川崎*"}))</f>
        <v>0</v>
      </c>
      <c r="Q263" s="828">
        <f ca="1">SUM(SUMIFS(OFFSET(貼付け_2025実績,$A263,11,1,199),OFFSET(貼付け_2025実績,4,9,1,199),{"横浜*","川崎*"}))</f>
        <v>0</v>
      </c>
      <c r="R263" s="828">
        <f ca="1">SUM(SUMIFS(OFFSET(貼付け_2026実績,$A263,11,1,199),OFFSET(貼付け_2026実績,4,9,1,199),{"横浜*","川崎*"}))</f>
        <v>0</v>
      </c>
      <c r="S263" s="828">
        <f ca="1">SUM(SUMIFS(OFFSET(貼付け_2027実績,$A263,11,1,199),OFFSET(貼付け_2027実績,4,9,1,199),{"横浜*","川崎*"}))</f>
        <v>0</v>
      </c>
      <c r="T263" s="828">
        <f t="shared" ca="1" si="477"/>
        <v>0</v>
      </c>
      <c r="U263" s="828">
        <f t="shared" ca="1" si="477"/>
        <v>0</v>
      </c>
      <c r="V263" s="828">
        <f t="shared" ca="1" si="477"/>
        <v>0</v>
      </c>
      <c r="W263" s="828">
        <f t="shared" ca="1" si="477"/>
        <v>0</v>
      </c>
      <c r="X263" s="828">
        <f t="shared" ca="1" si="478"/>
        <v>0</v>
      </c>
      <c r="Y263" s="828">
        <f t="shared" ca="1" si="479"/>
        <v>0</v>
      </c>
      <c r="Z263" s="828">
        <f t="shared" ca="1" si="480"/>
        <v>0</v>
      </c>
      <c r="AA263" s="828">
        <f t="shared" ca="1" si="481"/>
        <v>0</v>
      </c>
      <c r="AB263" s="828" t="str">
        <f t="shared" ca="1" si="482"/>
        <v/>
      </c>
      <c r="AC263" s="828" t="str">
        <f t="shared" ca="1" si="483"/>
        <v/>
      </c>
      <c r="AD263" s="828" t="str">
        <f t="shared" ca="1" si="484"/>
        <v/>
      </c>
      <c r="AE263" s="828" t="str">
        <f t="shared" ca="1" si="485"/>
        <v/>
      </c>
      <c r="AF263" s="828" t="str">
        <f t="shared" ca="1" si="486"/>
        <v/>
      </c>
      <c r="AG263" s="828" t="str">
        <f t="shared" ca="1" si="487"/>
        <v/>
      </c>
      <c r="AH263" s="828" t="str">
        <f t="shared" ca="1" si="488"/>
        <v/>
      </c>
      <c r="AI263" s="828" t="str">
        <f t="shared" ca="1" si="489"/>
        <v/>
      </c>
      <c r="AJ263" s="828" t="str">
        <f t="shared" ca="1" si="490"/>
        <v/>
      </c>
      <c r="AK263" s="828" t="str">
        <f t="shared" ca="1" si="491"/>
        <v/>
      </c>
      <c r="AL263" s="828" t="str">
        <f t="shared" ca="1" si="492"/>
        <v/>
      </c>
      <c r="AM263" s="828" t="str">
        <f t="shared" ca="1" si="493"/>
        <v/>
      </c>
      <c r="AN263" s="828" t="str">
        <f t="shared" ca="1" si="494"/>
        <v/>
      </c>
      <c r="AO263" s="828" t="str">
        <f t="shared" ca="1" si="495"/>
        <v/>
      </c>
      <c r="AP263" s="828" t="str">
        <f t="shared" ca="1" si="496"/>
        <v/>
      </c>
      <c r="AQ263" s="828" t="str">
        <f t="shared" ca="1" si="497"/>
        <v/>
      </c>
      <c r="AR263" s="828" t="str">
        <f t="shared" ca="1" si="498"/>
        <v/>
      </c>
      <c r="AS263" s="828" t="str">
        <f t="shared" ca="1" si="499"/>
        <v/>
      </c>
      <c r="AT263" s="828" t="str">
        <f t="shared" ca="1" si="500"/>
        <v/>
      </c>
      <c r="AU263" s="828" t="str">
        <f t="shared" ca="1" si="501"/>
        <v/>
      </c>
      <c r="AV263" s="828" t="str">
        <f t="shared" ca="1" si="502"/>
        <v/>
      </c>
      <c r="AW263" s="828" t="str">
        <f t="shared" ca="1" si="503"/>
        <v/>
      </c>
      <c r="AX263" s="828" t="str">
        <f t="shared" ca="1" si="504"/>
        <v/>
      </c>
      <c r="AY263" s="828" t="str">
        <f t="shared" ca="1" si="505"/>
        <v/>
      </c>
      <c r="AZ263" s="828" t="str">
        <f t="shared" ca="1" si="506"/>
        <v/>
      </c>
      <c r="BA263" s="828" t="str">
        <f t="shared" ca="1" si="507"/>
        <v/>
      </c>
      <c r="BB263" s="828" t="str">
        <f t="shared" ca="1" si="508"/>
        <v/>
      </c>
      <c r="BC263" s="828" t="str">
        <f t="shared" ca="1" si="509"/>
        <v/>
      </c>
      <c r="BD263" s="828" t="str">
        <f t="shared" ca="1" si="510"/>
        <v/>
      </c>
      <c r="BE263" s="828" t="str">
        <f t="shared" ca="1" si="511"/>
        <v/>
      </c>
      <c r="BF263" s="828" t="str">
        <f t="shared" ca="1" si="512"/>
        <v/>
      </c>
      <c r="BG263" s="828" t="str">
        <f t="shared" ca="1" si="513"/>
        <v/>
      </c>
      <c r="BH263" s="828" t="str">
        <f t="shared" ca="1" si="514"/>
        <v/>
      </c>
      <c r="BI263" s="828" t="str">
        <f t="shared" ca="1" si="515"/>
        <v/>
      </c>
      <c r="BJ263" s="828" t="str">
        <f t="shared" ca="1" si="516"/>
        <v/>
      </c>
      <c r="BK263" s="828" t="str">
        <f t="shared" ca="1" si="517"/>
        <v/>
      </c>
      <c r="BL263" s="828" t="str">
        <f t="shared" ca="1" si="518"/>
        <v/>
      </c>
      <c r="BM263" s="828" t="str">
        <f t="shared" ca="1" si="519"/>
        <v/>
      </c>
      <c r="BN263" s="828" t="str">
        <f t="shared" ca="1" si="520"/>
        <v/>
      </c>
      <c r="BO263" s="828" t="str">
        <f t="shared" ca="1" si="521"/>
        <v/>
      </c>
    </row>
    <row r="264" spans="1:67" ht="20.100000000000001" customHeight="1">
      <c r="A264" s="823">
        <v>14</v>
      </c>
      <c r="B264" s="1871"/>
      <c r="C264" s="1872"/>
      <c r="D264" s="824" t="s">
        <v>4150</v>
      </c>
      <c r="E264" s="824"/>
      <c r="F264" s="825"/>
      <c r="G264" s="826" t="s">
        <v>4144</v>
      </c>
      <c r="H264" s="827">
        <f t="shared" ca="1" si="475"/>
        <v>38</v>
      </c>
      <c r="I264" s="827">
        <f t="shared" ca="1" si="475"/>
        <v>38</v>
      </c>
      <c r="J264" s="827">
        <f t="shared" ca="1" si="475"/>
        <v>38</v>
      </c>
      <c r="K264" s="827">
        <f t="shared" ca="1" si="475"/>
        <v>38</v>
      </c>
      <c r="L264" s="828">
        <f t="shared" ca="1" si="476"/>
        <v>0</v>
      </c>
      <c r="M264" s="828">
        <f t="shared" ca="1" si="476"/>
        <v>0</v>
      </c>
      <c r="N264" s="828">
        <f t="shared" ca="1" si="476"/>
        <v>0</v>
      </c>
      <c r="O264" s="828">
        <f t="shared" ca="1" si="476"/>
        <v>0</v>
      </c>
      <c r="P264" s="828">
        <f ca="1">SUM(SUMIFS(OFFSET(貼付け_2024実績,$A264,11,1,199),OFFSET(貼付け_2024実績,4,9,1,199),{"横浜*","川崎*"}))</f>
        <v>0</v>
      </c>
      <c r="Q264" s="828">
        <f ca="1">SUM(SUMIFS(OFFSET(貼付け_2025実績,$A264,11,1,199),OFFSET(貼付け_2025実績,4,9,1,199),{"横浜*","川崎*"}))</f>
        <v>0</v>
      </c>
      <c r="R264" s="828">
        <f ca="1">SUM(SUMIFS(OFFSET(貼付け_2026実績,$A264,11,1,199),OFFSET(貼付け_2026実績,4,9,1,199),{"横浜*","川崎*"}))</f>
        <v>0</v>
      </c>
      <c r="S264" s="828">
        <f ca="1">SUM(SUMIFS(OFFSET(貼付け_2027実績,$A264,11,1,199),OFFSET(貼付け_2027実績,4,9,1,199),{"横浜*","川崎*"}))</f>
        <v>0</v>
      </c>
      <c r="T264" s="828">
        <f t="shared" ca="1" si="477"/>
        <v>0</v>
      </c>
      <c r="U264" s="828">
        <f t="shared" ca="1" si="477"/>
        <v>0</v>
      </c>
      <c r="V264" s="828">
        <f t="shared" ca="1" si="477"/>
        <v>0</v>
      </c>
      <c r="W264" s="828">
        <f t="shared" ca="1" si="477"/>
        <v>0</v>
      </c>
      <c r="X264" s="828">
        <f t="shared" ca="1" si="478"/>
        <v>0</v>
      </c>
      <c r="Y264" s="828">
        <f t="shared" ca="1" si="479"/>
        <v>0</v>
      </c>
      <c r="Z264" s="828">
        <f t="shared" ca="1" si="480"/>
        <v>0</v>
      </c>
      <c r="AA264" s="828">
        <f t="shared" ca="1" si="481"/>
        <v>0</v>
      </c>
      <c r="AB264" s="828" t="str">
        <f t="shared" ca="1" si="482"/>
        <v/>
      </c>
      <c r="AC264" s="828" t="str">
        <f t="shared" ca="1" si="483"/>
        <v/>
      </c>
      <c r="AD264" s="828" t="str">
        <f t="shared" ca="1" si="484"/>
        <v/>
      </c>
      <c r="AE264" s="828" t="str">
        <f t="shared" ca="1" si="485"/>
        <v/>
      </c>
      <c r="AF264" s="828" t="str">
        <f t="shared" ca="1" si="486"/>
        <v/>
      </c>
      <c r="AG264" s="828" t="str">
        <f t="shared" ca="1" si="487"/>
        <v/>
      </c>
      <c r="AH264" s="828" t="str">
        <f t="shared" ca="1" si="488"/>
        <v/>
      </c>
      <c r="AI264" s="828" t="str">
        <f t="shared" ca="1" si="489"/>
        <v/>
      </c>
      <c r="AJ264" s="828" t="str">
        <f t="shared" ca="1" si="490"/>
        <v/>
      </c>
      <c r="AK264" s="828" t="str">
        <f t="shared" ca="1" si="491"/>
        <v/>
      </c>
      <c r="AL264" s="828" t="str">
        <f t="shared" ca="1" si="492"/>
        <v/>
      </c>
      <c r="AM264" s="828" t="str">
        <f t="shared" ca="1" si="493"/>
        <v/>
      </c>
      <c r="AN264" s="828" t="str">
        <f t="shared" ca="1" si="494"/>
        <v/>
      </c>
      <c r="AO264" s="828" t="str">
        <f t="shared" ca="1" si="495"/>
        <v/>
      </c>
      <c r="AP264" s="828" t="str">
        <f t="shared" ca="1" si="496"/>
        <v/>
      </c>
      <c r="AQ264" s="828" t="str">
        <f t="shared" ca="1" si="497"/>
        <v/>
      </c>
      <c r="AR264" s="828" t="str">
        <f t="shared" ca="1" si="498"/>
        <v/>
      </c>
      <c r="AS264" s="828" t="str">
        <f t="shared" ca="1" si="499"/>
        <v/>
      </c>
      <c r="AT264" s="828" t="str">
        <f t="shared" ca="1" si="500"/>
        <v/>
      </c>
      <c r="AU264" s="828" t="str">
        <f t="shared" ca="1" si="501"/>
        <v/>
      </c>
      <c r="AV264" s="828" t="str">
        <f t="shared" ca="1" si="502"/>
        <v/>
      </c>
      <c r="AW264" s="828" t="str">
        <f t="shared" ca="1" si="503"/>
        <v/>
      </c>
      <c r="AX264" s="828" t="str">
        <f t="shared" ca="1" si="504"/>
        <v/>
      </c>
      <c r="AY264" s="828" t="str">
        <f t="shared" ca="1" si="505"/>
        <v/>
      </c>
      <c r="AZ264" s="828" t="str">
        <f t="shared" ca="1" si="506"/>
        <v/>
      </c>
      <c r="BA264" s="828" t="str">
        <f t="shared" ca="1" si="507"/>
        <v/>
      </c>
      <c r="BB264" s="828" t="str">
        <f t="shared" ca="1" si="508"/>
        <v/>
      </c>
      <c r="BC264" s="828" t="str">
        <f t="shared" ca="1" si="509"/>
        <v/>
      </c>
      <c r="BD264" s="828" t="str">
        <f t="shared" ca="1" si="510"/>
        <v/>
      </c>
      <c r="BE264" s="828" t="str">
        <f t="shared" ca="1" si="511"/>
        <v/>
      </c>
      <c r="BF264" s="828" t="str">
        <f t="shared" ca="1" si="512"/>
        <v/>
      </c>
      <c r="BG264" s="828" t="str">
        <f t="shared" ca="1" si="513"/>
        <v/>
      </c>
      <c r="BH264" s="828" t="str">
        <f t="shared" ca="1" si="514"/>
        <v/>
      </c>
      <c r="BI264" s="828" t="str">
        <f t="shared" ca="1" si="515"/>
        <v/>
      </c>
      <c r="BJ264" s="828" t="str">
        <f t="shared" ca="1" si="516"/>
        <v/>
      </c>
      <c r="BK264" s="828" t="str">
        <f t="shared" ca="1" si="517"/>
        <v/>
      </c>
      <c r="BL264" s="828" t="str">
        <f t="shared" ca="1" si="518"/>
        <v/>
      </c>
      <c r="BM264" s="828" t="str">
        <f t="shared" ca="1" si="519"/>
        <v/>
      </c>
      <c r="BN264" s="828" t="str">
        <f t="shared" ca="1" si="520"/>
        <v/>
      </c>
      <c r="BO264" s="828" t="str">
        <f t="shared" ca="1" si="521"/>
        <v/>
      </c>
    </row>
    <row r="265" spans="1:67" ht="20.100000000000001" customHeight="1">
      <c r="A265" s="823">
        <v>15</v>
      </c>
      <c r="B265" s="1870"/>
      <c r="C265" s="1872"/>
      <c r="D265" s="824" t="s">
        <v>4151</v>
      </c>
      <c r="E265" s="824"/>
      <c r="F265" s="825"/>
      <c r="G265" s="826" t="s">
        <v>4144</v>
      </c>
      <c r="H265" s="827">
        <f t="shared" ca="1" si="475"/>
        <v>38.9</v>
      </c>
      <c r="I265" s="827">
        <f t="shared" ca="1" si="475"/>
        <v>38.9</v>
      </c>
      <c r="J265" s="827">
        <f t="shared" ca="1" si="475"/>
        <v>38.9</v>
      </c>
      <c r="K265" s="827">
        <f t="shared" ca="1" si="475"/>
        <v>38.9</v>
      </c>
      <c r="L265" s="828">
        <f t="shared" ca="1" si="476"/>
        <v>0</v>
      </c>
      <c r="M265" s="828">
        <f t="shared" ca="1" si="476"/>
        <v>0</v>
      </c>
      <c r="N265" s="828">
        <f t="shared" ca="1" si="476"/>
        <v>0</v>
      </c>
      <c r="O265" s="828">
        <f t="shared" ca="1" si="476"/>
        <v>0</v>
      </c>
      <c r="P265" s="828">
        <f ca="1">SUM(SUMIFS(OFFSET(貼付け_2024実績,$A265,11,1,199),OFFSET(貼付け_2024実績,4,9,1,199),{"横浜*","川崎*"}))</f>
        <v>0</v>
      </c>
      <c r="Q265" s="828">
        <f ca="1">SUM(SUMIFS(OFFSET(貼付け_2025実績,$A265,11,1,199),OFFSET(貼付け_2025実績,4,9,1,199),{"横浜*","川崎*"}))</f>
        <v>0</v>
      </c>
      <c r="R265" s="828">
        <f ca="1">SUM(SUMIFS(OFFSET(貼付け_2026実績,$A265,11,1,199),OFFSET(貼付け_2026実績,4,9,1,199),{"横浜*","川崎*"}))</f>
        <v>0</v>
      </c>
      <c r="S265" s="828">
        <f ca="1">SUM(SUMIFS(OFFSET(貼付け_2027実績,$A265,11,1,199),OFFSET(貼付け_2027実績,4,9,1,199),{"横浜*","川崎*"}))</f>
        <v>0</v>
      </c>
      <c r="T265" s="828">
        <f t="shared" ca="1" si="477"/>
        <v>0</v>
      </c>
      <c r="U265" s="828">
        <f t="shared" ca="1" si="477"/>
        <v>0</v>
      </c>
      <c r="V265" s="828">
        <f t="shared" ca="1" si="477"/>
        <v>0</v>
      </c>
      <c r="W265" s="828">
        <f t="shared" ca="1" si="477"/>
        <v>0</v>
      </c>
      <c r="X265" s="828">
        <f t="shared" ca="1" si="478"/>
        <v>0</v>
      </c>
      <c r="Y265" s="828">
        <f t="shared" ca="1" si="479"/>
        <v>0</v>
      </c>
      <c r="Z265" s="828">
        <f t="shared" ca="1" si="480"/>
        <v>0</v>
      </c>
      <c r="AA265" s="828">
        <f t="shared" ca="1" si="481"/>
        <v>0</v>
      </c>
      <c r="AB265" s="828" t="str">
        <f t="shared" ca="1" si="482"/>
        <v/>
      </c>
      <c r="AC265" s="828" t="str">
        <f t="shared" ca="1" si="483"/>
        <v/>
      </c>
      <c r="AD265" s="828" t="str">
        <f t="shared" ca="1" si="484"/>
        <v/>
      </c>
      <c r="AE265" s="828" t="str">
        <f t="shared" ca="1" si="485"/>
        <v/>
      </c>
      <c r="AF265" s="828" t="str">
        <f t="shared" ca="1" si="486"/>
        <v/>
      </c>
      <c r="AG265" s="828" t="str">
        <f t="shared" ca="1" si="487"/>
        <v/>
      </c>
      <c r="AH265" s="828" t="str">
        <f t="shared" ca="1" si="488"/>
        <v/>
      </c>
      <c r="AI265" s="828" t="str">
        <f t="shared" ca="1" si="489"/>
        <v/>
      </c>
      <c r="AJ265" s="828" t="str">
        <f t="shared" ca="1" si="490"/>
        <v/>
      </c>
      <c r="AK265" s="828" t="str">
        <f t="shared" ca="1" si="491"/>
        <v/>
      </c>
      <c r="AL265" s="828" t="str">
        <f t="shared" ca="1" si="492"/>
        <v/>
      </c>
      <c r="AM265" s="828" t="str">
        <f t="shared" ca="1" si="493"/>
        <v/>
      </c>
      <c r="AN265" s="828" t="str">
        <f t="shared" ca="1" si="494"/>
        <v/>
      </c>
      <c r="AO265" s="828" t="str">
        <f t="shared" ca="1" si="495"/>
        <v/>
      </c>
      <c r="AP265" s="828" t="str">
        <f t="shared" ca="1" si="496"/>
        <v/>
      </c>
      <c r="AQ265" s="828" t="str">
        <f t="shared" ca="1" si="497"/>
        <v/>
      </c>
      <c r="AR265" s="828" t="str">
        <f t="shared" ca="1" si="498"/>
        <v/>
      </c>
      <c r="AS265" s="828" t="str">
        <f t="shared" ca="1" si="499"/>
        <v/>
      </c>
      <c r="AT265" s="828" t="str">
        <f t="shared" ca="1" si="500"/>
        <v/>
      </c>
      <c r="AU265" s="828" t="str">
        <f t="shared" ca="1" si="501"/>
        <v/>
      </c>
      <c r="AV265" s="828" t="str">
        <f t="shared" ca="1" si="502"/>
        <v/>
      </c>
      <c r="AW265" s="828" t="str">
        <f t="shared" ca="1" si="503"/>
        <v/>
      </c>
      <c r="AX265" s="828" t="str">
        <f t="shared" ca="1" si="504"/>
        <v/>
      </c>
      <c r="AY265" s="828" t="str">
        <f t="shared" ca="1" si="505"/>
        <v/>
      </c>
      <c r="AZ265" s="828" t="str">
        <f t="shared" ca="1" si="506"/>
        <v/>
      </c>
      <c r="BA265" s="828" t="str">
        <f t="shared" ca="1" si="507"/>
        <v/>
      </c>
      <c r="BB265" s="828" t="str">
        <f t="shared" ca="1" si="508"/>
        <v/>
      </c>
      <c r="BC265" s="828" t="str">
        <f t="shared" ca="1" si="509"/>
        <v/>
      </c>
      <c r="BD265" s="828" t="str">
        <f t="shared" ca="1" si="510"/>
        <v/>
      </c>
      <c r="BE265" s="828" t="str">
        <f t="shared" ca="1" si="511"/>
        <v/>
      </c>
      <c r="BF265" s="828" t="str">
        <f t="shared" ca="1" si="512"/>
        <v/>
      </c>
      <c r="BG265" s="828" t="str">
        <f t="shared" ca="1" si="513"/>
        <v/>
      </c>
      <c r="BH265" s="828" t="str">
        <f t="shared" ca="1" si="514"/>
        <v/>
      </c>
      <c r="BI265" s="828" t="str">
        <f t="shared" ca="1" si="515"/>
        <v/>
      </c>
      <c r="BJ265" s="828" t="str">
        <f t="shared" ca="1" si="516"/>
        <v/>
      </c>
      <c r="BK265" s="828" t="str">
        <f t="shared" ca="1" si="517"/>
        <v/>
      </c>
      <c r="BL265" s="828" t="str">
        <f t="shared" ca="1" si="518"/>
        <v/>
      </c>
      <c r="BM265" s="828" t="str">
        <f t="shared" ca="1" si="519"/>
        <v/>
      </c>
      <c r="BN265" s="828" t="str">
        <f t="shared" ca="1" si="520"/>
        <v/>
      </c>
      <c r="BO265" s="828" t="str">
        <f t="shared" ca="1" si="521"/>
        <v/>
      </c>
    </row>
    <row r="266" spans="1:67" ht="20.100000000000001" customHeight="1">
      <c r="A266" s="823">
        <v>16</v>
      </c>
      <c r="B266" s="1870"/>
      <c r="C266" s="1872"/>
      <c r="D266" s="824" t="s">
        <v>4152</v>
      </c>
      <c r="E266" s="818"/>
      <c r="F266" s="825"/>
      <c r="G266" s="826" t="s">
        <v>4144</v>
      </c>
      <c r="H266" s="827">
        <f t="shared" ca="1" si="475"/>
        <v>41.8</v>
      </c>
      <c r="I266" s="827">
        <f t="shared" ca="1" si="475"/>
        <v>41.8</v>
      </c>
      <c r="J266" s="827">
        <f t="shared" ca="1" si="475"/>
        <v>41.8</v>
      </c>
      <c r="K266" s="827">
        <f t="shared" ca="1" si="475"/>
        <v>41.8</v>
      </c>
      <c r="L266" s="828">
        <f t="shared" ca="1" si="476"/>
        <v>0</v>
      </c>
      <c r="M266" s="828">
        <f t="shared" ca="1" si="476"/>
        <v>0</v>
      </c>
      <c r="N266" s="828">
        <f t="shared" ca="1" si="476"/>
        <v>0</v>
      </c>
      <c r="O266" s="828">
        <f t="shared" ca="1" si="476"/>
        <v>0</v>
      </c>
      <c r="P266" s="828">
        <f ca="1">SUM(SUMIFS(OFFSET(貼付け_2024実績,$A266,11,1,199),OFFSET(貼付け_2024実績,4,9,1,199),{"横浜*","川崎*"}))</f>
        <v>0</v>
      </c>
      <c r="Q266" s="828">
        <f ca="1">SUM(SUMIFS(OFFSET(貼付け_2025実績,$A266,11,1,199),OFFSET(貼付け_2025実績,4,9,1,199),{"横浜*","川崎*"}))</f>
        <v>0</v>
      </c>
      <c r="R266" s="828">
        <f ca="1">SUM(SUMIFS(OFFSET(貼付け_2026実績,$A266,11,1,199),OFFSET(貼付け_2026実績,4,9,1,199),{"横浜*","川崎*"}))</f>
        <v>0</v>
      </c>
      <c r="S266" s="828">
        <f ca="1">SUM(SUMIFS(OFFSET(貼付け_2027実績,$A266,11,1,199),OFFSET(貼付け_2027実績,4,9,1,199),{"横浜*","川崎*"}))</f>
        <v>0</v>
      </c>
      <c r="T266" s="828">
        <f t="shared" ca="1" si="477"/>
        <v>0</v>
      </c>
      <c r="U266" s="828">
        <f t="shared" ca="1" si="477"/>
        <v>0</v>
      </c>
      <c r="V266" s="828">
        <f t="shared" ca="1" si="477"/>
        <v>0</v>
      </c>
      <c r="W266" s="828">
        <f t="shared" ca="1" si="477"/>
        <v>0</v>
      </c>
      <c r="X266" s="828">
        <f t="shared" ca="1" si="478"/>
        <v>0</v>
      </c>
      <c r="Y266" s="828">
        <f t="shared" ca="1" si="479"/>
        <v>0</v>
      </c>
      <c r="Z266" s="828">
        <f t="shared" ca="1" si="480"/>
        <v>0</v>
      </c>
      <c r="AA266" s="828">
        <f t="shared" ca="1" si="481"/>
        <v>0</v>
      </c>
      <c r="AB266" s="828" t="str">
        <f t="shared" ca="1" si="482"/>
        <v/>
      </c>
      <c r="AC266" s="828" t="str">
        <f t="shared" ca="1" si="483"/>
        <v/>
      </c>
      <c r="AD266" s="828" t="str">
        <f t="shared" ca="1" si="484"/>
        <v/>
      </c>
      <c r="AE266" s="828" t="str">
        <f t="shared" ca="1" si="485"/>
        <v/>
      </c>
      <c r="AF266" s="828" t="str">
        <f t="shared" ca="1" si="486"/>
        <v/>
      </c>
      <c r="AG266" s="828" t="str">
        <f t="shared" ca="1" si="487"/>
        <v/>
      </c>
      <c r="AH266" s="828" t="str">
        <f t="shared" ca="1" si="488"/>
        <v/>
      </c>
      <c r="AI266" s="828" t="str">
        <f t="shared" ca="1" si="489"/>
        <v/>
      </c>
      <c r="AJ266" s="828" t="str">
        <f t="shared" ca="1" si="490"/>
        <v/>
      </c>
      <c r="AK266" s="828" t="str">
        <f t="shared" ca="1" si="491"/>
        <v/>
      </c>
      <c r="AL266" s="828" t="str">
        <f t="shared" ca="1" si="492"/>
        <v/>
      </c>
      <c r="AM266" s="828" t="str">
        <f t="shared" ca="1" si="493"/>
        <v/>
      </c>
      <c r="AN266" s="828" t="str">
        <f t="shared" ca="1" si="494"/>
        <v/>
      </c>
      <c r="AO266" s="828" t="str">
        <f t="shared" ca="1" si="495"/>
        <v/>
      </c>
      <c r="AP266" s="828" t="str">
        <f t="shared" ca="1" si="496"/>
        <v/>
      </c>
      <c r="AQ266" s="828" t="str">
        <f t="shared" ca="1" si="497"/>
        <v/>
      </c>
      <c r="AR266" s="828" t="str">
        <f t="shared" ca="1" si="498"/>
        <v/>
      </c>
      <c r="AS266" s="828" t="str">
        <f t="shared" ca="1" si="499"/>
        <v/>
      </c>
      <c r="AT266" s="828" t="str">
        <f t="shared" ca="1" si="500"/>
        <v/>
      </c>
      <c r="AU266" s="828" t="str">
        <f t="shared" ca="1" si="501"/>
        <v/>
      </c>
      <c r="AV266" s="828" t="str">
        <f t="shared" ca="1" si="502"/>
        <v/>
      </c>
      <c r="AW266" s="828" t="str">
        <f t="shared" ca="1" si="503"/>
        <v/>
      </c>
      <c r="AX266" s="828" t="str">
        <f t="shared" ca="1" si="504"/>
        <v/>
      </c>
      <c r="AY266" s="828" t="str">
        <f t="shared" ca="1" si="505"/>
        <v/>
      </c>
      <c r="AZ266" s="828" t="str">
        <f t="shared" ca="1" si="506"/>
        <v/>
      </c>
      <c r="BA266" s="828" t="str">
        <f t="shared" ca="1" si="507"/>
        <v/>
      </c>
      <c r="BB266" s="828" t="str">
        <f t="shared" ca="1" si="508"/>
        <v/>
      </c>
      <c r="BC266" s="828" t="str">
        <f t="shared" ca="1" si="509"/>
        <v/>
      </c>
      <c r="BD266" s="828" t="str">
        <f t="shared" ca="1" si="510"/>
        <v/>
      </c>
      <c r="BE266" s="828" t="str">
        <f t="shared" ca="1" si="511"/>
        <v/>
      </c>
      <c r="BF266" s="828" t="str">
        <f t="shared" ca="1" si="512"/>
        <v/>
      </c>
      <c r="BG266" s="828" t="str">
        <f t="shared" ca="1" si="513"/>
        <v/>
      </c>
      <c r="BH266" s="828" t="str">
        <f t="shared" ca="1" si="514"/>
        <v/>
      </c>
      <c r="BI266" s="828" t="str">
        <f t="shared" ca="1" si="515"/>
        <v/>
      </c>
      <c r="BJ266" s="828" t="str">
        <f t="shared" ca="1" si="516"/>
        <v/>
      </c>
      <c r="BK266" s="828" t="str">
        <f t="shared" ca="1" si="517"/>
        <v/>
      </c>
      <c r="BL266" s="828" t="str">
        <f t="shared" ca="1" si="518"/>
        <v/>
      </c>
      <c r="BM266" s="828" t="str">
        <f t="shared" ca="1" si="519"/>
        <v/>
      </c>
      <c r="BN266" s="828" t="str">
        <f t="shared" ca="1" si="520"/>
        <v/>
      </c>
      <c r="BO266" s="828" t="str">
        <f t="shared" ca="1" si="521"/>
        <v/>
      </c>
    </row>
    <row r="267" spans="1:67" ht="20.100000000000001" customHeight="1">
      <c r="A267" s="823">
        <v>17</v>
      </c>
      <c r="B267" s="1870"/>
      <c r="C267" s="1872"/>
      <c r="D267" s="824" t="s">
        <v>4153</v>
      </c>
      <c r="E267" s="824"/>
      <c r="F267" s="825"/>
      <c r="G267" s="826" t="s">
        <v>3777</v>
      </c>
      <c r="H267" s="827">
        <f t="shared" ca="1" si="475"/>
        <v>40</v>
      </c>
      <c r="I267" s="827">
        <f t="shared" ca="1" si="475"/>
        <v>40</v>
      </c>
      <c r="J267" s="827">
        <f t="shared" ca="1" si="475"/>
        <v>40</v>
      </c>
      <c r="K267" s="827">
        <f t="shared" ca="1" si="475"/>
        <v>40</v>
      </c>
      <c r="L267" s="828">
        <f t="shared" ca="1" si="476"/>
        <v>0</v>
      </c>
      <c r="M267" s="828">
        <f t="shared" ca="1" si="476"/>
        <v>0</v>
      </c>
      <c r="N267" s="828">
        <f t="shared" ca="1" si="476"/>
        <v>0</v>
      </c>
      <c r="O267" s="828">
        <f t="shared" ca="1" si="476"/>
        <v>0</v>
      </c>
      <c r="P267" s="828">
        <f ca="1">SUM(SUMIFS(OFFSET(貼付け_2024実績,$A267,11,1,199),OFFSET(貼付け_2024実績,4,9,1,199),{"横浜*","川崎*"}))</f>
        <v>0</v>
      </c>
      <c r="Q267" s="828">
        <f ca="1">SUM(SUMIFS(OFFSET(貼付け_2025実績,$A267,11,1,199),OFFSET(貼付け_2025実績,4,9,1,199),{"横浜*","川崎*"}))</f>
        <v>0</v>
      </c>
      <c r="R267" s="828">
        <f ca="1">SUM(SUMIFS(OFFSET(貼付け_2026実績,$A267,11,1,199),OFFSET(貼付け_2026実績,4,9,1,199),{"横浜*","川崎*"}))</f>
        <v>0</v>
      </c>
      <c r="S267" s="828">
        <f ca="1">SUM(SUMIFS(OFFSET(貼付け_2027実績,$A267,11,1,199),OFFSET(貼付け_2027実績,4,9,1,199),{"横浜*","川崎*"}))</f>
        <v>0</v>
      </c>
      <c r="T267" s="828">
        <f t="shared" ca="1" si="477"/>
        <v>0</v>
      </c>
      <c r="U267" s="828">
        <f t="shared" ca="1" si="477"/>
        <v>0</v>
      </c>
      <c r="V267" s="828">
        <f t="shared" ca="1" si="477"/>
        <v>0</v>
      </c>
      <c r="W267" s="828">
        <f t="shared" ca="1" si="477"/>
        <v>0</v>
      </c>
      <c r="X267" s="828">
        <f t="shared" ca="1" si="478"/>
        <v>0</v>
      </c>
      <c r="Y267" s="828">
        <f t="shared" ca="1" si="479"/>
        <v>0</v>
      </c>
      <c r="Z267" s="828">
        <f t="shared" ca="1" si="480"/>
        <v>0</v>
      </c>
      <c r="AA267" s="828">
        <f t="shared" ca="1" si="481"/>
        <v>0</v>
      </c>
      <c r="AB267" s="828" t="str">
        <f t="shared" ca="1" si="482"/>
        <v/>
      </c>
      <c r="AC267" s="828" t="str">
        <f t="shared" ca="1" si="483"/>
        <v/>
      </c>
      <c r="AD267" s="828" t="str">
        <f t="shared" ca="1" si="484"/>
        <v/>
      </c>
      <c r="AE267" s="828" t="str">
        <f t="shared" ca="1" si="485"/>
        <v/>
      </c>
      <c r="AF267" s="828" t="str">
        <f t="shared" ca="1" si="486"/>
        <v/>
      </c>
      <c r="AG267" s="828" t="str">
        <f t="shared" ca="1" si="487"/>
        <v/>
      </c>
      <c r="AH267" s="828" t="str">
        <f t="shared" ca="1" si="488"/>
        <v/>
      </c>
      <c r="AI267" s="828" t="str">
        <f t="shared" ca="1" si="489"/>
        <v/>
      </c>
      <c r="AJ267" s="828" t="str">
        <f t="shared" ca="1" si="490"/>
        <v/>
      </c>
      <c r="AK267" s="828" t="str">
        <f t="shared" ca="1" si="491"/>
        <v/>
      </c>
      <c r="AL267" s="828" t="str">
        <f t="shared" ca="1" si="492"/>
        <v/>
      </c>
      <c r="AM267" s="828" t="str">
        <f t="shared" ca="1" si="493"/>
        <v/>
      </c>
      <c r="AN267" s="828" t="str">
        <f t="shared" ca="1" si="494"/>
        <v/>
      </c>
      <c r="AO267" s="828" t="str">
        <f t="shared" ca="1" si="495"/>
        <v/>
      </c>
      <c r="AP267" s="828" t="str">
        <f t="shared" ca="1" si="496"/>
        <v/>
      </c>
      <c r="AQ267" s="828" t="str">
        <f t="shared" ca="1" si="497"/>
        <v/>
      </c>
      <c r="AR267" s="828" t="str">
        <f t="shared" ca="1" si="498"/>
        <v/>
      </c>
      <c r="AS267" s="828" t="str">
        <f t="shared" ca="1" si="499"/>
        <v/>
      </c>
      <c r="AT267" s="828" t="str">
        <f t="shared" ca="1" si="500"/>
        <v/>
      </c>
      <c r="AU267" s="828" t="str">
        <f t="shared" ca="1" si="501"/>
        <v/>
      </c>
      <c r="AV267" s="828" t="str">
        <f t="shared" ca="1" si="502"/>
        <v/>
      </c>
      <c r="AW267" s="828" t="str">
        <f t="shared" ca="1" si="503"/>
        <v/>
      </c>
      <c r="AX267" s="828" t="str">
        <f t="shared" ca="1" si="504"/>
        <v/>
      </c>
      <c r="AY267" s="828" t="str">
        <f t="shared" ca="1" si="505"/>
        <v/>
      </c>
      <c r="AZ267" s="828" t="str">
        <f t="shared" ca="1" si="506"/>
        <v/>
      </c>
      <c r="BA267" s="828" t="str">
        <f t="shared" ca="1" si="507"/>
        <v/>
      </c>
      <c r="BB267" s="828" t="str">
        <f t="shared" ca="1" si="508"/>
        <v/>
      </c>
      <c r="BC267" s="828" t="str">
        <f t="shared" ca="1" si="509"/>
        <v/>
      </c>
      <c r="BD267" s="828" t="str">
        <f t="shared" ca="1" si="510"/>
        <v/>
      </c>
      <c r="BE267" s="828" t="str">
        <f t="shared" ca="1" si="511"/>
        <v/>
      </c>
      <c r="BF267" s="828" t="str">
        <f t="shared" ca="1" si="512"/>
        <v/>
      </c>
      <c r="BG267" s="828" t="str">
        <f t="shared" ca="1" si="513"/>
        <v/>
      </c>
      <c r="BH267" s="828" t="str">
        <f t="shared" ca="1" si="514"/>
        <v/>
      </c>
      <c r="BI267" s="828" t="str">
        <f t="shared" ca="1" si="515"/>
        <v/>
      </c>
      <c r="BJ267" s="828" t="str">
        <f t="shared" ca="1" si="516"/>
        <v/>
      </c>
      <c r="BK267" s="828" t="str">
        <f t="shared" ca="1" si="517"/>
        <v/>
      </c>
      <c r="BL267" s="828" t="str">
        <f t="shared" ca="1" si="518"/>
        <v/>
      </c>
      <c r="BM267" s="828" t="str">
        <f t="shared" ca="1" si="519"/>
        <v/>
      </c>
      <c r="BN267" s="828" t="str">
        <f t="shared" ca="1" si="520"/>
        <v/>
      </c>
      <c r="BO267" s="828" t="str">
        <f t="shared" ca="1" si="521"/>
        <v/>
      </c>
    </row>
    <row r="268" spans="1:67" ht="20.100000000000001" customHeight="1">
      <c r="A268" s="823">
        <v>18</v>
      </c>
      <c r="B268" s="1870"/>
      <c r="C268" s="1872"/>
      <c r="D268" s="824" t="s">
        <v>4154</v>
      </c>
      <c r="E268" s="824"/>
      <c r="F268" s="825"/>
      <c r="G268" s="826" t="s">
        <v>3777</v>
      </c>
      <c r="H268" s="827">
        <f t="shared" ca="1" si="475"/>
        <v>34.1</v>
      </c>
      <c r="I268" s="827">
        <f t="shared" ca="1" si="475"/>
        <v>34.1</v>
      </c>
      <c r="J268" s="827">
        <f t="shared" ca="1" si="475"/>
        <v>34.1</v>
      </c>
      <c r="K268" s="827">
        <f t="shared" ca="1" si="475"/>
        <v>34.1</v>
      </c>
      <c r="L268" s="828">
        <f t="shared" ca="1" si="476"/>
        <v>0</v>
      </c>
      <c r="M268" s="828">
        <f t="shared" ca="1" si="476"/>
        <v>0</v>
      </c>
      <c r="N268" s="828">
        <f t="shared" ca="1" si="476"/>
        <v>0</v>
      </c>
      <c r="O268" s="828">
        <f t="shared" ca="1" si="476"/>
        <v>0</v>
      </c>
      <c r="P268" s="828">
        <f ca="1">SUM(SUMIFS(OFFSET(貼付け_2024実績,$A268,11,1,199),OFFSET(貼付け_2024実績,4,9,1,199),{"横浜*","川崎*"}))</f>
        <v>0</v>
      </c>
      <c r="Q268" s="828">
        <f ca="1">SUM(SUMIFS(OFFSET(貼付け_2025実績,$A268,11,1,199),OFFSET(貼付け_2025実績,4,9,1,199),{"横浜*","川崎*"}))</f>
        <v>0</v>
      </c>
      <c r="R268" s="828">
        <f ca="1">SUM(SUMIFS(OFFSET(貼付け_2026実績,$A268,11,1,199),OFFSET(貼付け_2026実績,4,9,1,199),{"横浜*","川崎*"}))</f>
        <v>0</v>
      </c>
      <c r="S268" s="828">
        <f ca="1">SUM(SUMIFS(OFFSET(貼付け_2027実績,$A268,11,1,199),OFFSET(貼付け_2027実績,4,9,1,199),{"横浜*","川崎*"}))</f>
        <v>0</v>
      </c>
      <c r="T268" s="828">
        <f t="shared" ca="1" si="477"/>
        <v>0</v>
      </c>
      <c r="U268" s="828">
        <f t="shared" ca="1" si="477"/>
        <v>0</v>
      </c>
      <c r="V268" s="828">
        <f t="shared" ca="1" si="477"/>
        <v>0</v>
      </c>
      <c r="W268" s="828">
        <f t="shared" ca="1" si="477"/>
        <v>0</v>
      </c>
      <c r="X268" s="828">
        <f t="shared" ca="1" si="478"/>
        <v>0</v>
      </c>
      <c r="Y268" s="828">
        <f t="shared" ca="1" si="479"/>
        <v>0</v>
      </c>
      <c r="Z268" s="828">
        <f t="shared" ca="1" si="480"/>
        <v>0</v>
      </c>
      <c r="AA268" s="828">
        <f t="shared" ca="1" si="481"/>
        <v>0</v>
      </c>
      <c r="AB268" s="828" t="str">
        <f t="shared" ca="1" si="482"/>
        <v/>
      </c>
      <c r="AC268" s="828" t="str">
        <f t="shared" ca="1" si="483"/>
        <v/>
      </c>
      <c r="AD268" s="828" t="str">
        <f t="shared" ca="1" si="484"/>
        <v/>
      </c>
      <c r="AE268" s="828" t="str">
        <f t="shared" ca="1" si="485"/>
        <v/>
      </c>
      <c r="AF268" s="828" t="str">
        <f t="shared" ca="1" si="486"/>
        <v/>
      </c>
      <c r="AG268" s="828" t="str">
        <f t="shared" ca="1" si="487"/>
        <v/>
      </c>
      <c r="AH268" s="828" t="str">
        <f t="shared" ca="1" si="488"/>
        <v/>
      </c>
      <c r="AI268" s="828" t="str">
        <f t="shared" ca="1" si="489"/>
        <v/>
      </c>
      <c r="AJ268" s="828" t="str">
        <f t="shared" ca="1" si="490"/>
        <v/>
      </c>
      <c r="AK268" s="828" t="str">
        <f t="shared" ca="1" si="491"/>
        <v/>
      </c>
      <c r="AL268" s="828" t="str">
        <f t="shared" ca="1" si="492"/>
        <v/>
      </c>
      <c r="AM268" s="828" t="str">
        <f t="shared" ca="1" si="493"/>
        <v/>
      </c>
      <c r="AN268" s="828" t="str">
        <f t="shared" ca="1" si="494"/>
        <v/>
      </c>
      <c r="AO268" s="828" t="str">
        <f t="shared" ca="1" si="495"/>
        <v/>
      </c>
      <c r="AP268" s="828" t="str">
        <f t="shared" ca="1" si="496"/>
        <v/>
      </c>
      <c r="AQ268" s="828" t="str">
        <f t="shared" ca="1" si="497"/>
        <v/>
      </c>
      <c r="AR268" s="828" t="str">
        <f t="shared" ca="1" si="498"/>
        <v/>
      </c>
      <c r="AS268" s="828" t="str">
        <f t="shared" ca="1" si="499"/>
        <v/>
      </c>
      <c r="AT268" s="828" t="str">
        <f t="shared" ca="1" si="500"/>
        <v/>
      </c>
      <c r="AU268" s="828" t="str">
        <f t="shared" ca="1" si="501"/>
        <v/>
      </c>
      <c r="AV268" s="828" t="str">
        <f t="shared" ca="1" si="502"/>
        <v/>
      </c>
      <c r="AW268" s="828" t="str">
        <f t="shared" ca="1" si="503"/>
        <v/>
      </c>
      <c r="AX268" s="828" t="str">
        <f t="shared" ca="1" si="504"/>
        <v/>
      </c>
      <c r="AY268" s="828" t="str">
        <f t="shared" ca="1" si="505"/>
        <v/>
      </c>
      <c r="AZ268" s="828" t="str">
        <f t="shared" ca="1" si="506"/>
        <v/>
      </c>
      <c r="BA268" s="828" t="str">
        <f t="shared" ca="1" si="507"/>
        <v/>
      </c>
      <c r="BB268" s="828" t="str">
        <f t="shared" ca="1" si="508"/>
        <v/>
      </c>
      <c r="BC268" s="828" t="str">
        <f t="shared" ca="1" si="509"/>
        <v/>
      </c>
      <c r="BD268" s="828" t="str">
        <f t="shared" ca="1" si="510"/>
        <v/>
      </c>
      <c r="BE268" s="828" t="str">
        <f t="shared" ca="1" si="511"/>
        <v/>
      </c>
      <c r="BF268" s="828" t="str">
        <f t="shared" ca="1" si="512"/>
        <v/>
      </c>
      <c r="BG268" s="828" t="str">
        <f t="shared" ca="1" si="513"/>
        <v/>
      </c>
      <c r="BH268" s="828" t="str">
        <f t="shared" ca="1" si="514"/>
        <v/>
      </c>
      <c r="BI268" s="828" t="str">
        <f t="shared" ca="1" si="515"/>
        <v/>
      </c>
      <c r="BJ268" s="828" t="str">
        <f t="shared" ca="1" si="516"/>
        <v/>
      </c>
      <c r="BK268" s="828" t="str">
        <f t="shared" ca="1" si="517"/>
        <v/>
      </c>
      <c r="BL268" s="828" t="str">
        <f t="shared" ca="1" si="518"/>
        <v/>
      </c>
      <c r="BM268" s="828" t="str">
        <f t="shared" ca="1" si="519"/>
        <v/>
      </c>
      <c r="BN268" s="828" t="str">
        <f t="shared" ca="1" si="520"/>
        <v/>
      </c>
      <c r="BO268" s="828" t="str">
        <f t="shared" ca="1" si="521"/>
        <v/>
      </c>
    </row>
    <row r="269" spans="1:67" ht="20.100000000000001" customHeight="1">
      <c r="A269" s="823">
        <v>19</v>
      </c>
      <c r="B269" s="1871"/>
      <c r="C269" s="1872"/>
      <c r="D269" s="824" t="s">
        <v>4394</v>
      </c>
      <c r="E269" s="824"/>
      <c r="F269" s="825"/>
      <c r="G269" s="826" t="s">
        <v>3777</v>
      </c>
      <c r="H269" s="827">
        <f t="shared" ca="1" si="475"/>
        <v>50.1</v>
      </c>
      <c r="I269" s="827">
        <f t="shared" ca="1" si="475"/>
        <v>50.1</v>
      </c>
      <c r="J269" s="827">
        <f t="shared" ca="1" si="475"/>
        <v>50.1</v>
      </c>
      <c r="K269" s="827">
        <f t="shared" ca="1" si="475"/>
        <v>50.1</v>
      </c>
      <c r="L269" s="828">
        <f t="shared" ca="1" si="476"/>
        <v>0</v>
      </c>
      <c r="M269" s="828">
        <f t="shared" ca="1" si="476"/>
        <v>0</v>
      </c>
      <c r="N269" s="828">
        <f t="shared" ca="1" si="476"/>
        <v>0</v>
      </c>
      <c r="O269" s="828">
        <f t="shared" ca="1" si="476"/>
        <v>0</v>
      </c>
      <c r="P269" s="828">
        <f ca="1">SUM(SUMIFS(OFFSET(貼付け_2024実績,$A269,11,1,199),OFFSET(貼付け_2024実績,4,9,1,199),{"横浜*","川崎*"}))</f>
        <v>0</v>
      </c>
      <c r="Q269" s="828">
        <f ca="1">SUM(SUMIFS(OFFSET(貼付け_2025実績,$A269,11,1,199),OFFSET(貼付け_2025実績,4,9,1,199),{"横浜*","川崎*"}))</f>
        <v>0</v>
      </c>
      <c r="R269" s="828">
        <f ca="1">SUM(SUMIFS(OFFSET(貼付け_2026実績,$A269,11,1,199),OFFSET(貼付け_2026実績,4,9,1,199),{"横浜*","川崎*"}))</f>
        <v>0</v>
      </c>
      <c r="S269" s="828">
        <f ca="1">SUM(SUMIFS(OFFSET(貼付け_2027実績,$A269,11,1,199),OFFSET(貼付け_2027実績,4,9,1,199),{"横浜*","川崎*"}))</f>
        <v>0</v>
      </c>
      <c r="T269" s="828">
        <f t="shared" ca="1" si="477"/>
        <v>0</v>
      </c>
      <c r="U269" s="828">
        <f t="shared" ca="1" si="477"/>
        <v>0</v>
      </c>
      <c r="V269" s="828">
        <f t="shared" ca="1" si="477"/>
        <v>0</v>
      </c>
      <c r="W269" s="828">
        <f t="shared" ca="1" si="477"/>
        <v>0</v>
      </c>
      <c r="X269" s="828">
        <f t="shared" ca="1" si="478"/>
        <v>0</v>
      </c>
      <c r="Y269" s="828">
        <f t="shared" ca="1" si="479"/>
        <v>0</v>
      </c>
      <c r="Z269" s="828">
        <f t="shared" ca="1" si="480"/>
        <v>0</v>
      </c>
      <c r="AA269" s="828">
        <f t="shared" ca="1" si="481"/>
        <v>0</v>
      </c>
      <c r="AB269" s="828" t="str">
        <f t="shared" ca="1" si="482"/>
        <v/>
      </c>
      <c r="AC269" s="828" t="str">
        <f t="shared" ca="1" si="483"/>
        <v/>
      </c>
      <c r="AD269" s="828" t="str">
        <f t="shared" ca="1" si="484"/>
        <v/>
      </c>
      <c r="AE269" s="828" t="str">
        <f t="shared" ca="1" si="485"/>
        <v/>
      </c>
      <c r="AF269" s="828" t="str">
        <f t="shared" ca="1" si="486"/>
        <v/>
      </c>
      <c r="AG269" s="828" t="str">
        <f t="shared" ca="1" si="487"/>
        <v/>
      </c>
      <c r="AH269" s="828" t="str">
        <f t="shared" ca="1" si="488"/>
        <v/>
      </c>
      <c r="AI269" s="828" t="str">
        <f t="shared" ca="1" si="489"/>
        <v/>
      </c>
      <c r="AJ269" s="828" t="str">
        <f t="shared" ca="1" si="490"/>
        <v/>
      </c>
      <c r="AK269" s="828" t="str">
        <f t="shared" ca="1" si="491"/>
        <v/>
      </c>
      <c r="AL269" s="828" t="str">
        <f t="shared" ca="1" si="492"/>
        <v/>
      </c>
      <c r="AM269" s="828" t="str">
        <f t="shared" ca="1" si="493"/>
        <v/>
      </c>
      <c r="AN269" s="828" t="str">
        <f t="shared" ca="1" si="494"/>
        <v/>
      </c>
      <c r="AO269" s="828" t="str">
        <f t="shared" ca="1" si="495"/>
        <v/>
      </c>
      <c r="AP269" s="828" t="str">
        <f t="shared" ca="1" si="496"/>
        <v/>
      </c>
      <c r="AQ269" s="828" t="str">
        <f t="shared" ca="1" si="497"/>
        <v/>
      </c>
      <c r="AR269" s="828" t="str">
        <f t="shared" ca="1" si="498"/>
        <v/>
      </c>
      <c r="AS269" s="828" t="str">
        <f t="shared" ca="1" si="499"/>
        <v/>
      </c>
      <c r="AT269" s="828" t="str">
        <f t="shared" ca="1" si="500"/>
        <v/>
      </c>
      <c r="AU269" s="828" t="str">
        <f t="shared" ca="1" si="501"/>
        <v/>
      </c>
      <c r="AV269" s="828" t="str">
        <f t="shared" ca="1" si="502"/>
        <v/>
      </c>
      <c r="AW269" s="828" t="str">
        <f t="shared" ca="1" si="503"/>
        <v/>
      </c>
      <c r="AX269" s="828" t="str">
        <f t="shared" ca="1" si="504"/>
        <v/>
      </c>
      <c r="AY269" s="828" t="str">
        <f t="shared" ca="1" si="505"/>
        <v/>
      </c>
      <c r="AZ269" s="828" t="str">
        <f t="shared" ca="1" si="506"/>
        <v/>
      </c>
      <c r="BA269" s="828" t="str">
        <f t="shared" ca="1" si="507"/>
        <v/>
      </c>
      <c r="BB269" s="828" t="str">
        <f t="shared" ca="1" si="508"/>
        <v/>
      </c>
      <c r="BC269" s="828" t="str">
        <f t="shared" ca="1" si="509"/>
        <v/>
      </c>
      <c r="BD269" s="828" t="str">
        <f t="shared" ca="1" si="510"/>
        <v/>
      </c>
      <c r="BE269" s="828" t="str">
        <f t="shared" ca="1" si="511"/>
        <v/>
      </c>
      <c r="BF269" s="828" t="str">
        <f t="shared" ca="1" si="512"/>
        <v/>
      </c>
      <c r="BG269" s="828" t="str">
        <f t="shared" ca="1" si="513"/>
        <v/>
      </c>
      <c r="BH269" s="828" t="str">
        <f t="shared" ca="1" si="514"/>
        <v/>
      </c>
      <c r="BI269" s="828" t="str">
        <f t="shared" ca="1" si="515"/>
        <v/>
      </c>
      <c r="BJ269" s="828" t="str">
        <f t="shared" ca="1" si="516"/>
        <v/>
      </c>
      <c r="BK269" s="828" t="str">
        <f t="shared" ca="1" si="517"/>
        <v/>
      </c>
      <c r="BL269" s="828" t="str">
        <f t="shared" ca="1" si="518"/>
        <v/>
      </c>
      <c r="BM269" s="828" t="str">
        <f t="shared" ca="1" si="519"/>
        <v/>
      </c>
      <c r="BN269" s="828" t="str">
        <f t="shared" ca="1" si="520"/>
        <v/>
      </c>
      <c r="BO269" s="828" t="str">
        <f t="shared" ca="1" si="521"/>
        <v/>
      </c>
    </row>
    <row r="270" spans="1:67" ht="20.100000000000001" customHeight="1">
      <c r="A270" s="823">
        <v>20</v>
      </c>
      <c r="B270" s="1870"/>
      <c r="C270" s="1872"/>
      <c r="D270" s="824" t="s">
        <v>4395</v>
      </c>
      <c r="E270" s="824"/>
      <c r="F270" s="825"/>
      <c r="G270" s="826" t="s">
        <v>4158</v>
      </c>
      <c r="H270" s="827">
        <f t="shared" ca="1" si="475"/>
        <v>46.1</v>
      </c>
      <c r="I270" s="827">
        <f t="shared" ca="1" si="475"/>
        <v>46.1</v>
      </c>
      <c r="J270" s="827">
        <f t="shared" ca="1" si="475"/>
        <v>46.1</v>
      </c>
      <c r="K270" s="827">
        <f t="shared" ca="1" si="475"/>
        <v>46.1</v>
      </c>
      <c r="L270" s="828">
        <f t="shared" ca="1" si="476"/>
        <v>0</v>
      </c>
      <c r="M270" s="828">
        <f t="shared" ca="1" si="476"/>
        <v>0</v>
      </c>
      <c r="N270" s="828">
        <f t="shared" ca="1" si="476"/>
        <v>0</v>
      </c>
      <c r="O270" s="828">
        <f t="shared" ca="1" si="476"/>
        <v>0</v>
      </c>
      <c r="P270" s="828">
        <f ca="1">SUM(SUMIFS(OFFSET(貼付け_2024実績,$A270,11,1,199),OFFSET(貼付け_2024実績,4,9,1,199),{"横浜*","川崎*"}))</f>
        <v>0</v>
      </c>
      <c r="Q270" s="828">
        <f ca="1">SUM(SUMIFS(OFFSET(貼付け_2025実績,$A270,11,1,199),OFFSET(貼付け_2025実績,4,9,1,199),{"横浜*","川崎*"}))</f>
        <v>0</v>
      </c>
      <c r="R270" s="828">
        <f ca="1">SUM(SUMIFS(OFFSET(貼付け_2026実績,$A270,11,1,199),OFFSET(貼付け_2026実績,4,9,1,199),{"横浜*","川崎*"}))</f>
        <v>0</v>
      </c>
      <c r="S270" s="828">
        <f ca="1">SUM(SUMIFS(OFFSET(貼付け_2027実績,$A270,11,1,199),OFFSET(貼付け_2027実績,4,9,1,199),{"横浜*","川崎*"}))</f>
        <v>0</v>
      </c>
      <c r="T270" s="828">
        <f t="shared" ca="1" si="477"/>
        <v>0</v>
      </c>
      <c r="U270" s="828">
        <f t="shared" ca="1" si="477"/>
        <v>0</v>
      </c>
      <c r="V270" s="828">
        <f t="shared" ca="1" si="477"/>
        <v>0</v>
      </c>
      <c r="W270" s="828">
        <f t="shared" ca="1" si="477"/>
        <v>0</v>
      </c>
      <c r="X270" s="828">
        <f t="shared" ca="1" si="478"/>
        <v>0</v>
      </c>
      <c r="Y270" s="828">
        <f t="shared" ca="1" si="479"/>
        <v>0</v>
      </c>
      <c r="Z270" s="828">
        <f t="shared" ca="1" si="480"/>
        <v>0</v>
      </c>
      <c r="AA270" s="828">
        <f t="shared" ca="1" si="481"/>
        <v>0</v>
      </c>
      <c r="AB270" s="828" t="str">
        <f t="shared" ca="1" si="482"/>
        <v/>
      </c>
      <c r="AC270" s="828" t="str">
        <f t="shared" ca="1" si="483"/>
        <v/>
      </c>
      <c r="AD270" s="828" t="str">
        <f t="shared" ca="1" si="484"/>
        <v/>
      </c>
      <c r="AE270" s="828" t="str">
        <f t="shared" ca="1" si="485"/>
        <v/>
      </c>
      <c r="AF270" s="828" t="str">
        <f t="shared" ca="1" si="486"/>
        <v/>
      </c>
      <c r="AG270" s="828" t="str">
        <f t="shared" ca="1" si="487"/>
        <v/>
      </c>
      <c r="AH270" s="828" t="str">
        <f t="shared" ca="1" si="488"/>
        <v/>
      </c>
      <c r="AI270" s="828" t="str">
        <f t="shared" ca="1" si="489"/>
        <v/>
      </c>
      <c r="AJ270" s="828" t="str">
        <f t="shared" ca="1" si="490"/>
        <v/>
      </c>
      <c r="AK270" s="828" t="str">
        <f t="shared" ca="1" si="491"/>
        <v/>
      </c>
      <c r="AL270" s="828" t="str">
        <f t="shared" ca="1" si="492"/>
        <v/>
      </c>
      <c r="AM270" s="828" t="str">
        <f t="shared" ca="1" si="493"/>
        <v/>
      </c>
      <c r="AN270" s="828" t="str">
        <f t="shared" ca="1" si="494"/>
        <v/>
      </c>
      <c r="AO270" s="828" t="str">
        <f t="shared" ca="1" si="495"/>
        <v/>
      </c>
      <c r="AP270" s="828" t="str">
        <f t="shared" ca="1" si="496"/>
        <v/>
      </c>
      <c r="AQ270" s="828" t="str">
        <f t="shared" ca="1" si="497"/>
        <v/>
      </c>
      <c r="AR270" s="828" t="str">
        <f t="shared" ca="1" si="498"/>
        <v/>
      </c>
      <c r="AS270" s="828" t="str">
        <f t="shared" ca="1" si="499"/>
        <v/>
      </c>
      <c r="AT270" s="828" t="str">
        <f t="shared" ca="1" si="500"/>
        <v/>
      </c>
      <c r="AU270" s="828" t="str">
        <f t="shared" ca="1" si="501"/>
        <v/>
      </c>
      <c r="AV270" s="828" t="str">
        <f t="shared" ca="1" si="502"/>
        <v/>
      </c>
      <c r="AW270" s="828" t="str">
        <f t="shared" ca="1" si="503"/>
        <v/>
      </c>
      <c r="AX270" s="828" t="str">
        <f t="shared" ca="1" si="504"/>
        <v/>
      </c>
      <c r="AY270" s="828" t="str">
        <f t="shared" ca="1" si="505"/>
        <v/>
      </c>
      <c r="AZ270" s="828" t="str">
        <f t="shared" ca="1" si="506"/>
        <v/>
      </c>
      <c r="BA270" s="828" t="str">
        <f t="shared" ca="1" si="507"/>
        <v/>
      </c>
      <c r="BB270" s="828" t="str">
        <f t="shared" ca="1" si="508"/>
        <v/>
      </c>
      <c r="BC270" s="828" t="str">
        <f t="shared" ca="1" si="509"/>
        <v/>
      </c>
      <c r="BD270" s="828" t="str">
        <f t="shared" ca="1" si="510"/>
        <v/>
      </c>
      <c r="BE270" s="828" t="str">
        <f t="shared" ca="1" si="511"/>
        <v/>
      </c>
      <c r="BF270" s="828" t="str">
        <f t="shared" ca="1" si="512"/>
        <v/>
      </c>
      <c r="BG270" s="828" t="str">
        <f t="shared" ca="1" si="513"/>
        <v/>
      </c>
      <c r="BH270" s="828" t="str">
        <f t="shared" ca="1" si="514"/>
        <v/>
      </c>
      <c r="BI270" s="828" t="str">
        <f t="shared" ca="1" si="515"/>
        <v/>
      </c>
      <c r="BJ270" s="828" t="str">
        <f t="shared" ca="1" si="516"/>
        <v/>
      </c>
      <c r="BK270" s="828" t="str">
        <f t="shared" ca="1" si="517"/>
        <v/>
      </c>
      <c r="BL270" s="828" t="str">
        <f t="shared" ca="1" si="518"/>
        <v/>
      </c>
      <c r="BM270" s="828" t="str">
        <f t="shared" ca="1" si="519"/>
        <v/>
      </c>
      <c r="BN270" s="828" t="str">
        <f t="shared" ca="1" si="520"/>
        <v/>
      </c>
      <c r="BO270" s="828" t="str">
        <f t="shared" ca="1" si="521"/>
        <v/>
      </c>
    </row>
    <row r="271" spans="1:67" ht="20.100000000000001" customHeight="1">
      <c r="A271" s="823">
        <v>21</v>
      </c>
      <c r="B271" s="1871"/>
      <c r="C271" s="1872"/>
      <c r="D271" s="824" t="s">
        <v>4396</v>
      </c>
      <c r="E271" s="818"/>
      <c r="F271" s="825"/>
      <c r="G271" s="826" t="s">
        <v>3777</v>
      </c>
      <c r="H271" s="827">
        <f t="shared" ca="1" si="475"/>
        <v>54.7</v>
      </c>
      <c r="I271" s="827">
        <f t="shared" ca="1" si="475"/>
        <v>54.7</v>
      </c>
      <c r="J271" s="827">
        <f t="shared" ca="1" si="475"/>
        <v>54.7</v>
      </c>
      <c r="K271" s="827">
        <f t="shared" ca="1" si="475"/>
        <v>54.7</v>
      </c>
      <c r="L271" s="828">
        <f t="shared" ca="1" si="476"/>
        <v>0</v>
      </c>
      <c r="M271" s="828">
        <f t="shared" ca="1" si="476"/>
        <v>0</v>
      </c>
      <c r="N271" s="828">
        <f t="shared" ca="1" si="476"/>
        <v>0</v>
      </c>
      <c r="O271" s="828">
        <f t="shared" ca="1" si="476"/>
        <v>0</v>
      </c>
      <c r="P271" s="828">
        <f ca="1">SUM(SUMIFS(OFFSET(貼付け_2024実績,$A271,11,1,199),OFFSET(貼付け_2024実績,4,9,1,199),{"横浜*","川崎*"}))</f>
        <v>0</v>
      </c>
      <c r="Q271" s="828">
        <f ca="1">SUM(SUMIFS(OFFSET(貼付け_2025実績,$A271,11,1,199),OFFSET(貼付け_2025実績,4,9,1,199),{"横浜*","川崎*"}))</f>
        <v>0</v>
      </c>
      <c r="R271" s="828">
        <f ca="1">SUM(SUMIFS(OFFSET(貼付け_2026実績,$A271,11,1,199),OFFSET(貼付け_2026実績,4,9,1,199),{"横浜*","川崎*"}))</f>
        <v>0</v>
      </c>
      <c r="S271" s="828">
        <f ca="1">SUM(SUMIFS(OFFSET(貼付け_2027実績,$A271,11,1,199),OFFSET(貼付け_2027実績,4,9,1,199),{"横浜*","川崎*"}))</f>
        <v>0</v>
      </c>
      <c r="T271" s="828">
        <f t="shared" ca="1" si="477"/>
        <v>0</v>
      </c>
      <c r="U271" s="828">
        <f t="shared" ca="1" si="477"/>
        <v>0</v>
      </c>
      <c r="V271" s="828">
        <f t="shared" ca="1" si="477"/>
        <v>0</v>
      </c>
      <c r="W271" s="828">
        <f t="shared" ca="1" si="477"/>
        <v>0</v>
      </c>
      <c r="X271" s="828">
        <f t="shared" ca="1" si="478"/>
        <v>0</v>
      </c>
      <c r="Y271" s="828">
        <f t="shared" ca="1" si="479"/>
        <v>0</v>
      </c>
      <c r="Z271" s="828">
        <f t="shared" ca="1" si="480"/>
        <v>0</v>
      </c>
      <c r="AA271" s="828">
        <f t="shared" ca="1" si="481"/>
        <v>0</v>
      </c>
      <c r="AB271" s="828" t="str">
        <f t="shared" ca="1" si="482"/>
        <v/>
      </c>
      <c r="AC271" s="828" t="str">
        <f t="shared" ca="1" si="483"/>
        <v/>
      </c>
      <c r="AD271" s="828" t="str">
        <f t="shared" ca="1" si="484"/>
        <v/>
      </c>
      <c r="AE271" s="828" t="str">
        <f t="shared" ca="1" si="485"/>
        <v/>
      </c>
      <c r="AF271" s="828" t="str">
        <f t="shared" ca="1" si="486"/>
        <v/>
      </c>
      <c r="AG271" s="828" t="str">
        <f t="shared" ca="1" si="487"/>
        <v/>
      </c>
      <c r="AH271" s="828" t="str">
        <f t="shared" ca="1" si="488"/>
        <v/>
      </c>
      <c r="AI271" s="828" t="str">
        <f t="shared" ca="1" si="489"/>
        <v/>
      </c>
      <c r="AJ271" s="828" t="str">
        <f t="shared" ca="1" si="490"/>
        <v/>
      </c>
      <c r="AK271" s="828" t="str">
        <f t="shared" ca="1" si="491"/>
        <v/>
      </c>
      <c r="AL271" s="828" t="str">
        <f t="shared" ca="1" si="492"/>
        <v/>
      </c>
      <c r="AM271" s="828" t="str">
        <f t="shared" ca="1" si="493"/>
        <v/>
      </c>
      <c r="AN271" s="828" t="str">
        <f t="shared" ca="1" si="494"/>
        <v/>
      </c>
      <c r="AO271" s="828" t="str">
        <f t="shared" ca="1" si="495"/>
        <v/>
      </c>
      <c r="AP271" s="828" t="str">
        <f t="shared" ca="1" si="496"/>
        <v/>
      </c>
      <c r="AQ271" s="828" t="str">
        <f t="shared" ca="1" si="497"/>
        <v/>
      </c>
      <c r="AR271" s="828" t="str">
        <f t="shared" ca="1" si="498"/>
        <v/>
      </c>
      <c r="AS271" s="828" t="str">
        <f t="shared" ca="1" si="499"/>
        <v/>
      </c>
      <c r="AT271" s="828" t="str">
        <f t="shared" ca="1" si="500"/>
        <v/>
      </c>
      <c r="AU271" s="828" t="str">
        <f t="shared" ca="1" si="501"/>
        <v/>
      </c>
      <c r="AV271" s="828" t="str">
        <f t="shared" ca="1" si="502"/>
        <v/>
      </c>
      <c r="AW271" s="828" t="str">
        <f t="shared" ca="1" si="503"/>
        <v/>
      </c>
      <c r="AX271" s="828" t="str">
        <f t="shared" ca="1" si="504"/>
        <v/>
      </c>
      <c r="AY271" s="828" t="str">
        <f t="shared" ca="1" si="505"/>
        <v/>
      </c>
      <c r="AZ271" s="828" t="str">
        <f t="shared" ca="1" si="506"/>
        <v/>
      </c>
      <c r="BA271" s="828" t="str">
        <f t="shared" ca="1" si="507"/>
        <v/>
      </c>
      <c r="BB271" s="828" t="str">
        <f t="shared" ca="1" si="508"/>
        <v/>
      </c>
      <c r="BC271" s="828" t="str">
        <f t="shared" ca="1" si="509"/>
        <v/>
      </c>
      <c r="BD271" s="828" t="str">
        <f t="shared" ca="1" si="510"/>
        <v/>
      </c>
      <c r="BE271" s="828" t="str">
        <f t="shared" ca="1" si="511"/>
        <v/>
      </c>
      <c r="BF271" s="828" t="str">
        <f t="shared" ca="1" si="512"/>
        <v/>
      </c>
      <c r="BG271" s="828" t="str">
        <f t="shared" ca="1" si="513"/>
        <v/>
      </c>
      <c r="BH271" s="828" t="str">
        <f t="shared" ca="1" si="514"/>
        <v/>
      </c>
      <c r="BI271" s="828" t="str">
        <f t="shared" ca="1" si="515"/>
        <v/>
      </c>
      <c r="BJ271" s="828" t="str">
        <f t="shared" ca="1" si="516"/>
        <v/>
      </c>
      <c r="BK271" s="828" t="str">
        <f t="shared" ca="1" si="517"/>
        <v/>
      </c>
      <c r="BL271" s="828" t="str">
        <f t="shared" ca="1" si="518"/>
        <v/>
      </c>
      <c r="BM271" s="828" t="str">
        <f t="shared" ca="1" si="519"/>
        <v/>
      </c>
      <c r="BN271" s="828" t="str">
        <f t="shared" ca="1" si="520"/>
        <v/>
      </c>
      <c r="BO271" s="828" t="str">
        <f t="shared" ca="1" si="521"/>
        <v/>
      </c>
    </row>
    <row r="272" spans="1:67" ht="20.100000000000001" customHeight="1">
      <c r="A272" s="823">
        <v>22</v>
      </c>
      <c r="B272" s="1870"/>
      <c r="C272" s="1872"/>
      <c r="D272" s="824" t="s">
        <v>4397</v>
      </c>
      <c r="E272" s="824"/>
      <c r="F272" s="825"/>
      <c r="G272" s="826" t="s">
        <v>4158</v>
      </c>
      <c r="H272" s="827">
        <f t="shared" ca="1" si="475"/>
        <v>38.4</v>
      </c>
      <c r="I272" s="827">
        <f t="shared" ca="1" si="475"/>
        <v>38.4</v>
      </c>
      <c r="J272" s="827">
        <f t="shared" ca="1" si="475"/>
        <v>38.4</v>
      </c>
      <c r="K272" s="827">
        <f t="shared" ca="1" si="475"/>
        <v>38.4</v>
      </c>
      <c r="L272" s="828">
        <f t="shared" ca="1" si="476"/>
        <v>0</v>
      </c>
      <c r="M272" s="828">
        <f t="shared" ca="1" si="476"/>
        <v>0</v>
      </c>
      <c r="N272" s="828">
        <f t="shared" ca="1" si="476"/>
        <v>0</v>
      </c>
      <c r="O272" s="828">
        <f t="shared" ca="1" si="476"/>
        <v>0</v>
      </c>
      <c r="P272" s="828">
        <f ca="1">SUM(SUMIFS(OFFSET(貼付け_2024実績,$A272,11,1,199),OFFSET(貼付け_2024実績,4,9,1,199),{"横浜*","川崎*"}))</f>
        <v>0</v>
      </c>
      <c r="Q272" s="828">
        <f ca="1">SUM(SUMIFS(OFFSET(貼付け_2025実績,$A272,11,1,199),OFFSET(貼付け_2025実績,4,9,1,199),{"横浜*","川崎*"}))</f>
        <v>0</v>
      </c>
      <c r="R272" s="828">
        <f ca="1">SUM(SUMIFS(OFFSET(貼付け_2026実績,$A272,11,1,199),OFFSET(貼付け_2026実績,4,9,1,199),{"横浜*","川崎*"}))</f>
        <v>0</v>
      </c>
      <c r="S272" s="828">
        <f ca="1">SUM(SUMIFS(OFFSET(貼付け_2027実績,$A272,11,1,199),OFFSET(貼付け_2027実績,4,9,1,199),{"横浜*","川崎*"}))</f>
        <v>0</v>
      </c>
      <c r="T272" s="828">
        <f t="shared" ca="1" si="477"/>
        <v>0</v>
      </c>
      <c r="U272" s="828">
        <f t="shared" ca="1" si="477"/>
        <v>0</v>
      </c>
      <c r="V272" s="828">
        <f t="shared" ca="1" si="477"/>
        <v>0</v>
      </c>
      <c r="W272" s="828">
        <f t="shared" ca="1" si="477"/>
        <v>0</v>
      </c>
      <c r="X272" s="828">
        <f t="shared" ca="1" si="478"/>
        <v>0</v>
      </c>
      <c r="Y272" s="828">
        <f t="shared" ca="1" si="479"/>
        <v>0</v>
      </c>
      <c r="Z272" s="828">
        <f t="shared" ca="1" si="480"/>
        <v>0</v>
      </c>
      <c r="AA272" s="828">
        <f t="shared" ca="1" si="481"/>
        <v>0</v>
      </c>
      <c r="AB272" s="828" t="str">
        <f t="shared" ca="1" si="482"/>
        <v/>
      </c>
      <c r="AC272" s="828" t="str">
        <f t="shared" ca="1" si="483"/>
        <v/>
      </c>
      <c r="AD272" s="828" t="str">
        <f t="shared" ca="1" si="484"/>
        <v/>
      </c>
      <c r="AE272" s="828" t="str">
        <f t="shared" ca="1" si="485"/>
        <v/>
      </c>
      <c r="AF272" s="828" t="str">
        <f t="shared" ca="1" si="486"/>
        <v/>
      </c>
      <c r="AG272" s="828" t="str">
        <f t="shared" ca="1" si="487"/>
        <v/>
      </c>
      <c r="AH272" s="828" t="str">
        <f t="shared" ca="1" si="488"/>
        <v/>
      </c>
      <c r="AI272" s="828" t="str">
        <f t="shared" ca="1" si="489"/>
        <v/>
      </c>
      <c r="AJ272" s="828" t="str">
        <f t="shared" ca="1" si="490"/>
        <v/>
      </c>
      <c r="AK272" s="828" t="str">
        <f t="shared" ca="1" si="491"/>
        <v/>
      </c>
      <c r="AL272" s="828" t="str">
        <f t="shared" ca="1" si="492"/>
        <v/>
      </c>
      <c r="AM272" s="828" t="str">
        <f t="shared" ca="1" si="493"/>
        <v/>
      </c>
      <c r="AN272" s="828" t="str">
        <f t="shared" ca="1" si="494"/>
        <v/>
      </c>
      <c r="AO272" s="828" t="str">
        <f t="shared" ca="1" si="495"/>
        <v/>
      </c>
      <c r="AP272" s="828" t="str">
        <f t="shared" ca="1" si="496"/>
        <v/>
      </c>
      <c r="AQ272" s="828" t="str">
        <f t="shared" ca="1" si="497"/>
        <v/>
      </c>
      <c r="AR272" s="828" t="str">
        <f t="shared" ca="1" si="498"/>
        <v/>
      </c>
      <c r="AS272" s="828" t="str">
        <f t="shared" ca="1" si="499"/>
        <v/>
      </c>
      <c r="AT272" s="828" t="str">
        <f t="shared" ca="1" si="500"/>
        <v/>
      </c>
      <c r="AU272" s="828" t="str">
        <f t="shared" ca="1" si="501"/>
        <v/>
      </c>
      <c r="AV272" s="828" t="str">
        <f t="shared" ca="1" si="502"/>
        <v/>
      </c>
      <c r="AW272" s="828" t="str">
        <f t="shared" ca="1" si="503"/>
        <v/>
      </c>
      <c r="AX272" s="828" t="str">
        <f t="shared" ca="1" si="504"/>
        <v/>
      </c>
      <c r="AY272" s="828" t="str">
        <f t="shared" ca="1" si="505"/>
        <v/>
      </c>
      <c r="AZ272" s="828" t="str">
        <f t="shared" ca="1" si="506"/>
        <v/>
      </c>
      <c r="BA272" s="828" t="str">
        <f t="shared" ca="1" si="507"/>
        <v/>
      </c>
      <c r="BB272" s="828" t="str">
        <f t="shared" ca="1" si="508"/>
        <v/>
      </c>
      <c r="BC272" s="828" t="str">
        <f t="shared" ca="1" si="509"/>
        <v/>
      </c>
      <c r="BD272" s="828" t="str">
        <f t="shared" ca="1" si="510"/>
        <v/>
      </c>
      <c r="BE272" s="828" t="str">
        <f t="shared" ca="1" si="511"/>
        <v/>
      </c>
      <c r="BF272" s="828" t="str">
        <f t="shared" ca="1" si="512"/>
        <v/>
      </c>
      <c r="BG272" s="828" t="str">
        <f t="shared" ca="1" si="513"/>
        <v/>
      </c>
      <c r="BH272" s="828" t="str">
        <f t="shared" ca="1" si="514"/>
        <v/>
      </c>
      <c r="BI272" s="828" t="str">
        <f t="shared" ca="1" si="515"/>
        <v/>
      </c>
      <c r="BJ272" s="828" t="str">
        <f t="shared" ca="1" si="516"/>
        <v/>
      </c>
      <c r="BK272" s="828" t="str">
        <f t="shared" ca="1" si="517"/>
        <v/>
      </c>
      <c r="BL272" s="828" t="str">
        <f t="shared" ca="1" si="518"/>
        <v/>
      </c>
      <c r="BM272" s="828" t="str">
        <f t="shared" ca="1" si="519"/>
        <v/>
      </c>
      <c r="BN272" s="828" t="str">
        <f t="shared" ca="1" si="520"/>
        <v/>
      </c>
      <c r="BO272" s="828" t="str">
        <f t="shared" ca="1" si="521"/>
        <v/>
      </c>
    </row>
    <row r="273" spans="1:67" ht="20.100000000000001" customHeight="1">
      <c r="A273" s="823">
        <v>23</v>
      </c>
      <c r="B273" s="1870"/>
      <c r="C273" s="1872"/>
      <c r="D273" s="824" t="s">
        <v>4398</v>
      </c>
      <c r="E273" s="824"/>
      <c r="F273" s="825"/>
      <c r="G273" s="826" t="s">
        <v>3777</v>
      </c>
      <c r="H273" s="827">
        <f t="shared" ca="1" si="475"/>
        <v>28.7</v>
      </c>
      <c r="I273" s="827">
        <f t="shared" ca="1" si="475"/>
        <v>28.7</v>
      </c>
      <c r="J273" s="827">
        <f t="shared" ca="1" si="475"/>
        <v>28.7</v>
      </c>
      <c r="K273" s="827">
        <f t="shared" ca="1" si="475"/>
        <v>28.7</v>
      </c>
      <c r="L273" s="828">
        <f t="shared" ca="1" si="476"/>
        <v>0</v>
      </c>
      <c r="M273" s="828">
        <f t="shared" ca="1" si="476"/>
        <v>0</v>
      </c>
      <c r="N273" s="828">
        <f t="shared" ca="1" si="476"/>
        <v>0</v>
      </c>
      <c r="O273" s="828">
        <f t="shared" ca="1" si="476"/>
        <v>0</v>
      </c>
      <c r="P273" s="828">
        <f ca="1">SUM(SUMIFS(OFFSET(貼付け_2024実績,$A273,11,1,199),OFFSET(貼付け_2024実績,4,9,1,199),{"横浜*","川崎*"}))</f>
        <v>0</v>
      </c>
      <c r="Q273" s="828">
        <f ca="1">SUM(SUMIFS(OFFSET(貼付け_2025実績,$A273,11,1,199),OFFSET(貼付け_2025実績,4,9,1,199),{"横浜*","川崎*"}))</f>
        <v>0</v>
      </c>
      <c r="R273" s="828">
        <f ca="1">SUM(SUMIFS(OFFSET(貼付け_2026実績,$A273,11,1,199),OFFSET(貼付け_2026実績,4,9,1,199),{"横浜*","川崎*"}))</f>
        <v>0</v>
      </c>
      <c r="S273" s="828">
        <f ca="1">SUM(SUMIFS(OFFSET(貼付け_2027実績,$A273,11,1,199),OFFSET(貼付け_2027実績,4,9,1,199),{"横浜*","川崎*"}))</f>
        <v>0</v>
      </c>
      <c r="T273" s="828">
        <f t="shared" ca="1" si="477"/>
        <v>0</v>
      </c>
      <c r="U273" s="828">
        <f t="shared" ca="1" si="477"/>
        <v>0</v>
      </c>
      <c r="V273" s="828">
        <f t="shared" ca="1" si="477"/>
        <v>0</v>
      </c>
      <c r="W273" s="828">
        <f t="shared" ca="1" si="477"/>
        <v>0</v>
      </c>
      <c r="X273" s="828">
        <f t="shared" ca="1" si="478"/>
        <v>0</v>
      </c>
      <c r="Y273" s="828">
        <f t="shared" ca="1" si="479"/>
        <v>0</v>
      </c>
      <c r="Z273" s="828">
        <f t="shared" ca="1" si="480"/>
        <v>0</v>
      </c>
      <c r="AA273" s="828">
        <f t="shared" ca="1" si="481"/>
        <v>0</v>
      </c>
      <c r="AB273" s="828" t="str">
        <f t="shared" ca="1" si="482"/>
        <v/>
      </c>
      <c r="AC273" s="828" t="str">
        <f t="shared" ca="1" si="483"/>
        <v/>
      </c>
      <c r="AD273" s="828" t="str">
        <f t="shared" ca="1" si="484"/>
        <v/>
      </c>
      <c r="AE273" s="828" t="str">
        <f t="shared" ca="1" si="485"/>
        <v/>
      </c>
      <c r="AF273" s="828" t="str">
        <f t="shared" ca="1" si="486"/>
        <v/>
      </c>
      <c r="AG273" s="828" t="str">
        <f t="shared" ca="1" si="487"/>
        <v/>
      </c>
      <c r="AH273" s="828" t="str">
        <f t="shared" ca="1" si="488"/>
        <v/>
      </c>
      <c r="AI273" s="828" t="str">
        <f t="shared" ca="1" si="489"/>
        <v/>
      </c>
      <c r="AJ273" s="828" t="str">
        <f t="shared" ca="1" si="490"/>
        <v/>
      </c>
      <c r="AK273" s="828" t="str">
        <f t="shared" ca="1" si="491"/>
        <v/>
      </c>
      <c r="AL273" s="828" t="str">
        <f t="shared" ca="1" si="492"/>
        <v/>
      </c>
      <c r="AM273" s="828" t="str">
        <f t="shared" ca="1" si="493"/>
        <v/>
      </c>
      <c r="AN273" s="828" t="str">
        <f t="shared" ca="1" si="494"/>
        <v/>
      </c>
      <c r="AO273" s="828" t="str">
        <f t="shared" ca="1" si="495"/>
        <v/>
      </c>
      <c r="AP273" s="828" t="str">
        <f t="shared" ca="1" si="496"/>
        <v/>
      </c>
      <c r="AQ273" s="828" t="str">
        <f t="shared" ca="1" si="497"/>
        <v/>
      </c>
      <c r="AR273" s="828" t="str">
        <f t="shared" ca="1" si="498"/>
        <v/>
      </c>
      <c r="AS273" s="828" t="str">
        <f t="shared" ca="1" si="499"/>
        <v/>
      </c>
      <c r="AT273" s="828" t="str">
        <f t="shared" ca="1" si="500"/>
        <v/>
      </c>
      <c r="AU273" s="828" t="str">
        <f t="shared" ca="1" si="501"/>
        <v/>
      </c>
      <c r="AV273" s="828" t="str">
        <f t="shared" ca="1" si="502"/>
        <v/>
      </c>
      <c r="AW273" s="828" t="str">
        <f t="shared" ca="1" si="503"/>
        <v/>
      </c>
      <c r="AX273" s="828" t="str">
        <f t="shared" ca="1" si="504"/>
        <v/>
      </c>
      <c r="AY273" s="828" t="str">
        <f t="shared" ca="1" si="505"/>
        <v/>
      </c>
      <c r="AZ273" s="828" t="str">
        <f t="shared" ca="1" si="506"/>
        <v/>
      </c>
      <c r="BA273" s="828" t="str">
        <f t="shared" ca="1" si="507"/>
        <v/>
      </c>
      <c r="BB273" s="828" t="str">
        <f t="shared" ca="1" si="508"/>
        <v/>
      </c>
      <c r="BC273" s="828" t="str">
        <f t="shared" ca="1" si="509"/>
        <v/>
      </c>
      <c r="BD273" s="828" t="str">
        <f t="shared" ca="1" si="510"/>
        <v/>
      </c>
      <c r="BE273" s="828" t="str">
        <f t="shared" ca="1" si="511"/>
        <v/>
      </c>
      <c r="BF273" s="828" t="str">
        <f t="shared" ca="1" si="512"/>
        <v/>
      </c>
      <c r="BG273" s="828" t="str">
        <f t="shared" ca="1" si="513"/>
        <v/>
      </c>
      <c r="BH273" s="828" t="str">
        <f t="shared" ca="1" si="514"/>
        <v/>
      </c>
      <c r="BI273" s="828" t="str">
        <f t="shared" ca="1" si="515"/>
        <v/>
      </c>
      <c r="BJ273" s="828" t="str">
        <f t="shared" ca="1" si="516"/>
        <v/>
      </c>
      <c r="BK273" s="828" t="str">
        <f t="shared" ca="1" si="517"/>
        <v/>
      </c>
      <c r="BL273" s="828" t="str">
        <f t="shared" ca="1" si="518"/>
        <v/>
      </c>
      <c r="BM273" s="828" t="str">
        <f t="shared" ca="1" si="519"/>
        <v/>
      </c>
      <c r="BN273" s="828" t="str">
        <f t="shared" ca="1" si="520"/>
        <v/>
      </c>
      <c r="BO273" s="828" t="str">
        <f t="shared" ca="1" si="521"/>
        <v/>
      </c>
    </row>
    <row r="274" spans="1:67" ht="20.100000000000001" customHeight="1">
      <c r="A274" s="823">
        <v>24</v>
      </c>
      <c r="B274" s="1870"/>
      <c r="C274" s="1872"/>
      <c r="D274" s="824" t="s">
        <v>4399</v>
      </c>
      <c r="E274" s="818"/>
      <c r="F274" s="825"/>
      <c r="G274" s="826" t="s">
        <v>3777</v>
      </c>
      <c r="H274" s="827">
        <f t="shared" ref="H274:K289" ca="1" si="522">H25</f>
        <v>28.9</v>
      </c>
      <c r="I274" s="827">
        <f t="shared" ca="1" si="522"/>
        <v>28.9</v>
      </c>
      <c r="J274" s="827">
        <f t="shared" ca="1" si="522"/>
        <v>28.9</v>
      </c>
      <c r="K274" s="827">
        <f t="shared" ca="1" si="522"/>
        <v>28.9</v>
      </c>
      <c r="L274" s="828">
        <f t="shared" ref="L274:O316" ca="1" si="523">P274+T274</f>
        <v>0</v>
      </c>
      <c r="M274" s="828">
        <f t="shared" ca="1" si="523"/>
        <v>0</v>
      </c>
      <c r="N274" s="828">
        <f t="shared" ca="1" si="523"/>
        <v>0</v>
      </c>
      <c r="O274" s="828">
        <f t="shared" ca="1" si="523"/>
        <v>0</v>
      </c>
      <c r="P274" s="828">
        <f ca="1">SUM(SUMIFS(OFFSET(貼付け_2024実績,$A274,11,1,199),OFFSET(貼付け_2024実績,4,9,1,199),{"横浜*","川崎*"}))</f>
        <v>0</v>
      </c>
      <c r="Q274" s="828">
        <f ca="1">SUM(SUMIFS(OFFSET(貼付け_2025実績,$A274,11,1,199),OFFSET(貼付け_2025実績,4,9,1,199),{"横浜*","川崎*"}))</f>
        <v>0</v>
      </c>
      <c r="R274" s="828">
        <f ca="1">SUM(SUMIFS(OFFSET(貼付け_2026実績,$A274,11,1,199),OFFSET(貼付け_2026実績,4,9,1,199),{"横浜*","川崎*"}))</f>
        <v>0</v>
      </c>
      <c r="S274" s="828">
        <f ca="1">SUM(SUMIFS(OFFSET(貼付け_2027実績,$A274,11,1,199),OFFSET(貼付け_2027実績,4,9,1,199),{"横浜*","川崎*"}))</f>
        <v>0</v>
      </c>
      <c r="T274" s="828">
        <f t="shared" ref="T274:W316" ca="1" si="524">SUM(X274,AB274,AF274,AJ274,AN274,AR274,AV274,AZ274,BD274,BH274,BL274)</f>
        <v>0</v>
      </c>
      <c r="U274" s="828">
        <f t="shared" ca="1" si="524"/>
        <v>0</v>
      </c>
      <c r="V274" s="828">
        <f t="shared" ca="1" si="524"/>
        <v>0</v>
      </c>
      <c r="W274" s="828">
        <f t="shared" ca="1" si="524"/>
        <v>0</v>
      </c>
      <c r="X274" s="828">
        <f t="shared" ca="1" si="478"/>
        <v>0</v>
      </c>
      <c r="Y274" s="828">
        <f t="shared" ca="1" si="479"/>
        <v>0</v>
      </c>
      <c r="Z274" s="828">
        <f t="shared" ca="1" si="480"/>
        <v>0</v>
      </c>
      <c r="AA274" s="828">
        <f t="shared" ca="1" si="481"/>
        <v>0</v>
      </c>
      <c r="AB274" s="828" t="str">
        <f t="shared" ca="1" si="482"/>
        <v/>
      </c>
      <c r="AC274" s="828" t="str">
        <f t="shared" ca="1" si="483"/>
        <v/>
      </c>
      <c r="AD274" s="828" t="str">
        <f t="shared" ca="1" si="484"/>
        <v/>
      </c>
      <c r="AE274" s="828" t="str">
        <f t="shared" ca="1" si="485"/>
        <v/>
      </c>
      <c r="AF274" s="828" t="str">
        <f t="shared" ca="1" si="486"/>
        <v/>
      </c>
      <c r="AG274" s="828" t="str">
        <f t="shared" ca="1" si="487"/>
        <v/>
      </c>
      <c r="AH274" s="828" t="str">
        <f t="shared" ca="1" si="488"/>
        <v/>
      </c>
      <c r="AI274" s="828" t="str">
        <f t="shared" ca="1" si="489"/>
        <v/>
      </c>
      <c r="AJ274" s="828" t="str">
        <f t="shared" ca="1" si="490"/>
        <v/>
      </c>
      <c r="AK274" s="828" t="str">
        <f t="shared" ca="1" si="491"/>
        <v/>
      </c>
      <c r="AL274" s="828" t="str">
        <f t="shared" ca="1" si="492"/>
        <v/>
      </c>
      <c r="AM274" s="828" t="str">
        <f t="shared" ca="1" si="493"/>
        <v/>
      </c>
      <c r="AN274" s="828" t="str">
        <f t="shared" ca="1" si="494"/>
        <v/>
      </c>
      <c r="AO274" s="828" t="str">
        <f t="shared" ca="1" si="495"/>
        <v/>
      </c>
      <c r="AP274" s="828" t="str">
        <f t="shared" ca="1" si="496"/>
        <v/>
      </c>
      <c r="AQ274" s="828" t="str">
        <f t="shared" ca="1" si="497"/>
        <v/>
      </c>
      <c r="AR274" s="828" t="str">
        <f t="shared" ca="1" si="498"/>
        <v/>
      </c>
      <c r="AS274" s="828" t="str">
        <f t="shared" ca="1" si="499"/>
        <v/>
      </c>
      <c r="AT274" s="828" t="str">
        <f t="shared" ca="1" si="500"/>
        <v/>
      </c>
      <c r="AU274" s="828" t="str">
        <f t="shared" ca="1" si="501"/>
        <v/>
      </c>
      <c r="AV274" s="828" t="str">
        <f t="shared" ca="1" si="502"/>
        <v/>
      </c>
      <c r="AW274" s="828" t="str">
        <f t="shared" ca="1" si="503"/>
        <v/>
      </c>
      <c r="AX274" s="828" t="str">
        <f t="shared" ca="1" si="504"/>
        <v/>
      </c>
      <c r="AY274" s="828" t="str">
        <f t="shared" ca="1" si="505"/>
        <v/>
      </c>
      <c r="AZ274" s="828" t="str">
        <f t="shared" ca="1" si="506"/>
        <v/>
      </c>
      <c r="BA274" s="828" t="str">
        <f t="shared" ca="1" si="507"/>
        <v/>
      </c>
      <c r="BB274" s="828" t="str">
        <f t="shared" ca="1" si="508"/>
        <v/>
      </c>
      <c r="BC274" s="828" t="str">
        <f t="shared" ca="1" si="509"/>
        <v/>
      </c>
      <c r="BD274" s="828" t="str">
        <f t="shared" ca="1" si="510"/>
        <v/>
      </c>
      <c r="BE274" s="828" t="str">
        <f t="shared" ca="1" si="511"/>
        <v/>
      </c>
      <c r="BF274" s="828" t="str">
        <f t="shared" ca="1" si="512"/>
        <v/>
      </c>
      <c r="BG274" s="828" t="str">
        <f t="shared" ca="1" si="513"/>
        <v/>
      </c>
      <c r="BH274" s="828" t="str">
        <f t="shared" ca="1" si="514"/>
        <v/>
      </c>
      <c r="BI274" s="828" t="str">
        <f t="shared" ca="1" si="515"/>
        <v/>
      </c>
      <c r="BJ274" s="828" t="str">
        <f t="shared" ca="1" si="516"/>
        <v/>
      </c>
      <c r="BK274" s="828" t="str">
        <f t="shared" ca="1" si="517"/>
        <v/>
      </c>
      <c r="BL274" s="828" t="str">
        <f t="shared" ca="1" si="518"/>
        <v/>
      </c>
      <c r="BM274" s="828" t="str">
        <f t="shared" ca="1" si="519"/>
        <v/>
      </c>
      <c r="BN274" s="828" t="str">
        <f t="shared" ca="1" si="520"/>
        <v/>
      </c>
      <c r="BO274" s="828" t="str">
        <f t="shared" ca="1" si="521"/>
        <v/>
      </c>
    </row>
    <row r="275" spans="1:67" ht="20.100000000000001" customHeight="1">
      <c r="A275" s="823">
        <v>25</v>
      </c>
      <c r="B275" s="1870"/>
      <c r="C275" s="1872"/>
      <c r="D275" s="824" t="s">
        <v>4400</v>
      </c>
      <c r="E275" s="824"/>
      <c r="F275" s="825"/>
      <c r="G275" s="826" t="s">
        <v>3777</v>
      </c>
      <c r="H275" s="827">
        <f t="shared" ca="1" si="522"/>
        <v>28.3</v>
      </c>
      <c r="I275" s="827">
        <f t="shared" ca="1" si="522"/>
        <v>28.3</v>
      </c>
      <c r="J275" s="827">
        <f t="shared" ca="1" si="522"/>
        <v>28.3</v>
      </c>
      <c r="K275" s="827">
        <f t="shared" ca="1" si="522"/>
        <v>28.3</v>
      </c>
      <c r="L275" s="828">
        <f t="shared" ca="1" si="523"/>
        <v>0</v>
      </c>
      <c r="M275" s="828">
        <f t="shared" ca="1" si="523"/>
        <v>0</v>
      </c>
      <c r="N275" s="828">
        <f t="shared" ca="1" si="523"/>
        <v>0</v>
      </c>
      <c r="O275" s="828">
        <f t="shared" ca="1" si="523"/>
        <v>0</v>
      </c>
      <c r="P275" s="828">
        <f ca="1">SUM(SUMIFS(OFFSET(貼付け_2024実績,$A275,11,1,199),OFFSET(貼付け_2024実績,4,9,1,199),{"横浜*","川崎*"}))</f>
        <v>0</v>
      </c>
      <c r="Q275" s="828">
        <f ca="1">SUM(SUMIFS(OFFSET(貼付け_2025実績,$A275,11,1,199),OFFSET(貼付け_2025実績,4,9,1,199),{"横浜*","川崎*"}))</f>
        <v>0</v>
      </c>
      <c r="R275" s="828">
        <f ca="1">SUM(SUMIFS(OFFSET(貼付け_2026実績,$A275,11,1,199),OFFSET(貼付け_2026実績,4,9,1,199),{"横浜*","川崎*"}))</f>
        <v>0</v>
      </c>
      <c r="S275" s="828">
        <f ca="1">SUM(SUMIFS(OFFSET(貼付け_2027実績,$A275,11,1,199),OFFSET(貼付け_2027実績,4,9,1,199),{"横浜*","川崎*"}))</f>
        <v>0</v>
      </c>
      <c r="T275" s="828">
        <f t="shared" ca="1" si="524"/>
        <v>0</v>
      </c>
      <c r="U275" s="828">
        <f t="shared" ca="1" si="524"/>
        <v>0</v>
      </c>
      <c r="V275" s="828">
        <f t="shared" ca="1" si="524"/>
        <v>0</v>
      </c>
      <c r="W275" s="828">
        <f t="shared" ca="1" si="524"/>
        <v>0</v>
      </c>
      <c r="X275" s="828">
        <f t="shared" ca="1" si="478"/>
        <v>0</v>
      </c>
      <c r="Y275" s="828">
        <f t="shared" ca="1" si="479"/>
        <v>0</v>
      </c>
      <c r="Z275" s="828">
        <f t="shared" ca="1" si="480"/>
        <v>0</v>
      </c>
      <c r="AA275" s="828">
        <f t="shared" ca="1" si="481"/>
        <v>0</v>
      </c>
      <c r="AB275" s="828" t="str">
        <f t="shared" ca="1" si="482"/>
        <v/>
      </c>
      <c r="AC275" s="828" t="str">
        <f t="shared" ca="1" si="483"/>
        <v/>
      </c>
      <c r="AD275" s="828" t="str">
        <f t="shared" ca="1" si="484"/>
        <v/>
      </c>
      <c r="AE275" s="828" t="str">
        <f t="shared" ca="1" si="485"/>
        <v/>
      </c>
      <c r="AF275" s="828" t="str">
        <f t="shared" ca="1" si="486"/>
        <v/>
      </c>
      <c r="AG275" s="828" t="str">
        <f t="shared" ca="1" si="487"/>
        <v/>
      </c>
      <c r="AH275" s="828" t="str">
        <f t="shared" ca="1" si="488"/>
        <v/>
      </c>
      <c r="AI275" s="828" t="str">
        <f t="shared" ca="1" si="489"/>
        <v/>
      </c>
      <c r="AJ275" s="828" t="str">
        <f t="shared" ca="1" si="490"/>
        <v/>
      </c>
      <c r="AK275" s="828" t="str">
        <f t="shared" ca="1" si="491"/>
        <v/>
      </c>
      <c r="AL275" s="828" t="str">
        <f t="shared" ca="1" si="492"/>
        <v/>
      </c>
      <c r="AM275" s="828" t="str">
        <f t="shared" ca="1" si="493"/>
        <v/>
      </c>
      <c r="AN275" s="828" t="str">
        <f t="shared" ca="1" si="494"/>
        <v/>
      </c>
      <c r="AO275" s="828" t="str">
        <f t="shared" ca="1" si="495"/>
        <v/>
      </c>
      <c r="AP275" s="828" t="str">
        <f t="shared" ca="1" si="496"/>
        <v/>
      </c>
      <c r="AQ275" s="828" t="str">
        <f t="shared" ca="1" si="497"/>
        <v/>
      </c>
      <c r="AR275" s="828" t="str">
        <f t="shared" ca="1" si="498"/>
        <v/>
      </c>
      <c r="AS275" s="828" t="str">
        <f t="shared" ca="1" si="499"/>
        <v/>
      </c>
      <c r="AT275" s="828" t="str">
        <f t="shared" ca="1" si="500"/>
        <v/>
      </c>
      <c r="AU275" s="828" t="str">
        <f t="shared" ca="1" si="501"/>
        <v/>
      </c>
      <c r="AV275" s="828" t="str">
        <f t="shared" ca="1" si="502"/>
        <v/>
      </c>
      <c r="AW275" s="828" t="str">
        <f t="shared" ca="1" si="503"/>
        <v/>
      </c>
      <c r="AX275" s="828" t="str">
        <f t="shared" ca="1" si="504"/>
        <v/>
      </c>
      <c r="AY275" s="828" t="str">
        <f t="shared" ca="1" si="505"/>
        <v/>
      </c>
      <c r="AZ275" s="828" t="str">
        <f t="shared" ca="1" si="506"/>
        <v/>
      </c>
      <c r="BA275" s="828" t="str">
        <f t="shared" ca="1" si="507"/>
        <v/>
      </c>
      <c r="BB275" s="828" t="str">
        <f t="shared" ca="1" si="508"/>
        <v/>
      </c>
      <c r="BC275" s="828" t="str">
        <f t="shared" ca="1" si="509"/>
        <v/>
      </c>
      <c r="BD275" s="828" t="str">
        <f t="shared" ca="1" si="510"/>
        <v/>
      </c>
      <c r="BE275" s="828" t="str">
        <f t="shared" ca="1" si="511"/>
        <v/>
      </c>
      <c r="BF275" s="828" t="str">
        <f t="shared" ca="1" si="512"/>
        <v/>
      </c>
      <c r="BG275" s="828" t="str">
        <f t="shared" ca="1" si="513"/>
        <v/>
      </c>
      <c r="BH275" s="828" t="str">
        <f t="shared" ca="1" si="514"/>
        <v/>
      </c>
      <c r="BI275" s="828" t="str">
        <f t="shared" ca="1" si="515"/>
        <v/>
      </c>
      <c r="BJ275" s="828" t="str">
        <f t="shared" ca="1" si="516"/>
        <v/>
      </c>
      <c r="BK275" s="828" t="str">
        <f t="shared" ca="1" si="517"/>
        <v/>
      </c>
      <c r="BL275" s="828" t="str">
        <f t="shared" ca="1" si="518"/>
        <v/>
      </c>
      <c r="BM275" s="828" t="str">
        <f t="shared" ca="1" si="519"/>
        <v/>
      </c>
      <c r="BN275" s="828" t="str">
        <f t="shared" ca="1" si="520"/>
        <v/>
      </c>
      <c r="BO275" s="828" t="str">
        <f t="shared" ca="1" si="521"/>
        <v/>
      </c>
    </row>
    <row r="276" spans="1:67" ht="20.100000000000001" customHeight="1">
      <c r="A276" s="823">
        <v>26</v>
      </c>
      <c r="B276" s="1870"/>
      <c r="C276" s="1872"/>
      <c r="D276" s="824" t="s">
        <v>4401</v>
      </c>
      <c r="E276" s="824"/>
      <c r="F276" s="825"/>
      <c r="G276" s="826" t="s">
        <v>3777</v>
      </c>
      <c r="H276" s="827">
        <f t="shared" ca="1" si="522"/>
        <v>26.1</v>
      </c>
      <c r="I276" s="827">
        <f t="shared" ca="1" si="522"/>
        <v>26.1</v>
      </c>
      <c r="J276" s="827">
        <f t="shared" ca="1" si="522"/>
        <v>26.1</v>
      </c>
      <c r="K276" s="827">
        <f t="shared" ca="1" si="522"/>
        <v>26.1</v>
      </c>
      <c r="L276" s="828">
        <f t="shared" ca="1" si="523"/>
        <v>0</v>
      </c>
      <c r="M276" s="828">
        <f t="shared" ca="1" si="523"/>
        <v>0</v>
      </c>
      <c r="N276" s="828">
        <f t="shared" ca="1" si="523"/>
        <v>0</v>
      </c>
      <c r="O276" s="828">
        <f t="shared" ca="1" si="523"/>
        <v>0</v>
      </c>
      <c r="P276" s="828">
        <f ca="1">SUM(SUMIFS(OFFSET(貼付け_2024実績,$A276,11,1,199),OFFSET(貼付け_2024実績,4,9,1,199),{"横浜*","川崎*"}))</f>
        <v>0</v>
      </c>
      <c r="Q276" s="828">
        <f ca="1">SUM(SUMIFS(OFFSET(貼付け_2025実績,$A276,11,1,199),OFFSET(貼付け_2025実績,4,9,1,199),{"横浜*","川崎*"}))</f>
        <v>0</v>
      </c>
      <c r="R276" s="828">
        <f ca="1">SUM(SUMIFS(OFFSET(貼付け_2026実績,$A276,11,1,199),OFFSET(貼付け_2026実績,4,9,1,199),{"横浜*","川崎*"}))</f>
        <v>0</v>
      </c>
      <c r="S276" s="828">
        <f ca="1">SUM(SUMIFS(OFFSET(貼付け_2027実績,$A276,11,1,199),OFFSET(貼付け_2027実績,4,9,1,199),{"横浜*","川崎*"}))</f>
        <v>0</v>
      </c>
      <c r="T276" s="828">
        <f t="shared" ca="1" si="524"/>
        <v>0</v>
      </c>
      <c r="U276" s="828">
        <f t="shared" ca="1" si="524"/>
        <v>0</v>
      </c>
      <c r="V276" s="828">
        <f t="shared" ca="1" si="524"/>
        <v>0</v>
      </c>
      <c r="W276" s="828">
        <f t="shared" ca="1" si="524"/>
        <v>0</v>
      </c>
      <c r="X276" s="828">
        <f t="shared" ca="1" si="478"/>
        <v>0</v>
      </c>
      <c r="Y276" s="828">
        <f t="shared" ca="1" si="479"/>
        <v>0</v>
      </c>
      <c r="Z276" s="828">
        <f t="shared" ca="1" si="480"/>
        <v>0</v>
      </c>
      <c r="AA276" s="828">
        <f t="shared" ca="1" si="481"/>
        <v>0</v>
      </c>
      <c r="AB276" s="828" t="str">
        <f t="shared" ca="1" si="482"/>
        <v/>
      </c>
      <c r="AC276" s="828" t="str">
        <f t="shared" ca="1" si="483"/>
        <v/>
      </c>
      <c r="AD276" s="828" t="str">
        <f t="shared" ca="1" si="484"/>
        <v/>
      </c>
      <c r="AE276" s="828" t="str">
        <f t="shared" ca="1" si="485"/>
        <v/>
      </c>
      <c r="AF276" s="828" t="str">
        <f t="shared" ca="1" si="486"/>
        <v/>
      </c>
      <c r="AG276" s="828" t="str">
        <f t="shared" ca="1" si="487"/>
        <v/>
      </c>
      <c r="AH276" s="828" t="str">
        <f t="shared" ca="1" si="488"/>
        <v/>
      </c>
      <c r="AI276" s="828" t="str">
        <f t="shared" ca="1" si="489"/>
        <v/>
      </c>
      <c r="AJ276" s="828" t="str">
        <f t="shared" ca="1" si="490"/>
        <v/>
      </c>
      <c r="AK276" s="828" t="str">
        <f t="shared" ca="1" si="491"/>
        <v/>
      </c>
      <c r="AL276" s="828" t="str">
        <f t="shared" ca="1" si="492"/>
        <v/>
      </c>
      <c r="AM276" s="828" t="str">
        <f t="shared" ca="1" si="493"/>
        <v/>
      </c>
      <c r="AN276" s="828" t="str">
        <f t="shared" ca="1" si="494"/>
        <v/>
      </c>
      <c r="AO276" s="828" t="str">
        <f t="shared" ca="1" si="495"/>
        <v/>
      </c>
      <c r="AP276" s="828" t="str">
        <f t="shared" ca="1" si="496"/>
        <v/>
      </c>
      <c r="AQ276" s="828" t="str">
        <f t="shared" ca="1" si="497"/>
        <v/>
      </c>
      <c r="AR276" s="828" t="str">
        <f t="shared" ca="1" si="498"/>
        <v/>
      </c>
      <c r="AS276" s="828" t="str">
        <f t="shared" ca="1" si="499"/>
        <v/>
      </c>
      <c r="AT276" s="828" t="str">
        <f t="shared" ca="1" si="500"/>
        <v/>
      </c>
      <c r="AU276" s="828" t="str">
        <f t="shared" ca="1" si="501"/>
        <v/>
      </c>
      <c r="AV276" s="828" t="str">
        <f t="shared" ca="1" si="502"/>
        <v/>
      </c>
      <c r="AW276" s="828" t="str">
        <f t="shared" ca="1" si="503"/>
        <v/>
      </c>
      <c r="AX276" s="828" t="str">
        <f t="shared" ca="1" si="504"/>
        <v/>
      </c>
      <c r="AY276" s="828" t="str">
        <f t="shared" ca="1" si="505"/>
        <v/>
      </c>
      <c r="AZ276" s="828" t="str">
        <f t="shared" ca="1" si="506"/>
        <v/>
      </c>
      <c r="BA276" s="828" t="str">
        <f t="shared" ca="1" si="507"/>
        <v/>
      </c>
      <c r="BB276" s="828" t="str">
        <f t="shared" ca="1" si="508"/>
        <v/>
      </c>
      <c r="BC276" s="828" t="str">
        <f t="shared" ca="1" si="509"/>
        <v/>
      </c>
      <c r="BD276" s="828" t="str">
        <f t="shared" ca="1" si="510"/>
        <v/>
      </c>
      <c r="BE276" s="828" t="str">
        <f t="shared" ca="1" si="511"/>
        <v/>
      </c>
      <c r="BF276" s="828" t="str">
        <f t="shared" ca="1" si="512"/>
        <v/>
      </c>
      <c r="BG276" s="828" t="str">
        <f t="shared" ca="1" si="513"/>
        <v/>
      </c>
      <c r="BH276" s="828" t="str">
        <f t="shared" ca="1" si="514"/>
        <v/>
      </c>
      <c r="BI276" s="828" t="str">
        <f t="shared" ca="1" si="515"/>
        <v/>
      </c>
      <c r="BJ276" s="828" t="str">
        <f t="shared" ca="1" si="516"/>
        <v/>
      </c>
      <c r="BK276" s="828" t="str">
        <f t="shared" ca="1" si="517"/>
        <v/>
      </c>
      <c r="BL276" s="828" t="str">
        <f t="shared" ca="1" si="518"/>
        <v/>
      </c>
      <c r="BM276" s="828" t="str">
        <f t="shared" ca="1" si="519"/>
        <v/>
      </c>
      <c r="BN276" s="828" t="str">
        <f t="shared" ca="1" si="520"/>
        <v/>
      </c>
      <c r="BO276" s="828" t="str">
        <f t="shared" ca="1" si="521"/>
        <v/>
      </c>
    </row>
    <row r="277" spans="1:67" ht="20.100000000000001" customHeight="1">
      <c r="A277" s="823">
        <v>27</v>
      </c>
      <c r="B277" s="1870"/>
      <c r="C277" s="1872"/>
      <c r="D277" s="824" t="s">
        <v>4402</v>
      </c>
      <c r="E277" s="824"/>
      <c r="F277" s="825"/>
      <c r="G277" s="826" t="s">
        <v>3777</v>
      </c>
      <c r="H277" s="827">
        <f t="shared" ca="1" si="522"/>
        <v>24.2</v>
      </c>
      <c r="I277" s="827">
        <f t="shared" ca="1" si="522"/>
        <v>24.2</v>
      </c>
      <c r="J277" s="827">
        <f t="shared" ca="1" si="522"/>
        <v>24.2</v>
      </c>
      <c r="K277" s="827">
        <f t="shared" ca="1" si="522"/>
        <v>24.2</v>
      </c>
      <c r="L277" s="828">
        <f t="shared" ca="1" si="523"/>
        <v>0</v>
      </c>
      <c r="M277" s="828">
        <f t="shared" ca="1" si="523"/>
        <v>0</v>
      </c>
      <c r="N277" s="828">
        <f t="shared" ca="1" si="523"/>
        <v>0</v>
      </c>
      <c r="O277" s="828">
        <f t="shared" ca="1" si="523"/>
        <v>0</v>
      </c>
      <c r="P277" s="828">
        <f ca="1">SUM(SUMIFS(OFFSET(貼付け_2024実績,$A277,11,1,199),OFFSET(貼付け_2024実績,4,9,1,199),{"横浜*","川崎*"}))</f>
        <v>0</v>
      </c>
      <c r="Q277" s="828">
        <f ca="1">SUM(SUMIFS(OFFSET(貼付け_2025実績,$A277,11,1,199),OFFSET(貼付け_2025実績,4,9,1,199),{"横浜*","川崎*"}))</f>
        <v>0</v>
      </c>
      <c r="R277" s="828">
        <f ca="1">SUM(SUMIFS(OFFSET(貼付け_2026実績,$A277,11,1,199),OFFSET(貼付け_2026実績,4,9,1,199),{"横浜*","川崎*"}))</f>
        <v>0</v>
      </c>
      <c r="S277" s="828">
        <f ca="1">SUM(SUMIFS(OFFSET(貼付け_2027実績,$A277,11,1,199),OFFSET(貼付け_2027実績,4,9,1,199),{"横浜*","川崎*"}))</f>
        <v>0</v>
      </c>
      <c r="T277" s="828">
        <f t="shared" ca="1" si="524"/>
        <v>0</v>
      </c>
      <c r="U277" s="828">
        <f t="shared" ca="1" si="524"/>
        <v>0</v>
      </c>
      <c r="V277" s="828">
        <f t="shared" ca="1" si="524"/>
        <v>0</v>
      </c>
      <c r="W277" s="828">
        <f t="shared" ca="1" si="524"/>
        <v>0</v>
      </c>
      <c r="X277" s="828">
        <f t="shared" ca="1" si="478"/>
        <v>0</v>
      </c>
      <c r="Y277" s="828">
        <f t="shared" ca="1" si="479"/>
        <v>0</v>
      </c>
      <c r="Z277" s="828">
        <f t="shared" ca="1" si="480"/>
        <v>0</v>
      </c>
      <c r="AA277" s="828">
        <f t="shared" ca="1" si="481"/>
        <v>0</v>
      </c>
      <c r="AB277" s="828" t="str">
        <f t="shared" ca="1" si="482"/>
        <v/>
      </c>
      <c r="AC277" s="828" t="str">
        <f t="shared" ca="1" si="483"/>
        <v/>
      </c>
      <c r="AD277" s="828" t="str">
        <f t="shared" ca="1" si="484"/>
        <v/>
      </c>
      <c r="AE277" s="828" t="str">
        <f t="shared" ca="1" si="485"/>
        <v/>
      </c>
      <c r="AF277" s="828" t="str">
        <f t="shared" ca="1" si="486"/>
        <v/>
      </c>
      <c r="AG277" s="828" t="str">
        <f t="shared" ca="1" si="487"/>
        <v/>
      </c>
      <c r="AH277" s="828" t="str">
        <f t="shared" ca="1" si="488"/>
        <v/>
      </c>
      <c r="AI277" s="828" t="str">
        <f t="shared" ca="1" si="489"/>
        <v/>
      </c>
      <c r="AJ277" s="828" t="str">
        <f t="shared" ca="1" si="490"/>
        <v/>
      </c>
      <c r="AK277" s="828" t="str">
        <f t="shared" ca="1" si="491"/>
        <v/>
      </c>
      <c r="AL277" s="828" t="str">
        <f t="shared" ca="1" si="492"/>
        <v/>
      </c>
      <c r="AM277" s="828" t="str">
        <f t="shared" ca="1" si="493"/>
        <v/>
      </c>
      <c r="AN277" s="828" t="str">
        <f t="shared" ca="1" si="494"/>
        <v/>
      </c>
      <c r="AO277" s="828" t="str">
        <f t="shared" ca="1" si="495"/>
        <v/>
      </c>
      <c r="AP277" s="828" t="str">
        <f t="shared" ca="1" si="496"/>
        <v/>
      </c>
      <c r="AQ277" s="828" t="str">
        <f t="shared" ca="1" si="497"/>
        <v/>
      </c>
      <c r="AR277" s="828" t="str">
        <f t="shared" ca="1" si="498"/>
        <v/>
      </c>
      <c r="AS277" s="828" t="str">
        <f t="shared" ca="1" si="499"/>
        <v/>
      </c>
      <c r="AT277" s="828" t="str">
        <f t="shared" ca="1" si="500"/>
        <v/>
      </c>
      <c r="AU277" s="828" t="str">
        <f t="shared" ca="1" si="501"/>
        <v/>
      </c>
      <c r="AV277" s="828" t="str">
        <f t="shared" ca="1" si="502"/>
        <v/>
      </c>
      <c r="AW277" s="828" t="str">
        <f t="shared" ca="1" si="503"/>
        <v/>
      </c>
      <c r="AX277" s="828" t="str">
        <f t="shared" ca="1" si="504"/>
        <v/>
      </c>
      <c r="AY277" s="828" t="str">
        <f t="shared" ca="1" si="505"/>
        <v/>
      </c>
      <c r="AZ277" s="828" t="str">
        <f t="shared" ca="1" si="506"/>
        <v/>
      </c>
      <c r="BA277" s="828" t="str">
        <f t="shared" ca="1" si="507"/>
        <v/>
      </c>
      <c r="BB277" s="828" t="str">
        <f t="shared" ca="1" si="508"/>
        <v/>
      </c>
      <c r="BC277" s="828" t="str">
        <f t="shared" ca="1" si="509"/>
        <v/>
      </c>
      <c r="BD277" s="828" t="str">
        <f t="shared" ca="1" si="510"/>
        <v/>
      </c>
      <c r="BE277" s="828" t="str">
        <f t="shared" ca="1" si="511"/>
        <v/>
      </c>
      <c r="BF277" s="828" t="str">
        <f t="shared" ca="1" si="512"/>
        <v/>
      </c>
      <c r="BG277" s="828" t="str">
        <f t="shared" ca="1" si="513"/>
        <v/>
      </c>
      <c r="BH277" s="828" t="str">
        <f t="shared" ca="1" si="514"/>
        <v/>
      </c>
      <c r="BI277" s="828" t="str">
        <f t="shared" ca="1" si="515"/>
        <v/>
      </c>
      <c r="BJ277" s="828" t="str">
        <f t="shared" ca="1" si="516"/>
        <v/>
      </c>
      <c r="BK277" s="828" t="str">
        <f t="shared" ca="1" si="517"/>
        <v/>
      </c>
      <c r="BL277" s="828" t="str">
        <f t="shared" ca="1" si="518"/>
        <v/>
      </c>
      <c r="BM277" s="828" t="str">
        <f t="shared" ca="1" si="519"/>
        <v/>
      </c>
      <c r="BN277" s="828" t="str">
        <f t="shared" ca="1" si="520"/>
        <v/>
      </c>
      <c r="BO277" s="828" t="str">
        <f t="shared" ca="1" si="521"/>
        <v/>
      </c>
    </row>
    <row r="278" spans="1:67" ht="20.100000000000001" customHeight="1">
      <c r="A278" s="823">
        <v>28</v>
      </c>
      <c r="B278" s="1870"/>
      <c r="C278" s="1872"/>
      <c r="D278" s="824" t="s">
        <v>4403</v>
      </c>
      <c r="E278" s="824"/>
      <c r="F278" s="825"/>
      <c r="G278" s="826" t="s">
        <v>3777</v>
      </c>
      <c r="H278" s="827">
        <f t="shared" ca="1" si="522"/>
        <v>27.8</v>
      </c>
      <c r="I278" s="827">
        <f t="shared" ca="1" si="522"/>
        <v>27.8</v>
      </c>
      <c r="J278" s="827">
        <f t="shared" ca="1" si="522"/>
        <v>27.8</v>
      </c>
      <c r="K278" s="827">
        <f t="shared" ca="1" si="522"/>
        <v>27.8</v>
      </c>
      <c r="L278" s="828">
        <f t="shared" ca="1" si="523"/>
        <v>0</v>
      </c>
      <c r="M278" s="828">
        <f t="shared" ca="1" si="523"/>
        <v>0</v>
      </c>
      <c r="N278" s="828">
        <f t="shared" ca="1" si="523"/>
        <v>0</v>
      </c>
      <c r="O278" s="828">
        <f t="shared" ca="1" si="523"/>
        <v>0</v>
      </c>
      <c r="P278" s="828">
        <f ca="1">SUM(SUMIFS(OFFSET(貼付け_2024実績,$A278,11,1,199),OFFSET(貼付け_2024実績,4,9,1,199),{"横浜*","川崎*"}))</f>
        <v>0</v>
      </c>
      <c r="Q278" s="828">
        <f ca="1">SUM(SUMIFS(OFFSET(貼付け_2025実績,$A278,11,1,199),OFFSET(貼付け_2025実績,4,9,1,199),{"横浜*","川崎*"}))</f>
        <v>0</v>
      </c>
      <c r="R278" s="828">
        <f ca="1">SUM(SUMIFS(OFFSET(貼付け_2026実績,$A278,11,1,199),OFFSET(貼付け_2026実績,4,9,1,199),{"横浜*","川崎*"}))</f>
        <v>0</v>
      </c>
      <c r="S278" s="828">
        <f ca="1">SUM(SUMIFS(OFFSET(貼付け_2027実績,$A278,11,1,199),OFFSET(貼付け_2027実績,4,9,1,199),{"横浜*","川崎*"}))</f>
        <v>0</v>
      </c>
      <c r="T278" s="828">
        <f t="shared" ca="1" si="524"/>
        <v>0</v>
      </c>
      <c r="U278" s="828">
        <f t="shared" ca="1" si="524"/>
        <v>0</v>
      </c>
      <c r="V278" s="828">
        <f t="shared" ca="1" si="524"/>
        <v>0</v>
      </c>
      <c r="W278" s="828">
        <f t="shared" ca="1" si="524"/>
        <v>0</v>
      </c>
      <c r="X278" s="828">
        <f t="shared" ca="1" si="478"/>
        <v>0</v>
      </c>
      <c r="Y278" s="828">
        <f t="shared" ca="1" si="479"/>
        <v>0</v>
      </c>
      <c r="Z278" s="828">
        <f t="shared" ca="1" si="480"/>
        <v>0</v>
      </c>
      <c r="AA278" s="828">
        <f t="shared" ca="1" si="481"/>
        <v>0</v>
      </c>
      <c r="AB278" s="828" t="str">
        <f t="shared" ca="1" si="482"/>
        <v/>
      </c>
      <c r="AC278" s="828" t="str">
        <f t="shared" ca="1" si="483"/>
        <v/>
      </c>
      <c r="AD278" s="828" t="str">
        <f t="shared" ca="1" si="484"/>
        <v/>
      </c>
      <c r="AE278" s="828" t="str">
        <f t="shared" ca="1" si="485"/>
        <v/>
      </c>
      <c r="AF278" s="828" t="str">
        <f t="shared" ca="1" si="486"/>
        <v/>
      </c>
      <c r="AG278" s="828" t="str">
        <f t="shared" ca="1" si="487"/>
        <v/>
      </c>
      <c r="AH278" s="828" t="str">
        <f t="shared" ca="1" si="488"/>
        <v/>
      </c>
      <c r="AI278" s="828" t="str">
        <f t="shared" ca="1" si="489"/>
        <v/>
      </c>
      <c r="AJ278" s="828" t="str">
        <f t="shared" ca="1" si="490"/>
        <v/>
      </c>
      <c r="AK278" s="828" t="str">
        <f t="shared" ca="1" si="491"/>
        <v/>
      </c>
      <c r="AL278" s="828" t="str">
        <f t="shared" ca="1" si="492"/>
        <v/>
      </c>
      <c r="AM278" s="828" t="str">
        <f t="shared" ca="1" si="493"/>
        <v/>
      </c>
      <c r="AN278" s="828" t="str">
        <f t="shared" ca="1" si="494"/>
        <v/>
      </c>
      <c r="AO278" s="828" t="str">
        <f t="shared" ca="1" si="495"/>
        <v/>
      </c>
      <c r="AP278" s="828" t="str">
        <f t="shared" ca="1" si="496"/>
        <v/>
      </c>
      <c r="AQ278" s="828" t="str">
        <f t="shared" ca="1" si="497"/>
        <v/>
      </c>
      <c r="AR278" s="828" t="str">
        <f t="shared" ca="1" si="498"/>
        <v/>
      </c>
      <c r="AS278" s="828" t="str">
        <f t="shared" ca="1" si="499"/>
        <v/>
      </c>
      <c r="AT278" s="828" t="str">
        <f t="shared" ca="1" si="500"/>
        <v/>
      </c>
      <c r="AU278" s="828" t="str">
        <f t="shared" ca="1" si="501"/>
        <v/>
      </c>
      <c r="AV278" s="828" t="str">
        <f t="shared" ca="1" si="502"/>
        <v/>
      </c>
      <c r="AW278" s="828" t="str">
        <f t="shared" ca="1" si="503"/>
        <v/>
      </c>
      <c r="AX278" s="828" t="str">
        <f t="shared" ca="1" si="504"/>
        <v/>
      </c>
      <c r="AY278" s="828" t="str">
        <f t="shared" ca="1" si="505"/>
        <v/>
      </c>
      <c r="AZ278" s="828" t="str">
        <f t="shared" ca="1" si="506"/>
        <v/>
      </c>
      <c r="BA278" s="828" t="str">
        <f t="shared" ca="1" si="507"/>
        <v/>
      </c>
      <c r="BB278" s="828" t="str">
        <f t="shared" ca="1" si="508"/>
        <v/>
      </c>
      <c r="BC278" s="828" t="str">
        <f t="shared" ca="1" si="509"/>
        <v/>
      </c>
      <c r="BD278" s="828" t="str">
        <f t="shared" ca="1" si="510"/>
        <v/>
      </c>
      <c r="BE278" s="828" t="str">
        <f t="shared" ca="1" si="511"/>
        <v/>
      </c>
      <c r="BF278" s="828" t="str">
        <f t="shared" ca="1" si="512"/>
        <v/>
      </c>
      <c r="BG278" s="828" t="str">
        <f t="shared" ca="1" si="513"/>
        <v/>
      </c>
      <c r="BH278" s="828" t="str">
        <f t="shared" ca="1" si="514"/>
        <v/>
      </c>
      <c r="BI278" s="828" t="str">
        <f t="shared" ca="1" si="515"/>
        <v/>
      </c>
      <c r="BJ278" s="828" t="str">
        <f t="shared" ca="1" si="516"/>
        <v/>
      </c>
      <c r="BK278" s="828" t="str">
        <f t="shared" ca="1" si="517"/>
        <v/>
      </c>
      <c r="BL278" s="828" t="str">
        <f t="shared" ca="1" si="518"/>
        <v/>
      </c>
      <c r="BM278" s="828" t="str">
        <f t="shared" ca="1" si="519"/>
        <v/>
      </c>
      <c r="BN278" s="828" t="str">
        <f t="shared" ca="1" si="520"/>
        <v/>
      </c>
      <c r="BO278" s="828" t="str">
        <f t="shared" ca="1" si="521"/>
        <v/>
      </c>
    </row>
    <row r="279" spans="1:67" ht="20.100000000000001" customHeight="1">
      <c r="A279" s="823">
        <v>29</v>
      </c>
      <c r="B279" s="1870"/>
      <c r="C279" s="1872"/>
      <c r="D279" s="824" t="s">
        <v>4169</v>
      </c>
      <c r="E279" s="824"/>
      <c r="F279" s="825"/>
      <c r="G279" s="826" t="s">
        <v>3777</v>
      </c>
      <c r="H279" s="827">
        <f t="shared" ca="1" si="522"/>
        <v>29</v>
      </c>
      <c r="I279" s="827">
        <f t="shared" ca="1" si="522"/>
        <v>29</v>
      </c>
      <c r="J279" s="827">
        <f t="shared" ca="1" si="522"/>
        <v>29</v>
      </c>
      <c r="K279" s="827">
        <f t="shared" ca="1" si="522"/>
        <v>29</v>
      </c>
      <c r="L279" s="828">
        <f t="shared" ca="1" si="523"/>
        <v>0</v>
      </c>
      <c r="M279" s="828">
        <f t="shared" ca="1" si="523"/>
        <v>0</v>
      </c>
      <c r="N279" s="828">
        <f t="shared" ca="1" si="523"/>
        <v>0</v>
      </c>
      <c r="O279" s="828">
        <f t="shared" ca="1" si="523"/>
        <v>0</v>
      </c>
      <c r="P279" s="828">
        <f ca="1">SUM(SUMIFS(OFFSET(貼付け_2024実績,$A279,11,1,199),OFFSET(貼付け_2024実績,4,9,1,199),{"横浜*","川崎*"}))</f>
        <v>0</v>
      </c>
      <c r="Q279" s="828">
        <f ca="1">SUM(SUMIFS(OFFSET(貼付け_2025実績,$A279,11,1,199),OFFSET(貼付け_2025実績,4,9,1,199),{"横浜*","川崎*"}))</f>
        <v>0</v>
      </c>
      <c r="R279" s="828">
        <f ca="1">SUM(SUMIFS(OFFSET(貼付け_2026実績,$A279,11,1,199),OFFSET(貼付け_2026実績,4,9,1,199),{"横浜*","川崎*"}))</f>
        <v>0</v>
      </c>
      <c r="S279" s="828">
        <f ca="1">SUM(SUMIFS(OFFSET(貼付け_2027実績,$A279,11,1,199),OFFSET(貼付け_2027実績,4,9,1,199),{"横浜*","川崎*"}))</f>
        <v>0</v>
      </c>
      <c r="T279" s="828">
        <f t="shared" ca="1" si="524"/>
        <v>0</v>
      </c>
      <c r="U279" s="828">
        <f t="shared" ca="1" si="524"/>
        <v>0</v>
      </c>
      <c r="V279" s="828">
        <f t="shared" ca="1" si="524"/>
        <v>0</v>
      </c>
      <c r="W279" s="828">
        <f t="shared" ca="1" si="524"/>
        <v>0</v>
      </c>
      <c r="X279" s="828">
        <f t="shared" ca="1" si="478"/>
        <v>0</v>
      </c>
      <c r="Y279" s="828">
        <f t="shared" ca="1" si="479"/>
        <v>0</v>
      </c>
      <c r="Z279" s="828">
        <f t="shared" ca="1" si="480"/>
        <v>0</v>
      </c>
      <c r="AA279" s="828">
        <f t="shared" ca="1" si="481"/>
        <v>0</v>
      </c>
      <c r="AB279" s="828" t="str">
        <f t="shared" ca="1" si="482"/>
        <v/>
      </c>
      <c r="AC279" s="828" t="str">
        <f t="shared" ca="1" si="483"/>
        <v/>
      </c>
      <c r="AD279" s="828" t="str">
        <f t="shared" ca="1" si="484"/>
        <v/>
      </c>
      <c r="AE279" s="828" t="str">
        <f t="shared" ca="1" si="485"/>
        <v/>
      </c>
      <c r="AF279" s="828" t="str">
        <f t="shared" ca="1" si="486"/>
        <v/>
      </c>
      <c r="AG279" s="828" t="str">
        <f t="shared" ca="1" si="487"/>
        <v/>
      </c>
      <c r="AH279" s="828" t="str">
        <f t="shared" ca="1" si="488"/>
        <v/>
      </c>
      <c r="AI279" s="828" t="str">
        <f t="shared" ca="1" si="489"/>
        <v/>
      </c>
      <c r="AJ279" s="828" t="str">
        <f t="shared" ca="1" si="490"/>
        <v/>
      </c>
      <c r="AK279" s="828" t="str">
        <f t="shared" ca="1" si="491"/>
        <v/>
      </c>
      <c r="AL279" s="828" t="str">
        <f t="shared" ca="1" si="492"/>
        <v/>
      </c>
      <c r="AM279" s="828" t="str">
        <f t="shared" ca="1" si="493"/>
        <v/>
      </c>
      <c r="AN279" s="828" t="str">
        <f t="shared" ca="1" si="494"/>
        <v/>
      </c>
      <c r="AO279" s="828" t="str">
        <f t="shared" ca="1" si="495"/>
        <v/>
      </c>
      <c r="AP279" s="828" t="str">
        <f t="shared" ca="1" si="496"/>
        <v/>
      </c>
      <c r="AQ279" s="828" t="str">
        <f t="shared" ca="1" si="497"/>
        <v/>
      </c>
      <c r="AR279" s="828" t="str">
        <f t="shared" ca="1" si="498"/>
        <v/>
      </c>
      <c r="AS279" s="828" t="str">
        <f t="shared" ca="1" si="499"/>
        <v/>
      </c>
      <c r="AT279" s="828" t="str">
        <f t="shared" ca="1" si="500"/>
        <v/>
      </c>
      <c r="AU279" s="828" t="str">
        <f t="shared" ca="1" si="501"/>
        <v/>
      </c>
      <c r="AV279" s="828" t="str">
        <f t="shared" ca="1" si="502"/>
        <v/>
      </c>
      <c r="AW279" s="828" t="str">
        <f t="shared" ca="1" si="503"/>
        <v/>
      </c>
      <c r="AX279" s="828" t="str">
        <f t="shared" ca="1" si="504"/>
        <v/>
      </c>
      <c r="AY279" s="828" t="str">
        <f t="shared" ca="1" si="505"/>
        <v/>
      </c>
      <c r="AZ279" s="828" t="str">
        <f t="shared" ca="1" si="506"/>
        <v/>
      </c>
      <c r="BA279" s="828" t="str">
        <f t="shared" ca="1" si="507"/>
        <v/>
      </c>
      <c r="BB279" s="828" t="str">
        <f t="shared" ca="1" si="508"/>
        <v/>
      </c>
      <c r="BC279" s="828" t="str">
        <f t="shared" ca="1" si="509"/>
        <v/>
      </c>
      <c r="BD279" s="828" t="str">
        <f t="shared" ca="1" si="510"/>
        <v/>
      </c>
      <c r="BE279" s="828" t="str">
        <f t="shared" ca="1" si="511"/>
        <v/>
      </c>
      <c r="BF279" s="828" t="str">
        <f t="shared" ca="1" si="512"/>
        <v/>
      </c>
      <c r="BG279" s="828" t="str">
        <f t="shared" ca="1" si="513"/>
        <v/>
      </c>
      <c r="BH279" s="828" t="str">
        <f t="shared" ca="1" si="514"/>
        <v/>
      </c>
      <c r="BI279" s="828" t="str">
        <f t="shared" ca="1" si="515"/>
        <v/>
      </c>
      <c r="BJ279" s="828" t="str">
        <f t="shared" ca="1" si="516"/>
        <v/>
      </c>
      <c r="BK279" s="828" t="str">
        <f t="shared" ca="1" si="517"/>
        <v/>
      </c>
      <c r="BL279" s="828" t="str">
        <f t="shared" ca="1" si="518"/>
        <v/>
      </c>
      <c r="BM279" s="828" t="str">
        <f t="shared" ca="1" si="519"/>
        <v/>
      </c>
      <c r="BN279" s="828" t="str">
        <f t="shared" ca="1" si="520"/>
        <v/>
      </c>
      <c r="BO279" s="828" t="str">
        <f t="shared" ca="1" si="521"/>
        <v/>
      </c>
    </row>
    <row r="280" spans="1:67" ht="20.100000000000001" customHeight="1">
      <c r="A280" s="823">
        <v>30</v>
      </c>
      <c r="B280" s="1870"/>
      <c r="C280" s="1872"/>
      <c r="D280" s="824" t="s">
        <v>4170</v>
      </c>
      <c r="E280" s="818"/>
      <c r="F280" s="825"/>
      <c r="G280" s="826" t="s">
        <v>3777</v>
      </c>
      <c r="H280" s="827">
        <f t="shared" ca="1" si="522"/>
        <v>37.299999999999997</v>
      </c>
      <c r="I280" s="827">
        <f t="shared" ca="1" si="522"/>
        <v>37.299999999999997</v>
      </c>
      <c r="J280" s="827">
        <f t="shared" ca="1" si="522"/>
        <v>37.299999999999997</v>
      </c>
      <c r="K280" s="827">
        <f t="shared" ca="1" si="522"/>
        <v>37.299999999999997</v>
      </c>
      <c r="L280" s="828">
        <f t="shared" ca="1" si="523"/>
        <v>0</v>
      </c>
      <c r="M280" s="828">
        <f t="shared" ca="1" si="523"/>
        <v>0</v>
      </c>
      <c r="N280" s="828">
        <f t="shared" ca="1" si="523"/>
        <v>0</v>
      </c>
      <c r="O280" s="828">
        <f t="shared" ca="1" si="523"/>
        <v>0</v>
      </c>
      <c r="P280" s="828">
        <f ca="1">SUM(SUMIFS(OFFSET(貼付け_2024実績,$A280,11,1,199),OFFSET(貼付け_2024実績,4,9,1,199),{"横浜*","川崎*"}))</f>
        <v>0</v>
      </c>
      <c r="Q280" s="828">
        <f ca="1">SUM(SUMIFS(OFFSET(貼付け_2025実績,$A280,11,1,199),OFFSET(貼付け_2025実績,4,9,1,199),{"横浜*","川崎*"}))</f>
        <v>0</v>
      </c>
      <c r="R280" s="828">
        <f ca="1">SUM(SUMIFS(OFFSET(貼付け_2026実績,$A280,11,1,199),OFFSET(貼付け_2026実績,4,9,1,199),{"横浜*","川崎*"}))</f>
        <v>0</v>
      </c>
      <c r="S280" s="828">
        <f ca="1">SUM(SUMIFS(OFFSET(貼付け_2027実績,$A280,11,1,199),OFFSET(貼付け_2027実績,4,9,1,199),{"横浜*","川崎*"}))</f>
        <v>0</v>
      </c>
      <c r="T280" s="828">
        <f t="shared" ca="1" si="524"/>
        <v>0</v>
      </c>
      <c r="U280" s="828">
        <f t="shared" ca="1" si="524"/>
        <v>0</v>
      </c>
      <c r="V280" s="828">
        <f t="shared" ca="1" si="524"/>
        <v>0</v>
      </c>
      <c r="W280" s="828">
        <f t="shared" ca="1" si="524"/>
        <v>0</v>
      </c>
      <c r="X280" s="828">
        <f t="shared" ca="1" si="478"/>
        <v>0</v>
      </c>
      <c r="Y280" s="828">
        <f t="shared" ca="1" si="479"/>
        <v>0</v>
      </c>
      <c r="Z280" s="828">
        <f t="shared" ca="1" si="480"/>
        <v>0</v>
      </c>
      <c r="AA280" s="828">
        <f t="shared" ca="1" si="481"/>
        <v>0</v>
      </c>
      <c r="AB280" s="828" t="str">
        <f t="shared" ca="1" si="482"/>
        <v/>
      </c>
      <c r="AC280" s="828" t="str">
        <f t="shared" ca="1" si="483"/>
        <v/>
      </c>
      <c r="AD280" s="828" t="str">
        <f t="shared" ca="1" si="484"/>
        <v/>
      </c>
      <c r="AE280" s="828" t="str">
        <f t="shared" ca="1" si="485"/>
        <v/>
      </c>
      <c r="AF280" s="828" t="str">
        <f t="shared" ca="1" si="486"/>
        <v/>
      </c>
      <c r="AG280" s="828" t="str">
        <f t="shared" ca="1" si="487"/>
        <v/>
      </c>
      <c r="AH280" s="828" t="str">
        <f t="shared" ca="1" si="488"/>
        <v/>
      </c>
      <c r="AI280" s="828" t="str">
        <f t="shared" ca="1" si="489"/>
        <v/>
      </c>
      <c r="AJ280" s="828" t="str">
        <f t="shared" ca="1" si="490"/>
        <v/>
      </c>
      <c r="AK280" s="828" t="str">
        <f t="shared" ca="1" si="491"/>
        <v/>
      </c>
      <c r="AL280" s="828" t="str">
        <f t="shared" ca="1" si="492"/>
        <v/>
      </c>
      <c r="AM280" s="828" t="str">
        <f t="shared" ca="1" si="493"/>
        <v/>
      </c>
      <c r="AN280" s="828" t="str">
        <f t="shared" ca="1" si="494"/>
        <v/>
      </c>
      <c r="AO280" s="828" t="str">
        <f t="shared" ca="1" si="495"/>
        <v/>
      </c>
      <c r="AP280" s="828" t="str">
        <f t="shared" ca="1" si="496"/>
        <v/>
      </c>
      <c r="AQ280" s="828" t="str">
        <f t="shared" ca="1" si="497"/>
        <v/>
      </c>
      <c r="AR280" s="828" t="str">
        <f t="shared" ca="1" si="498"/>
        <v/>
      </c>
      <c r="AS280" s="828" t="str">
        <f t="shared" ca="1" si="499"/>
        <v/>
      </c>
      <c r="AT280" s="828" t="str">
        <f t="shared" ca="1" si="500"/>
        <v/>
      </c>
      <c r="AU280" s="828" t="str">
        <f t="shared" ca="1" si="501"/>
        <v/>
      </c>
      <c r="AV280" s="828" t="str">
        <f t="shared" ca="1" si="502"/>
        <v/>
      </c>
      <c r="AW280" s="828" t="str">
        <f t="shared" ca="1" si="503"/>
        <v/>
      </c>
      <c r="AX280" s="828" t="str">
        <f t="shared" ca="1" si="504"/>
        <v/>
      </c>
      <c r="AY280" s="828" t="str">
        <f t="shared" ca="1" si="505"/>
        <v/>
      </c>
      <c r="AZ280" s="828" t="str">
        <f t="shared" ca="1" si="506"/>
        <v/>
      </c>
      <c r="BA280" s="828" t="str">
        <f t="shared" ca="1" si="507"/>
        <v/>
      </c>
      <c r="BB280" s="828" t="str">
        <f t="shared" ca="1" si="508"/>
        <v/>
      </c>
      <c r="BC280" s="828" t="str">
        <f t="shared" ca="1" si="509"/>
        <v/>
      </c>
      <c r="BD280" s="828" t="str">
        <f t="shared" ca="1" si="510"/>
        <v/>
      </c>
      <c r="BE280" s="828" t="str">
        <f t="shared" ca="1" si="511"/>
        <v/>
      </c>
      <c r="BF280" s="828" t="str">
        <f t="shared" ca="1" si="512"/>
        <v/>
      </c>
      <c r="BG280" s="828" t="str">
        <f t="shared" ca="1" si="513"/>
        <v/>
      </c>
      <c r="BH280" s="828" t="str">
        <f t="shared" ca="1" si="514"/>
        <v/>
      </c>
      <c r="BI280" s="828" t="str">
        <f t="shared" ca="1" si="515"/>
        <v/>
      </c>
      <c r="BJ280" s="828" t="str">
        <f t="shared" ca="1" si="516"/>
        <v/>
      </c>
      <c r="BK280" s="828" t="str">
        <f t="shared" ca="1" si="517"/>
        <v/>
      </c>
      <c r="BL280" s="828" t="str">
        <f t="shared" ca="1" si="518"/>
        <v/>
      </c>
      <c r="BM280" s="828" t="str">
        <f t="shared" ca="1" si="519"/>
        <v/>
      </c>
      <c r="BN280" s="828" t="str">
        <f t="shared" ca="1" si="520"/>
        <v/>
      </c>
      <c r="BO280" s="828" t="str">
        <f t="shared" ca="1" si="521"/>
        <v/>
      </c>
    </row>
    <row r="281" spans="1:67" ht="20.100000000000001" customHeight="1">
      <c r="A281" s="823">
        <v>31</v>
      </c>
      <c r="B281" s="1870"/>
      <c r="C281" s="1872"/>
      <c r="D281" s="824" t="s">
        <v>4171</v>
      </c>
      <c r="E281" s="824"/>
      <c r="F281" s="825"/>
      <c r="G281" s="826" t="s">
        <v>4158</v>
      </c>
      <c r="H281" s="827">
        <f t="shared" ca="1" si="522"/>
        <v>18.399999999999999</v>
      </c>
      <c r="I281" s="827">
        <f t="shared" ca="1" si="522"/>
        <v>18.399999999999999</v>
      </c>
      <c r="J281" s="827">
        <f t="shared" ca="1" si="522"/>
        <v>18.399999999999999</v>
      </c>
      <c r="K281" s="827">
        <f t="shared" ca="1" si="522"/>
        <v>18.399999999999999</v>
      </c>
      <c r="L281" s="828">
        <f t="shared" ca="1" si="523"/>
        <v>0</v>
      </c>
      <c r="M281" s="828">
        <f t="shared" ca="1" si="523"/>
        <v>0</v>
      </c>
      <c r="N281" s="828">
        <f t="shared" ca="1" si="523"/>
        <v>0</v>
      </c>
      <c r="O281" s="828">
        <f t="shared" ca="1" si="523"/>
        <v>0</v>
      </c>
      <c r="P281" s="828">
        <f ca="1">SUM(SUMIFS(OFFSET(貼付け_2024実績,$A281,11,1,199),OFFSET(貼付け_2024実績,4,9,1,199),{"横浜*","川崎*"}))</f>
        <v>0</v>
      </c>
      <c r="Q281" s="828">
        <f ca="1">SUM(SUMIFS(OFFSET(貼付け_2025実績,$A281,11,1,199),OFFSET(貼付け_2025実績,4,9,1,199),{"横浜*","川崎*"}))</f>
        <v>0</v>
      </c>
      <c r="R281" s="828">
        <f ca="1">SUM(SUMIFS(OFFSET(貼付け_2026実績,$A281,11,1,199),OFFSET(貼付け_2026実績,4,9,1,199),{"横浜*","川崎*"}))</f>
        <v>0</v>
      </c>
      <c r="S281" s="828">
        <f ca="1">SUM(SUMIFS(OFFSET(貼付け_2027実績,$A281,11,1,199),OFFSET(貼付け_2027実績,4,9,1,199),{"横浜*","川崎*"}))</f>
        <v>0</v>
      </c>
      <c r="T281" s="828">
        <f t="shared" ca="1" si="524"/>
        <v>0</v>
      </c>
      <c r="U281" s="828">
        <f t="shared" ca="1" si="524"/>
        <v>0</v>
      </c>
      <c r="V281" s="828">
        <f t="shared" ca="1" si="524"/>
        <v>0</v>
      </c>
      <c r="W281" s="828">
        <f t="shared" ca="1" si="524"/>
        <v>0</v>
      </c>
      <c r="X281" s="828">
        <f t="shared" ca="1" si="478"/>
        <v>0</v>
      </c>
      <c r="Y281" s="828">
        <f t="shared" ca="1" si="479"/>
        <v>0</v>
      </c>
      <c r="Z281" s="828">
        <f t="shared" ca="1" si="480"/>
        <v>0</v>
      </c>
      <c r="AA281" s="828">
        <f t="shared" ca="1" si="481"/>
        <v>0</v>
      </c>
      <c r="AB281" s="828" t="str">
        <f t="shared" ca="1" si="482"/>
        <v/>
      </c>
      <c r="AC281" s="828" t="str">
        <f t="shared" ca="1" si="483"/>
        <v/>
      </c>
      <c r="AD281" s="828" t="str">
        <f t="shared" ca="1" si="484"/>
        <v/>
      </c>
      <c r="AE281" s="828" t="str">
        <f t="shared" ca="1" si="485"/>
        <v/>
      </c>
      <c r="AF281" s="828" t="str">
        <f t="shared" ca="1" si="486"/>
        <v/>
      </c>
      <c r="AG281" s="828" t="str">
        <f t="shared" ca="1" si="487"/>
        <v/>
      </c>
      <c r="AH281" s="828" t="str">
        <f t="shared" ca="1" si="488"/>
        <v/>
      </c>
      <c r="AI281" s="828" t="str">
        <f t="shared" ca="1" si="489"/>
        <v/>
      </c>
      <c r="AJ281" s="828" t="str">
        <f t="shared" ca="1" si="490"/>
        <v/>
      </c>
      <c r="AK281" s="828" t="str">
        <f t="shared" ca="1" si="491"/>
        <v/>
      </c>
      <c r="AL281" s="828" t="str">
        <f t="shared" ca="1" si="492"/>
        <v/>
      </c>
      <c r="AM281" s="828" t="str">
        <f t="shared" ca="1" si="493"/>
        <v/>
      </c>
      <c r="AN281" s="828" t="str">
        <f t="shared" ca="1" si="494"/>
        <v/>
      </c>
      <c r="AO281" s="828" t="str">
        <f t="shared" ca="1" si="495"/>
        <v/>
      </c>
      <c r="AP281" s="828" t="str">
        <f t="shared" ca="1" si="496"/>
        <v/>
      </c>
      <c r="AQ281" s="828" t="str">
        <f t="shared" ca="1" si="497"/>
        <v/>
      </c>
      <c r="AR281" s="828" t="str">
        <f t="shared" ca="1" si="498"/>
        <v/>
      </c>
      <c r="AS281" s="828" t="str">
        <f t="shared" ca="1" si="499"/>
        <v/>
      </c>
      <c r="AT281" s="828" t="str">
        <f t="shared" ca="1" si="500"/>
        <v/>
      </c>
      <c r="AU281" s="828" t="str">
        <f t="shared" ca="1" si="501"/>
        <v/>
      </c>
      <c r="AV281" s="828" t="str">
        <f t="shared" ca="1" si="502"/>
        <v/>
      </c>
      <c r="AW281" s="828" t="str">
        <f t="shared" ca="1" si="503"/>
        <v/>
      </c>
      <c r="AX281" s="828" t="str">
        <f t="shared" ca="1" si="504"/>
        <v/>
      </c>
      <c r="AY281" s="828" t="str">
        <f t="shared" ca="1" si="505"/>
        <v/>
      </c>
      <c r="AZ281" s="828" t="str">
        <f t="shared" ca="1" si="506"/>
        <v/>
      </c>
      <c r="BA281" s="828" t="str">
        <f t="shared" ca="1" si="507"/>
        <v/>
      </c>
      <c r="BB281" s="828" t="str">
        <f t="shared" ca="1" si="508"/>
        <v/>
      </c>
      <c r="BC281" s="828" t="str">
        <f t="shared" ca="1" si="509"/>
        <v/>
      </c>
      <c r="BD281" s="828" t="str">
        <f t="shared" ca="1" si="510"/>
        <v/>
      </c>
      <c r="BE281" s="828" t="str">
        <f t="shared" ca="1" si="511"/>
        <v/>
      </c>
      <c r="BF281" s="828" t="str">
        <f t="shared" ca="1" si="512"/>
        <v/>
      </c>
      <c r="BG281" s="828" t="str">
        <f t="shared" ca="1" si="513"/>
        <v/>
      </c>
      <c r="BH281" s="828" t="str">
        <f t="shared" ca="1" si="514"/>
        <v/>
      </c>
      <c r="BI281" s="828" t="str">
        <f t="shared" ca="1" si="515"/>
        <v/>
      </c>
      <c r="BJ281" s="828" t="str">
        <f t="shared" ca="1" si="516"/>
        <v/>
      </c>
      <c r="BK281" s="828" t="str">
        <f t="shared" ca="1" si="517"/>
        <v/>
      </c>
      <c r="BL281" s="828" t="str">
        <f t="shared" ca="1" si="518"/>
        <v/>
      </c>
      <c r="BM281" s="828" t="str">
        <f t="shared" ca="1" si="519"/>
        <v/>
      </c>
      <c r="BN281" s="828" t="str">
        <f t="shared" ca="1" si="520"/>
        <v/>
      </c>
      <c r="BO281" s="828" t="str">
        <f t="shared" ca="1" si="521"/>
        <v/>
      </c>
    </row>
    <row r="282" spans="1:67" ht="20.100000000000001" customHeight="1">
      <c r="A282" s="823">
        <v>32</v>
      </c>
      <c r="B282" s="1870"/>
      <c r="C282" s="1872"/>
      <c r="D282" s="824" t="s">
        <v>4172</v>
      </c>
      <c r="E282" s="824"/>
      <c r="F282" s="825"/>
      <c r="G282" s="826" t="s">
        <v>4158</v>
      </c>
      <c r="H282" s="827">
        <f t="shared" ca="1" si="522"/>
        <v>3.23</v>
      </c>
      <c r="I282" s="827">
        <f t="shared" ca="1" si="522"/>
        <v>3.23</v>
      </c>
      <c r="J282" s="827">
        <f t="shared" ca="1" si="522"/>
        <v>3.23</v>
      </c>
      <c r="K282" s="827">
        <f t="shared" ca="1" si="522"/>
        <v>3.23</v>
      </c>
      <c r="L282" s="828">
        <f t="shared" ca="1" si="523"/>
        <v>0</v>
      </c>
      <c r="M282" s="828">
        <f t="shared" ca="1" si="523"/>
        <v>0</v>
      </c>
      <c r="N282" s="828">
        <f t="shared" ca="1" si="523"/>
        <v>0</v>
      </c>
      <c r="O282" s="828">
        <f t="shared" ca="1" si="523"/>
        <v>0</v>
      </c>
      <c r="P282" s="828">
        <f ca="1">SUM(SUMIFS(OFFSET(貼付け_2024実績,$A282,11,1,199),OFFSET(貼付け_2024実績,4,9,1,199),{"横浜*","川崎*"}))</f>
        <v>0</v>
      </c>
      <c r="Q282" s="828">
        <f ca="1">SUM(SUMIFS(OFFSET(貼付け_2025実績,$A282,11,1,199),OFFSET(貼付け_2025実績,4,9,1,199),{"横浜*","川崎*"}))</f>
        <v>0</v>
      </c>
      <c r="R282" s="828">
        <f ca="1">SUM(SUMIFS(OFFSET(貼付け_2026実績,$A282,11,1,199),OFFSET(貼付け_2026実績,4,9,1,199),{"横浜*","川崎*"}))</f>
        <v>0</v>
      </c>
      <c r="S282" s="828">
        <f ca="1">SUM(SUMIFS(OFFSET(貼付け_2027実績,$A282,11,1,199),OFFSET(貼付け_2027実績,4,9,1,199),{"横浜*","川崎*"}))</f>
        <v>0</v>
      </c>
      <c r="T282" s="828">
        <f t="shared" ca="1" si="524"/>
        <v>0</v>
      </c>
      <c r="U282" s="828">
        <f t="shared" ca="1" si="524"/>
        <v>0</v>
      </c>
      <c r="V282" s="828">
        <f t="shared" ca="1" si="524"/>
        <v>0</v>
      </c>
      <c r="W282" s="828">
        <f t="shared" ca="1" si="524"/>
        <v>0</v>
      </c>
      <c r="X282" s="828">
        <f t="shared" ca="1" si="478"/>
        <v>0</v>
      </c>
      <c r="Y282" s="828">
        <f t="shared" ca="1" si="479"/>
        <v>0</v>
      </c>
      <c r="Z282" s="828">
        <f t="shared" ca="1" si="480"/>
        <v>0</v>
      </c>
      <c r="AA282" s="828">
        <f t="shared" ca="1" si="481"/>
        <v>0</v>
      </c>
      <c r="AB282" s="828" t="str">
        <f t="shared" ca="1" si="482"/>
        <v/>
      </c>
      <c r="AC282" s="828" t="str">
        <f t="shared" ca="1" si="483"/>
        <v/>
      </c>
      <c r="AD282" s="828" t="str">
        <f t="shared" ca="1" si="484"/>
        <v/>
      </c>
      <c r="AE282" s="828" t="str">
        <f t="shared" ca="1" si="485"/>
        <v/>
      </c>
      <c r="AF282" s="828" t="str">
        <f t="shared" ca="1" si="486"/>
        <v/>
      </c>
      <c r="AG282" s="828" t="str">
        <f t="shared" ca="1" si="487"/>
        <v/>
      </c>
      <c r="AH282" s="828" t="str">
        <f t="shared" ca="1" si="488"/>
        <v/>
      </c>
      <c r="AI282" s="828" t="str">
        <f t="shared" ca="1" si="489"/>
        <v/>
      </c>
      <c r="AJ282" s="828" t="str">
        <f t="shared" ca="1" si="490"/>
        <v/>
      </c>
      <c r="AK282" s="828" t="str">
        <f t="shared" ca="1" si="491"/>
        <v/>
      </c>
      <c r="AL282" s="828" t="str">
        <f t="shared" ca="1" si="492"/>
        <v/>
      </c>
      <c r="AM282" s="828" t="str">
        <f t="shared" ca="1" si="493"/>
        <v/>
      </c>
      <c r="AN282" s="828" t="str">
        <f t="shared" ca="1" si="494"/>
        <v/>
      </c>
      <c r="AO282" s="828" t="str">
        <f t="shared" ca="1" si="495"/>
        <v/>
      </c>
      <c r="AP282" s="828" t="str">
        <f t="shared" ca="1" si="496"/>
        <v/>
      </c>
      <c r="AQ282" s="828" t="str">
        <f t="shared" ca="1" si="497"/>
        <v/>
      </c>
      <c r="AR282" s="828" t="str">
        <f t="shared" ca="1" si="498"/>
        <v/>
      </c>
      <c r="AS282" s="828" t="str">
        <f t="shared" ca="1" si="499"/>
        <v/>
      </c>
      <c r="AT282" s="828" t="str">
        <f t="shared" ca="1" si="500"/>
        <v/>
      </c>
      <c r="AU282" s="828" t="str">
        <f t="shared" ca="1" si="501"/>
        <v/>
      </c>
      <c r="AV282" s="828" t="str">
        <f t="shared" ca="1" si="502"/>
        <v/>
      </c>
      <c r="AW282" s="828" t="str">
        <f t="shared" ca="1" si="503"/>
        <v/>
      </c>
      <c r="AX282" s="828" t="str">
        <f t="shared" ca="1" si="504"/>
        <v/>
      </c>
      <c r="AY282" s="828" t="str">
        <f t="shared" ca="1" si="505"/>
        <v/>
      </c>
      <c r="AZ282" s="828" t="str">
        <f t="shared" ca="1" si="506"/>
        <v/>
      </c>
      <c r="BA282" s="828" t="str">
        <f t="shared" ca="1" si="507"/>
        <v/>
      </c>
      <c r="BB282" s="828" t="str">
        <f t="shared" ca="1" si="508"/>
        <v/>
      </c>
      <c r="BC282" s="828" t="str">
        <f t="shared" ca="1" si="509"/>
        <v/>
      </c>
      <c r="BD282" s="828" t="str">
        <f t="shared" ca="1" si="510"/>
        <v/>
      </c>
      <c r="BE282" s="828" t="str">
        <f t="shared" ca="1" si="511"/>
        <v/>
      </c>
      <c r="BF282" s="828" t="str">
        <f t="shared" ca="1" si="512"/>
        <v/>
      </c>
      <c r="BG282" s="828" t="str">
        <f t="shared" ca="1" si="513"/>
        <v/>
      </c>
      <c r="BH282" s="828" t="str">
        <f t="shared" ca="1" si="514"/>
        <v/>
      </c>
      <c r="BI282" s="828" t="str">
        <f t="shared" ca="1" si="515"/>
        <v/>
      </c>
      <c r="BJ282" s="828" t="str">
        <f t="shared" ca="1" si="516"/>
        <v/>
      </c>
      <c r="BK282" s="828" t="str">
        <f t="shared" ca="1" si="517"/>
        <v/>
      </c>
      <c r="BL282" s="828" t="str">
        <f t="shared" ca="1" si="518"/>
        <v/>
      </c>
      <c r="BM282" s="828" t="str">
        <f t="shared" ca="1" si="519"/>
        <v/>
      </c>
      <c r="BN282" s="828" t="str">
        <f t="shared" ca="1" si="520"/>
        <v/>
      </c>
      <c r="BO282" s="828" t="str">
        <f t="shared" ca="1" si="521"/>
        <v/>
      </c>
    </row>
    <row r="283" spans="1:67" ht="20.100000000000001" customHeight="1">
      <c r="A283" s="823">
        <v>33</v>
      </c>
      <c r="B283" s="1870"/>
      <c r="C283" s="1872"/>
      <c r="D283" s="824" t="s">
        <v>4404</v>
      </c>
      <c r="E283" s="824"/>
      <c r="F283" s="825"/>
      <c r="G283" s="826" t="s">
        <v>4158</v>
      </c>
      <c r="H283" s="827">
        <f t="shared" ca="1" si="522"/>
        <v>3.45</v>
      </c>
      <c r="I283" s="827">
        <f t="shared" ca="1" si="522"/>
        <v>3.45</v>
      </c>
      <c r="J283" s="827">
        <f t="shared" ca="1" si="522"/>
        <v>3.45</v>
      </c>
      <c r="K283" s="827">
        <f t="shared" ca="1" si="522"/>
        <v>3.45</v>
      </c>
      <c r="L283" s="828">
        <f t="shared" ca="1" si="523"/>
        <v>0</v>
      </c>
      <c r="M283" s="828">
        <f t="shared" ca="1" si="523"/>
        <v>0</v>
      </c>
      <c r="N283" s="828">
        <f t="shared" ca="1" si="523"/>
        <v>0</v>
      </c>
      <c r="O283" s="828">
        <f t="shared" ca="1" si="523"/>
        <v>0</v>
      </c>
      <c r="P283" s="828">
        <f ca="1">SUM(SUMIFS(OFFSET(貼付け_2024実績,$A283,11,1,199),OFFSET(貼付け_2024実績,4,9,1,199),{"横浜*","川崎*"}))</f>
        <v>0</v>
      </c>
      <c r="Q283" s="828">
        <f ca="1">SUM(SUMIFS(OFFSET(貼付け_2025実績,$A283,11,1,199),OFFSET(貼付け_2025実績,4,9,1,199),{"横浜*","川崎*"}))</f>
        <v>0</v>
      </c>
      <c r="R283" s="828">
        <f ca="1">SUM(SUMIFS(OFFSET(貼付け_2026実績,$A283,11,1,199),OFFSET(貼付け_2026実績,4,9,1,199),{"横浜*","川崎*"}))</f>
        <v>0</v>
      </c>
      <c r="S283" s="828">
        <f ca="1">SUM(SUMIFS(OFFSET(貼付け_2027実績,$A283,11,1,199),OFFSET(貼付け_2027実績,4,9,1,199),{"横浜*","川崎*"}))</f>
        <v>0</v>
      </c>
      <c r="T283" s="828">
        <f t="shared" ca="1" si="524"/>
        <v>0</v>
      </c>
      <c r="U283" s="828">
        <f t="shared" ca="1" si="524"/>
        <v>0</v>
      </c>
      <c r="V283" s="828">
        <f t="shared" ca="1" si="524"/>
        <v>0</v>
      </c>
      <c r="W283" s="828">
        <f t="shared" ca="1" si="524"/>
        <v>0</v>
      </c>
      <c r="X283" s="828">
        <f t="shared" ca="1" si="478"/>
        <v>0</v>
      </c>
      <c r="Y283" s="828">
        <f t="shared" ca="1" si="479"/>
        <v>0</v>
      </c>
      <c r="Z283" s="828">
        <f t="shared" ca="1" si="480"/>
        <v>0</v>
      </c>
      <c r="AA283" s="828">
        <f t="shared" ca="1" si="481"/>
        <v>0</v>
      </c>
      <c r="AB283" s="828" t="str">
        <f t="shared" ca="1" si="482"/>
        <v/>
      </c>
      <c r="AC283" s="828" t="str">
        <f t="shared" ca="1" si="483"/>
        <v/>
      </c>
      <c r="AD283" s="828" t="str">
        <f t="shared" ca="1" si="484"/>
        <v/>
      </c>
      <c r="AE283" s="828" t="str">
        <f t="shared" ca="1" si="485"/>
        <v/>
      </c>
      <c r="AF283" s="828" t="str">
        <f t="shared" ca="1" si="486"/>
        <v/>
      </c>
      <c r="AG283" s="828" t="str">
        <f t="shared" ca="1" si="487"/>
        <v/>
      </c>
      <c r="AH283" s="828" t="str">
        <f t="shared" ca="1" si="488"/>
        <v/>
      </c>
      <c r="AI283" s="828" t="str">
        <f t="shared" ca="1" si="489"/>
        <v/>
      </c>
      <c r="AJ283" s="828" t="str">
        <f t="shared" ca="1" si="490"/>
        <v/>
      </c>
      <c r="AK283" s="828" t="str">
        <f t="shared" ca="1" si="491"/>
        <v/>
      </c>
      <c r="AL283" s="828" t="str">
        <f t="shared" ca="1" si="492"/>
        <v/>
      </c>
      <c r="AM283" s="828" t="str">
        <f t="shared" ca="1" si="493"/>
        <v/>
      </c>
      <c r="AN283" s="828" t="str">
        <f t="shared" ca="1" si="494"/>
        <v/>
      </c>
      <c r="AO283" s="828" t="str">
        <f t="shared" ca="1" si="495"/>
        <v/>
      </c>
      <c r="AP283" s="828" t="str">
        <f t="shared" ca="1" si="496"/>
        <v/>
      </c>
      <c r="AQ283" s="828" t="str">
        <f t="shared" ca="1" si="497"/>
        <v/>
      </c>
      <c r="AR283" s="828" t="str">
        <f t="shared" ca="1" si="498"/>
        <v/>
      </c>
      <c r="AS283" s="828" t="str">
        <f t="shared" ca="1" si="499"/>
        <v/>
      </c>
      <c r="AT283" s="828" t="str">
        <f t="shared" ca="1" si="500"/>
        <v/>
      </c>
      <c r="AU283" s="828" t="str">
        <f t="shared" ca="1" si="501"/>
        <v/>
      </c>
      <c r="AV283" s="828" t="str">
        <f t="shared" ca="1" si="502"/>
        <v/>
      </c>
      <c r="AW283" s="828" t="str">
        <f t="shared" ca="1" si="503"/>
        <v/>
      </c>
      <c r="AX283" s="828" t="str">
        <f t="shared" ca="1" si="504"/>
        <v/>
      </c>
      <c r="AY283" s="828" t="str">
        <f t="shared" ca="1" si="505"/>
        <v/>
      </c>
      <c r="AZ283" s="828" t="str">
        <f t="shared" ca="1" si="506"/>
        <v/>
      </c>
      <c r="BA283" s="828" t="str">
        <f t="shared" ca="1" si="507"/>
        <v/>
      </c>
      <c r="BB283" s="828" t="str">
        <f t="shared" ca="1" si="508"/>
        <v/>
      </c>
      <c r="BC283" s="828" t="str">
        <f t="shared" ca="1" si="509"/>
        <v/>
      </c>
      <c r="BD283" s="828" t="str">
        <f t="shared" ca="1" si="510"/>
        <v/>
      </c>
      <c r="BE283" s="828" t="str">
        <f t="shared" ca="1" si="511"/>
        <v/>
      </c>
      <c r="BF283" s="828" t="str">
        <f t="shared" ca="1" si="512"/>
        <v/>
      </c>
      <c r="BG283" s="828" t="str">
        <f t="shared" ca="1" si="513"/>
        <v/>
      </c>
      <c r="BH283" s="828" t="str">
        <f t="shared" ca="1" si="514"/>
        <v/>
      </c>
      <c r="BI283" s="828" t="str">
        <f t="shared" ca="1" si="515"/>
        <v/>
      </c>
      <c r="BJ283" s="828" t="str">
        <f t="shared" ca="1" si="516"/>
        <v/>
      </c>
      <c r="BK283" s="828" t="str">
        <f t="shared" ca="1" si="517"/>
        <v/>
      </c>
      <c r="BL283" s="828" t="str">
        <f t="shared" ca="1" si="518"/>
        <v/>
      </c>
      <c r="BM283" s="828" t="str">
        <f t="shared" ca="1" si="519"/>
        <v/>
      </c>
      <c r="BN283" s="828" t="str">
        <f t="shared" ca="1" si="520"/>
        <v/>
      </c>
      <c r="BO283" s="828" t="str">
        <f t="shared" ca="1" si="521"/>
        <v/>
      </c>
    </row>
    <row r="284" spans="1:67" ht="20.100000000000001" customHeight="1">
      <c r="A284" s="823">
        <v>34</v>
      </c>
      <c r="B284" s="1870"/>
      <c r="C284" s="1872"/>
      <c r="D284" s="824" t="s">
        <v>4174</v>
      </c>
      <c r="E284" s="824"/>
      <c r="F284" s="825"/>
      <c r="G284" s="826" t="s">
        <v>4158</v>
      </c>
      <c r="H284" s="827">
        <f t="shared" ca="1" si="522"/>
        <v>7.53</v>
      </c>
      <c r="I284" s="827">
        <f t="shared" ca="1" si="522"/>
        <v>7.53</v>
      </c>
      <c r="J284" s="827">
        <f t="shared" ca="1" si="522"/>
        <v>7.53</v>
      </c>
      <c r="K284" s="827">
        <f t="shared" ca="1" si="522"/>
        <v>7.53</v>
      </c>
      <c r="L284" s="828">
        <f t="shared" ca="1" si="523"/>
        <v>0</v>
      </c>
      <c r="M284" s="828">
        <f t="shared" ca="1" si="523"/>
        <v>0</v>
      </c>
      <c r="N284" s="828">
        <f t="shared" ca="1" si="523"/>
        <v>0</v>
      </c>
      <c r="O284" s="828">
        <f t="shared" ca="1" si="523"/>
        <v>0</v>
      </c>
      <c r="P284" s="828">
        <f ca="1">SUM(SUMIFS(OFFSET(貼付け_2024実績,$A284,11,1,199),OFFSET(貼付け_2024実績,4,9,1,199),{"横浜*","川崎*"}))</f>
        <v>0</v>
      </c>
      <c r="Q284" s="828">
        <f ca="1">SUM(SUMIFS(OFFSET(貼付け_2025実績,$A284,11,1,199),OFFSET(貼付け_2025実績,4,9,1,199),{"横浜*","川崎*"}))</f>
        <v>0</v>
      </c>
      <c r="R284" s="828">
        <f ca="1">SUM(SUMIFS(OFFSET(貼付け_2026実績,$A284,11,1,199),OFFSET(貼付け_2026実績,4,9,1,199),{"横浜*","川崎*"}))</f>
        <v>0</v>
      </c>
      <c r="S284" s="828">
        <f ca="1">SUM(SUMIFS(OFFSET(貼付け_2027実績,$A284,11,1,199),OFFSET(貼付け_2027実績,4,9,1,199),{"横浜*","川崎*"}))</f>
        <v>0</v>
      </c>
      <c r="T284" s="828">
        <f t="shared" ca="1" si="524"/>
        <v>0</v>
      </c>
      <c r="U284" s="828">
        <f t="shared" ca="1" si="524"/>
        <v>0</v>
      </c>
      <c r="V284" s="828">
        <f t="shared" ca="1" si="524"/>
        <v>0</v>
      </c>
      <c r="W284" s="828">
        <f t="shared" ca="1" si="524"/>
        <v>0</v>
      </c>
      <c r="X284" s="828">
        <f t="shared" ca="1" si="478"/>
        <v>0</v>
      </c>
      <c r="Y284" s="828">
        <f t="shared" ca="1" si="479"/>
        <v>0</v>
      </c>
      <c r="Z284" s="828">
        <f t="shared" ca="1" si="480"/>
        <v>0</v>
      </c>
      <c r="AA284" s="828">
        <f t="shared" ca="1" si="481"/>
        <v>0</v>
      </c>
      <c r="AB284" s="828" t="str">
        <f t="shared" ca="1" si="482"/>
        <v/>
      </c>
      <c r="AC284" s="828" t="str">
        <f t="shared" ca="1" si="483"/>
        <v/>
      </c>
      <c r="AD284" s="828" t="str">
        <f t="shared" ca="1" si="484"/>
        <v/>
      </c>
      <c r="AE284" s="828" t="str">
        <f t="shared" ca="1" si="485"/>
        <v/>
      </c>
      <c r="AF284" s="828" t="str">
        <f t="shared" ca="1" si="486"/>
        <v/>
      </c>
      <c r="AG284" s="828" t="str">
        <f t="shared" ca="1" si="487"/>
        <v/>
      </c>
      <c r="AH284" s="828" t="str">
        <f t="shared" ca="1" si="488"/>
        <v/>
      </c>
      <c r="AI284" s="828" t="str">
        <f t="shared" ca="1" si="489"/>
        <v/>
      </c>
      <c r="AJ284" s="828" t="str">
        <f t="shared" ca="1" si="490"/>
        <v/>
      </c>
      <c r="AK284" s="828" t="str">
        <f t="shared" ca="1" si="491"/>
        <v/>
      </c>
      <c r="AL284" s="828" t="str">
        <f t="shared" ca="1" si="492"/>
        <v/>
      </c>
      <c r="AM284" s="828" t="str">
        <f t="shared" ca="1" si="493"/>
        <v/>
      </c>
      <c r="AN284" s="828" t="str">
        <f t="shared" ca="1" si="494"/>
        <v/>
      </c>
      <c r="AO284" s="828" t="str">
        <f t="shared" ca="1" si="495"/>
        <v/>
      </c>
      <c r="AP284" s="828" t="str">
        <f t="shared" ca="1" si="496"/>
        <v/>
      </c>
      <c r="AQ284" s="828" t="str">
        <f t="shared" ca="1" si="497"/>
        <v/>
      </c>
      <c r="AR284" s="828" t="str">
        <f t="shared" ca="1" si="498"/>
        <v/>
      </c>
      <c r="AS284" s="828" t="str">
        <f t="shared" ca="1" si="499"/>
        <v/>
      </c>
      <c r="AT284" s="828" t="str">
        <f t="shared" ca="1" si="500"/>
        <v/>
      </c>
      <c r="AU284" s="828" t="str">
        <f t="shared" ca="1" si="501"/>
        <v/>
      </c>
      <c r="AV284" s="828" t="str">
        <f t="shared" ca="1" si="502"/>
        <v/>
      </c>
      <c r="AW284" s="828" t="str">
        <f t="shared" ca="1" si="503"/>
        <v/>
      </c>
      <c r="AX284" s="828" t="str">
        <f t="shared" ca="1" si="504"/>
        <v/>
      </c>
      <c r="AY284" s="828" t="str">
        <f t="shared" ca="1" si="505"/>
        <v/>
      </c>
      <c r="AZ284" s="828" t="str">
        <f t="shared" ca="1" si="506"/>
        <v/>
      </c>
      <c r="BA284" s="828" t="str">
        <f t="shared" ca="1" si="507"/>
        <v/>
      </c>
      <c r="BB284" s="828" t="str">
        <f t="shared" ca="1" si="508"/>
        <v/>
      </c>
      <c r="BC284" s="828" t="str">
        <f t="shared" ca="1" si="509"/>
        <v/>
      </c>
      <c r="BD284" s="828" t="str">
        <f t="shared" ca="1" si="510"/>
        <v/>
      </c>
      <c r="BE284" s="828" t="str">
        <f t="shared" ca="1" si="511"/>
        <v/>
      </c>
      <c r="BF284" s="828" t="str">
        <f t="shared" ca="1" si="512"/>
        <v/>
      </c>
      <c r="BG284" s="828" t="str">
        <f t="shared" ca="1" si="513"/>
        <v/>
      </c>
      <c r="BH284" s="828" t="str">
        <f t="shared" ca="1" si="514"/>
        <v/>
      </c>
      <c r="BI284" s="828" t="str">
        <f t="shared" ca="1" si="515"/>
        <v/>
      </c>
      <c r="BJ284" s="828" t="str">
        <f t="shared" ca="1" si="516"/>
        <v/>
      </c>
      <c r="BK284" s="828" t="str">
        <f t="shared" ca="1" si="517"/>
        <v/>
      </c>
      <c r="BL284" s="828" t="str">
        <f t="shared" ca="1" si="518"/>
        <v/>
      </c>
      <c r="BM284" s="828" t="str">
        <f t="shared" ca="1" si="519"/>
        <v/>
      </c>
      <c r="BN284" s="828" t="str">
        <f t="shared" ca="1" si="520"/>
        <v/>
      </c>
      <c r="BO284" s="828" t="str">
        <f t="shared" ca="1" si="521"/>
        <v/>
      </c>
    </row>
    <row r="285" spans="1:67" ht="20.100000000000001" customHeight="1">
      <c r="A285" s="823">
        <v>35</v>
      </c>
      <c r="B285" s="1871"/>
      <c r="C285" s="1872"/>
      <c r="D285" s="824" t="s">
        <v>4405</v>
      </c>
      <c r="E285" s="829"/>
      <c r="F285" s="825"/>
      <c r="G285" s="826" t="s">
        <v>4158</v>
      </c>
      <c r="H285" s="827">
        <f t="shared" si="522"/>
        <v>0</v>
      </c>
      <c r="I285" s="827">
        <f t="shared" si="522"/>
        <v>0</v>
      </c>
      <c r="J285" s="827">
        <f t="shared" si="522"/>
        <v>0</v>
      </c>
      <c r="K285" s="827">
        <f t="shared" si="522"/>
        <v>0</v>
      </c>
      <c r="L285" s="828">
        <f t="shared" ca="1" si="523"/>
        <v>0</v>
      </c>
      <c r="M285" s="828">
        <f t="shared" ca="1" si="523"/>
        <v>0</v>
      </c>
      <c r="N285" s="828">
        <f t="shared" ca="1" si="523"/>
        <v>0</v>
      </c>
      <c r="O285" s="828">
        <f t="shared" ca="1" si="523"/>
        <v>0</v>
      </c>
      <c r="P285" s="828">
        <f ca="1">SUM(SUMIFS(OFFSET(貼付け_2024実績,$A285,11,1,199),OFFSET(貼付け_2024実績,4,9,1,199),{"横浜*","川崎*"}))</f>
        <v>0</v>
      </c>
      <c r="Q285" s="828">
        <f ca="1">SUM(SUMIFS(OFFSET(貼付け_2025実績,$A285,11,1,199),OFFSET(貼付け_2025実績,4,9,1,199),{"横浜*","川崎*"}))</f>
        <v>0</v>
      </c>
      <c r="R285" s="828">
        <f ca="1">SUM(SUMIFS(OFFSET(貼付け_2026実績,$A285,11,1,199),OFFSET(貼付け_2026実績,4,9,1,199),{"横浜*","川崎*"}))</f>
        <v>0</v>
      </c>
      <c r="S285" s="828">
        <f ca="1">SUM(SUMIFS(OFFSET(貼付け_2027実績,$A285,11,1,199),OFFSET(貼付け_2027実績,4,9,1,199),{"横浜*","川崎*"}))</f>
        <v>0</v>
      </c>
      <c r="T285" s="828">
        <f t="shared" ca="1" si="524"/>
        <v>0</v>
      </c>
      <c r="U285" s="828">
        <f t="shared" ca="1" si="524"/>
        <v>0</v>
      </c>
      <c r="V285" s="828">
        <f t="shared" ca="1" si="524"/>
        <v>0</v>
      </c>
      <c r="W285" s="828">
        <f t="shared" ca="1" si="524"/>
        <v>0</v>
      </c>
      <c r="X285" s="828">
        <f t="shared" ca="1" si="478"/>
        <v>0</v>
      </c>
      <c r="Y285" s="828">
        <f t="shared" ca="1" si="479"/>
        <v>0</v>
      </c>
      <c r="Z285" s="828">
        <f t="shared" ca="1" si="480"/>
        <v>0</v>
      </c>
      <c r="AA285" s="828">
        <f t="shared" ca="1" si="481"/>
        <v>0</v>
      </c>
      <c r="AB285" s="828" t="str">
        <f t="shared" ca="1" si="482"/>
        <v/>
      </c>
      <c r="AC285" s="828" t="str">
        <f t="shared" ca="1" si="483"/>
        <v/>
      </c>
      <c r="AD285" s="828" t="str">
        <f t="shared" ca="1" si="484"/>
        <v/>
      </c>
      <c r="AE285" s="828" t="str">
        <f t="shared" ca="1" si="485"/>
        <v/>
      </c>
      <c r="AF285" s="828" t="str">
        <f t="shared" ca="1" si="486"/>
        <v/>
      </c>
      <c r="AG285" s="828" t="str">
        <f t="shared" ca="1" si="487"/>
        <v/>
      </c>
      <c r="AH285" s="828" t="str">
        <f t="shared" ca="1" si="488"/>
        <v/>
      </c>
      <c r="AI285" s="828" t="str">
        <f t="shared" ca="1" si="489"/>
        <v/>
      </c>
      <c r="AJ285" s="828" t="str">
        <f t="shared" ca="1" si="490"/>
        <v/>
      </c>
      <c r="AK285" s="828" t="str">
        <f t="shared" ca="1" si="491"/>
        <v/>
      </c>
      <c r="AL285" s="828" t="str">
        <f t="shared" ca="1" si="492"/>
        <v/>
      </c>
      <c r="AM285" s="828" t="str">
        <f t="shared" ca="1" si="493"/>
        <v/>
      </c>
      <c r="AN285" s="828" t="str">
        <f t="shared" ca="1" si="494"/>
        <v/>
      </c>
      <c r="AO285" s="828" t="str">
        <f t="shared" ca="1" si="495"/>
        <v/>
      </c>
      <c r="AP285" s="828" t="str">
        <f t="shared" ca="1" si="496"/>
        <v/>
      </c>
      <c r="AQ285" s="828" t="str">
        <f t="shared" ca="1" si="497"/>
        <v/>
      </c>
      <c r="AR285" s="828" t="str">
        <f t="shared" ca="1" si="498"/>
        <v/>
      </c>
      <c r="AS285" s="828" t="str">
        <f t="shared" ca="1" si="499"/>
        <v/>
      </c>
      <c r="AT285" s="828" t="str">
        <f t="shared" ca="1" si="500"/>
        <v/>
      </c>
      <c r="AU285" s="828" t="str">
        <f t="shared" ca="1" si="501"/>
        <v/>
      </c>
      <c r="AV285" s="828" t="str">
        <f t="shared" ca="1" si="502"/>
        <v/>
      </c>
      <c r="AW285" s="828" t="str">
        <f t="shared" ca="1" si="503"/>
        <v/>
      </c>
      <c r="AX285" s="828" t="str">
        <f t="shared" ca="1" si="504"/>
        <v/>
      </c>
      <c r="AY285" s="828" t="str">
        <f t="shared" ca="1" si="505"/>
        <v/>
      </c>
      <c r="AZ285" s="828" t="str">
        <f t="shared" ca="1" si="506"/>
        <v/>
      </c>
      <c r="BA285" s="828" t="str">
        <f t="shared" ca="1" si="507"/>
        <v/>
      </c>
      <c r="BB285" s="828" t="str">
        <f t="shared" ca="1" si="508"/>
        <v/>
      </c>
      <c r="BC285" s="828" t="str">
        <f t="shared" ca="1" si="509"/>
        <v/>
      </c>
      <c r="BD285" s="828" t="str">
        <f t="shared" ca="1" si="510"/>
        <v/>
      </c>
      <c r="BE285" s="828" t="str">
        <f t="shared" ca="1" si="511"/>
        <v/>
      </c>
      <c r="BF285" s="828" t="str">
        <f t="shared" ca="1" si="512"/>
        <v/>
      </c>
      <c r="BG285" s="828" t="str">
        <f t="shared" ca="1" si="513"/>
        <v/>
      </c>
      <c r="BH285" s="828" t="str">
        <f t="shared" ca="1" si="514"/>
        <v/>
      </c>
      <c r="BI285" s="828" t="str">
        <f t="shared" ca="1" si="515"/>
        <v/>
      </c>
      <c r="BJ285" s="828" t="str">
        <f t="shared" ca="1" si="516"/>
        <v/>
      </c>
      <c r="BK285" s="828" t="str">
        <f t="shared" ca="1" si="517"/>
        <v/>
      </c>
      <c r="BL285" s="828" t="str">
        <f t="shared" ca="1" si="518"/>
        <v/>
      </c>
      <c r="BM285" s="828" t="str">
        <f t="shared" ca="1" si="519"/>
        <v/>
      </c>
      <c r="BN285" s="828" t="str">
        <f t="shared" ca="1" si="520"/>
        <v/>
      </c>
      <c r="BO285" s="828" t="str">
        <f t="shared" ca="1" si="521"/>
        <v/>
      </c>
    </row>
    <row r="286" spans="1:67" ht="20.100000000000001" customHeight="1">
      <c r="A286" s="823">
        <v>36</v>
      </c>
      <c r="B286" s="1870"/>
      <c r="C286" s="1872"/>
      <c r="D286" s="824" t="s">
        <v>4248</v>
      </c>
      <c r="E286" s="831" t="str">
        <f ca="1">E37</f>
        <v/>
      </c>
      <c r="F286" s="825"/>
      <c r="G286" s="831" t="str">
        <f ca="1">G37</f>
        <v/>
      </c>
      <c r="H286" s="827">
        <f t="shared" ca="1" si="522"/>
        <v>0</v>
      </c>
      <c r="I286" s="827">
        <f t="shared" ca="1" si="522"/>
        <v>0</v>
      </c>
      <c r="J286" s="827">
        <f t="shared" ca="1" si="522"/>
        <v>0</v>
      </c>
      <c r="K286" s="827">
        <f t="shared" ca="1" si="522"/>
        <v>0</v>
      </c>
      <c r="L286" s="828">
        <f t="shared" ca="1" si="523"/>
        <v>0</v>
      </c>
      <c r="M286" s="828">
        <f t="shared" ca="1" si="523"/>
        <v>0</v>
      </c>
      <c r="N286" s="828">
        <f t="shared" ca="1" si="523"/>
        <v>0</v>
      </c>
      <c r="O286" s="828">
        <f t="shared" ca="1" si="523"/>
        <v>0</v>
      </c>
      <c r="P286" s="828">
        <f ca="1">SUM(SUMIFS(OFFSET(貼付け_2024実績,$A286,11,1,199),OFFSET(貼付け_2024実績,4,9,1,199),{"横浜*","川崎*"}))</f>
        <v>0</v>
      </c>
      <c r="Q286" s="828">
        <f ca="1">SUM(SUMIFS(OFFSET(貼付け_2025実績,$A286,11,1,199),OFFSET(貼付け_2025実績,4,9,1,199),{"横浜*","川崎*"}))</f>
        <v>0</v>
      </c>
      <c r="R286" s="828">
        <f ca="1">SUM(SUMIFS(OFFSET(貼付け_2026実績,$A286,11,1,199),OFFSET(貼付け_2026実績,4,9,1,199),{"横浜*","川崎*"}))</f>
        <v>0</v>
      </c>
      <c r="S286" s="828">
        <f ca="1">SUM(SUMIFS(OFFSET(貼付け_2027実績,$A286,11,1,199),OFFSET(貼付け_2027実績,4,9,1,199),{"横浜*","川崎*"}))</f>
        <v>0</v>
      </c>
      <c r="T286" s="828">
        <f t="shared" ca="1" si="524"/>
        <v>0</v>
      </c>
      <c r="U286" s="828">
        <f t="shared" ca="1" si="524"/>
        <v>0</v>
      </c>
      <c r="V286" s="828">
        <f t="shared" ca="1" si="524"/>
        <v>0</v>
      </c>
      <c r="W286" s="828">
        <f t="shared" ca="1" si="524"/>
        <v>0</v>
      </c>
      <c r="X286" s="828">
        <f t="shared" ca="1" si="478"/>
        <v>0</v>
      </c>
      <c r="Y286" s="828">
        <f t="shared" ca="1" si="479"/>
        <v>0</v>
      </c>
      <c r="Z286" s="828">
        <f t="shared" ca="1" si="480"/>
        <v>0</v>
      </c>
      <c r="AA286" s="828">
        <f t="shared" ca="1" si="481"/>
        <v>0</v>
      </c>
      <c r="AB286" s="828" t="str">
        <f t="shared" ca="1" si="482"/>
        <v/>
      </c>
      <c r="AC286" s="828" t="str">
        <f t="shared" ca="1" si="483"/>
        <v/>
      </c>
      <c r="AD286" s="828" t="str">
        <f t="shared" ca="1" si="484"/>
        <v/>
      </c>
      <c r="AE286" s="828" t="str">
        <f t="shared" ca="1" si="485"/>
        <v/>
      </c>
      <c r="AF286" s="828" t="str">
        <f t="shared" ca="1" si="486"/>
        <v/>
      </c>
      <c r="AG286" s="828" t="str">
        <f t="shared" ca="1" si="487"/>
        <v/>
      </c>
      <c r="AH286" s="828" t="str">
        <f t="shared" ca="1" si="488"/>
        <v/>
      </c>
      <c r="AI286" s="828" t="str">
        <f t="shared" ca="1" si="489"/>
        <v/>
      </c>
      <c r="AJ286" s="828" t="str">
        <f t="shared" ca="1" si="490"/>
        <v/>
      </c>
      <c r="AK286" s="828" t="str">
        <f t="shared" ca="1" si="491"/>
        <v/>
      </c>
      <c r="AL286" s="828" t="str">
        <f t="shared" ca="1" si="492"/>
        <v/>
      </c>
      <c r="AM286" s="828" t="str">
        <f t="shared" ca="1" si="493"/>
        <v/>
      </c>
      <c r="AN286" s="828" t="str">
        <f t="shared" ca="1" si="494"/>
        <v/>
      </c>
      <c r="AO286" s="828" t="str">
        <f t="shared" ca="1" si="495"/>
        <v/>
      </c>
      <c r="AP286" s="828" t="str">
        <f t="shared" ca="1" si="496"/>
        <v/>
      </c>
      <c r="AQ286" s="828" t="str">
        <f t="shared" ca="1" si="497"/>
        <v/>
      </c>
      <c r="AR286" s="828" t="str">
        <f t="shared" ca="1" si="498"/>
        <v/>
      </c>
      <c r="AS286" s="828" t="str">
        <f t="shared" ca="1" si="499"/>
        <v/>
      </c>
      <c r="AT286" s="828" t="str">
        <f t="shared" ca="1" si="500"/>
        <v/>
      </c>
      <c r="AU286" s="828" t="str">
        <f t="shared" ca="1" si="501"/>
        <v/>
      </c>
      <c r="AV286" s="828" t="str">
        <f t="shared" ca="1" si="502"/>
        <v/>
      </c>
      <c r="AW286" s="828" t="str">
        <f t="shared" ca="1" si="503"/>
        <v/>
      </c>
      <c r="AX286" s="828" t="str">
        <f t="shared" ca="1" si="504"/>
        <v/>
      </c>
      <c r="AY286" s="828" t="str">
        <f t="shared" ca="1" si="505"/>
        <v/>
      </c>
      <c r="AZ286" s="828" t="str">
        <f t="shared" ca="1" si="506"/>
        <v/>
      </c>
      <c r="BA286" s="828" t="str">
        <f t="shared" ca="1" si="507"/>
        <v/>
      </c>
      <c r="BB286" s="828" t="str">
        <f t="shared" ca="1" si="508"/>
        <v/>
      </c>
      <c r="BC286" s="828" t="str">
        <f t="shared" ca="1" si="509"/>
        <v/>
      </c>
      <c r="BD286" s="828" t="str">
        <f t="shared" ca="1" si="510"/>
        <v/>
      </c>
      <c r="BE286" s="828" t="str">
        <f t="shared" ca="1" si="511"/>
        <v/>
      </c>
      <c r="BF286" s="828" t="str">
        <f t="shared" ca="1" si="512"/>
        <v/>
      </c>
      <c r="BG286" s="828" t="str">
        <f t="shared" ca="1" si="513"/>
        <v/>
      </c>
      <c r="BH286" s="828" t="str">
        <f t="shared" ca="1" si="514"/>
        <v/>
      </c>
      <c r="BI286" s="828" t="str">
        <f t="shared" ca="1" si="515"/>
        <v/>
      </c>
      <c r="BJ286" s="828" t="str">
        <f t="shared" ca="1" si="516"/>
        <v/>
      </c>
      <c r="BK286" s="828" t="str">
        <f t="shared" ca="1" si="517"/>
        <v/>
      </c>
      <c r="BL286" s="828" t="str">
        <f t="shared" ca="1" si="518"/>
        <v/>
      </c>
      <c r="BM286" s="828" t="str">
        <f t="shared" ca="1" si="519"/>
        <v/>
      </c>
      <c r="BN286" s="828" t="str">
        <f t="shared" ca="1" si="520"/>
        <v/>
      </c>
      <c r="BO286" s="828" t="str">
        <f t="shared" ca="1" si="521"/>
        <v/>
      </c>
    </row>
    <row r="287" spans="1:67" ht="20.100000000000001" customHeight="1">
      <c r="A287" s="823">
        <v>37</v>
      </c>
      <c r="B287" s="1870"/>
      <c r="C287" s="1872" t="s">
        <v>4406</v>
      </c>
      <c r="D287" s="832" t="s">
        <v>4407</v>
      </c>
      <c r="E287" s="824"/>
      <c r="F287" s="825"/>
      <c r="G287" s="826" t="s">
        <v>3777</v>
      </c>
      <c r="H287" s="827">
        <f t="shared" ca="1" si="522"/>
        <v>13.6</v>
      </c>
      <c r="I287" s="827">
        <f t="shared" ca="1" si="522"/>
        <v>13.6</v>
      </c>
      <c r="J287" s="827">
        <f t="shared" ca="1" si="522"/>
        <v>13.6</v>
      </c>
      <c r="K287" s="827">
        <f t="shared" ca="1" si="522"/>
        <v>13.6</v>
      </c>
      <c r="L287" s="828">
        <f t="shared" ca="1" si="523"/>
        <v>0</v>
      </c>
      <c r="M287" s="828">
        <f t="shared" ca="1" si="523"/>
        <v>0</v>
      </c>
      <c r="N287" s="828">
        <f t="shared" ca="1" si="523"/>
        <v>0</v>
      </c>
      <c r="O287" s="828">
        <f t="shared" ca="1" si="523"/>
        <v>0</v>
      </c>
      <c r="P287" s="828">
        <f ca="1">SUM(SUMIFS(OFFSET(貼付け_2024実績,$A287,11,1,199),OFFSET(貼付け_2024実績,4,9,1,199),{"横浜*","川崎*"}))</f>
        <v>0</v>
      </c>
      <c r="Q287" s="828">
        <f ca="1">SUM(SUMIFS(OFFSET(貼付け_2025実績,$A287,11,1,199),OFFSET(貼付け_2025実績,4,9,1,199),{"横浜*","川崎*"}))</f>
        <v>0</v>
      </c>
      <c r="R287" s="828">
        <f ca="1">SUM(SUMIFS(OFFSET(貼付け_2026実績,$A287,11,1,199),OFFSET(貼付け_2026実績,4,9,1,199),{"横浜*","川崎*"}))</f>
        <v>0</v>
      </c>
      <c r="S287" s="828">
        <f ca="1">SUM(SUMIFS(OFFSET(貼付け_2027実績,$A287,11,1,199),OFFSET(貼付け_2027実績,4,9,1,199),{"横浜*","川崎*"}))</f>
        <v>0</v>
      </c>
      <c r="T287" s="828">
        <f t="shared" ca="1" si="524"/>
        <v>0</v>
      </c>
      <c r="U287" s="828">
        <f t="shared" ca="1" si="524"/>
        <v>0</v>
      </c>
      <c r="V287" s="828">
        <f t="shared" ca="1" si="524"/>
        <v>0</v>
      </c>
      <c r="W287" s="828">
        <f t="shared" ca="1" si="524"/>
        <v>0</v>
      </c>
      <c r="X287" s="828">
        <f t="shared" ca="1" si="478"/>
        <v>0</v>
      </c>
      <c r="Y287" s="828">
        <f t="shared" ca="1" si="479"/>
        <v>0</v>
      </c>
      <c r="Z287" s="828">
        <f t="shared" ca="1" si="480"/>
        <v>0</v>
      </c>
      <c r="AA287" s="828">
        <f t="shared" ca="1" si="481"/>
        <v>0</v>
      </c>
      <c r="AB287" s="828" t="str">
        <f t="shared" ca="1" si="482"/>
        <v/>
      </c>
      <c r="AC287" s="828" t="str">
        <f t="shared" ca="1" si="483"/>
        <v/>
      </c>
      <c r="AD287" s="828" t="str">
        <f t="shared" ca="1" si="484"/>
        <v/>
      </c>
      <c r="AE287" s="828" t="str">
        <f t="shared" ca="1" si="485"/>
        <v/>
      </c>
      <c r="AF287" s="828" t="str">
        <f t="shared" ca="1" si="486"/>
        <v/>
      </c>
      <c r="AG287" s="828" t="str">
        <f t="shared" ca="1" si="487"/>
        <v/>
      </c>
      <c r="AH287" s="828" t="str">
        <f t="shared" ca="1" si="488"/>
        <v/>
      </c>
      <c r="AI287" s="828" t="str">
        <f t="shared" ca="1" si="489"/>
        <v/>
      </c>
      <c r="AJ287" s="828" t="str">
        <f t="shared" ca="1" si="490"/>
        <v/>
      </c>
      <c r="AK287" s="828" t="str">
        <f t="shared" ca="1" si="491"/>
        <v/>
      </c>
      <c r="AL287" s="828" t="str">
        <f t="shared" ca="1" si="492"/>
        <v/>
      </c>
      <c r="AM287" s="828" t="str">
        <f t="shared" ca="1" si="493"/>
        <v/>
      </c>
      <c r="AN287" s="828" t="str">
        <f t="shared" ca="1" si="494"/>
        <v/>
      </c>
      <c r="AO287" s="828" t="str">
        <f t="shared" ca="1" si="495"/>
        <v/>
      </c>
      <c r="AP287" s="828" t="str">
        <f t="shared" ca="1" si="496"/>
        <v/>
      </c>
      <c r="AQ287" s="828" t="str">
        <f t="shared" ca="1" si="497"/>
        <v/>
      </c>
      <c r="AR287" s="828" t="str">
        <f t="shared" ca="1" si="498"/>
        <v/>
      </c>
      <c r="AS287" s="828" t="str">
        <f t="shared" ca="1" si="499"/>
        <v/>
      </c>
      <c r="AT287" s="828" t="str">
        <f t="shared" ca="1" si="500"/>
        <v/>
      </c>
      <c r="AU287" s="828" t="str">
        <f t="shared" ca="1" si="501"/>
        <v/>
      </c>
      <c r="AV287" s="828" t="str">
        <f t="shared" ca="1" si="502"/>
        <v/>
      </c>
      <c r="AW287" s="828" t="str">
        <f t="shared" ca="1" si="503"/>
        <v/>
      </c>
      <c r="AX287" s="828" t="str">
        <f t="shared" ca="1" si="504"/>
        <v/>
      </c>
      <c r="AY287" s="828" t="str">
        <f t="shared" ca="1" si="505"/>
        <v/>
      </c>
      <c r="AZ287" s="828" t="str">
        <f t="shared" ca="1" si="506"/>
        <v/>
      </c>
      <c r="BA287" s="828" t="str">
        <f t="shared" ca="1" si="507"/>
        <v/>
      </c>
      <c r="BB287" s="828" t="str">
        <f t="shared" ca="1" si="508"/>
        <v/>
      </c>
      <c r="BC287" s="828" t="str">
        <f t="shared" ca="1" si="509"/>
        <v/>
      </c>
      <c r="BD287" s="828" t="str">
        <f t="shared" ca="1" si="510"/>
        <v/>
      </c>
      <c r="BE287" s="828" t="str">
        <f t="shared" ca="1" si="511"/>
        <v/>
      </c>
      <c r="BF287" s="828" t="str">
        <f t="shared" ca="1" si="512"/>
        <v/>
      </c>
      <c r="BG287" s="828" t="str">
        <f t="shared" ca="1" si="513"/>
        <v/>
      </c>
      <c r="BH287" s="828" t="str">
        <f t="shared" ca="1" si="514"/>
        <v/>
      </c>
      <c r="BI287" s="828" t="str">
        <f t="shared" ca="1" si="515"/>
        <v/>
      </c>
      <c r="BJ287" s="828" t="str">
        <f t="shared" ca="1" si="516"/>
        <v/>
      </c>
      <c r="BK287" s="828" t="str">
        <f t="shared" ca="1" si="517"/>
        <v/>
      </c>
      <c r="BL287" s="828" t="str">
        <f t="shared" ca="1" si="518"/>
        <v/>
      </c>
      <c r="BM287" s="828" t="str">
        <f t="shared" ca="1" si="519"/>
        <v/>
      </c>
      <c r="BN287" s="828" t="str">
        <f t="shared" ca="1" si="520"/>
        <v/>
      </c>
      <c r="BO287" s="828" t="str">
        <f t="shared" ca="1" si="521"/>
        <v/>
      </c>
    </row>
    <row r="288" spans="1:67" ht="20.100000000000001" customHeight="1">
      <c r="A288" s="823">
        <v>38</v>
      </c>
      <c r="B288" s="1870"/>
      <c r="C288" s="1872"/>
      <c r="D288" s="832" t="s">
        <v>4408</v>
      </c>
      <c r="E288" s="824"/>
      <c r="F288" s="825"/>
      <c r="G288" s="826" t="s">
        <v>3777</v>
      </c>
      <c r="H288" s="827">
        <f t="shared" ca="1" si="522"/>
        <v>13.2</v>
      </c>
      <c r="I288" s="827">
        <f t="shared" ca="1" si="522"/>
        <v>13.2</v>
      </c>
      <c r="J288" s="827">
        <f t="shared" ca="1" si="522"/>
        <v>13.2</v>
      </c>
      <c r="K288" s="827">
        <f t="shared" ca="1" si="522"/>
        <v>13.2</v>
      </c>
      <c r="L288" s="828">
        <f t="shared" ca="1" si="523"/>
        <v>0</v>
      </c>
      <c r="M288" s="828">
        <f t="shared" ca="1" si="523"/>
        <v>0</v>
      </c>
      <c r="N288" s="828">
        <f t="shared" ca="1" si="523"/>
        <v>0</v>
      </c>
      <c r="O288" s="828">
        <f t="shared" ca="1" si="523"/>
        <v>0</v>
      </c>
      <c r="P288" s="828">
        <f ca="1">SUM(SUMIFS(OFFSET(貼付け_2024実績,$A288,11,1,199),OFFSET(貼付け_2024実績,4,9,1,199),{"横浜*","川崎*"}))</f>
        <v>0</v>
      </c>
      <c r="Q288" s="828">
        <f ca="1">SUM(SUMIFS(OFFSET(貼付け_2025実績,$A288,11,1,199),OFFSET(貼付け_2025実績,4,9,1,199),{"横浜*","川崎*"}))</f>
        <v>0</v>
      </c>
      <c r="R288" s="828">
        <f ca="1">SUM(SUMIFS(OFFSET(貼付け_2026実績,$A288,11,1,199),OFFSET(貼付け_2026実績,4,9,1,199),{"横浜*","川崎*"}))</f>
        <v>0</v>
      </c>
      <c r="S288" s="828">
        <f ca="1">SUM(SUMIFS(OFFSET(貼付け_2027実績,$A288,11,1,199),OFFSET(貼付け_2027実績,4,9,1,199),{"横浜*","川崎*"}))</f>
        <v>0</v>
      </c>
      <c r="T288" s="828">
        <f t="shared" ca="1" si="524"/>
        <v>0</v>
      </c>
      <c r="U288" s="828">
        <f t="shared" ca="1" si="524"/>
        <v>0</v>
      </c>
      <c r="V288" s="828">
        <f t="shared" ca="1" si="524"/>
        <v>0</v>
      </c>
      <c r="W288" s="828">
        <f t="shared" ca="1" si="524"/>
        <v>0</v>
      </c>
      <c r="X288" s="828">
        <f t="shared" ca="1" si="478"/>
        <v>0</v>
      </c>
      <c r="Y288" s="828">
        <f t="shared" ca="1" si="479"/>
        <v>0</v>
      </c>
      <c r="Z288" s="828">
        <f t="shared" ca="1" si="480"/>
        <v>0</v>
      </c>
      <c r="AA288" s="828">
        <f t="shared" ca="1" si="481"/>
        <v>0</v>
      </c>
      <c r="AB288" s="828" t="str">
        <f t="shared" ca="1" si="482"/>
        <v/>
      </c>
      <c r="AC288" s="828" t="str">
        <f t="shared" ca="1" si="483"/>
        <v/>
      </c>
      <c r="AD288" s="828" t="str">
        <f t="shared" ca="1" si="484"/>
        <v/>
      </c>
      <c r="AE288" s="828" t="str">
        <f t="shared" ca="1" si="485"/>
        <v/>
      </c>
      <c r="AF288" s="828" t="str">
        <f t="shared" ca="1" si="486"/>
        <v/>
      </c>
      <c r="AG288" s="828" t="str">
        <f t="shared" ca="1" si="487"/>
        <v/>
      </c>
      <c r="AH288" s="828" t="str">
        <f t="shared" ca="1" si="488"/>
        <v/>
      </c>
      <c r="AI288" s="828" t="str">
        <f t="shared" ca="1" si="489"/>
        <v/>
      </c>
      <c r="AJ288" s="828" t="str">
        <f t="shared" ca="1" si="490"/>
        <v/>
      </c>
      <c r="AK288" s="828" t="str">
        <f t="shared" ca="1" si="491"/>
        <v/>
      </c>
      <c r="AL288" s="828" t="str">
        <f t="shared" ca="1" si="492"/>
        <v/>
      </c>
      <c r="AM288" s="828" t="str">
        <f t="shared" ca="1" si="493"/>
        <v/>
      </c>
      <c r="AN288" s="828" t="str">
        <f t="shared" ca="1" si="494"/>
        <v/>
      </c>
      <c r="AO288" s="828" t="str">
        <f t="shared" ca="1" si="495"/>
        <v/>
      </c>
      <c r="AP288" s="828" t="str">
        <f t="shared" ca="1" si="496"/>
        <v/>
      </c>
      <c r="AQ288" s="828" t="str">
        <f t="shared" ca="1" si="497"/>
        <v/>
      </c>
      <c r="AR288" s="828" t="str">
        <f t="shared" ca="1" si="498"/>
        <v/>
      </c>
      <c r="AS288" s="828" t="str">
        <f t="shared" ca="1" si="499"/>
        <v/>
      </c>
      <c r="AT288" s="828" t="str">
        <f t="shared" ca="1" si="500"/>
        <v/>
      </c>
      <c r="AU288" s="828" t="str">
        <f t="shared" ca="1" si="501"/>
        <v/>
      </c>
      <c r="AV288" s="828" t="str">
        <f t="shared" ca="1" si="502"/>
        <v/>
      </c>
      <c r="AW288" s="828" t="str">
        <f t="shared" ca="1" si="503"/>
        <v/>
      </c>
      <c r="AX288" s="828" t="str">
        <f t="shared" ca="1" si="504"/>
        <v/>
      </c>
      <c r="AY288" s="828" t="str">
        <f t="shared" ca="1" si="505"/>
        <v/>
      </c>
      <c r="AZ288" s="828" t="str">
        <f t="shared" ca="1" si="506"/>
        <v/>
      </c>
      <c r="BA288" s="828" t="str">
        <f t="shared" ca="1" si="507"/>
        <v/>
      </c>
      <c r="BB288" s="828" t="str">
        <f t="shared" ca="1" si="508"/>
        <v/>
      </c>
      <c r="BC288" s="828" t="str">
        <f t="shared" ca="1" si="509"/>
        <v/>
      </c>
      <c r="BD288" s="828" t="str">
        <f t="shared" ca="1" si="510"/>
        <v/>
      </c>
      <c r="BE288" s="828" t="str">
        <f t="shared" ca="1" si="511"/>
        <v/>
      </c>
      <c r="BF288" s="828" t="str">
        <f t="shared" ca="1" si="512"/>
        <v/>
      </c>
      <c r="BG288" s="828" t="str">
        <f t="shared" ca="1" si="513"/>
        <v/>
      </c>
      <c r="BH288" s="828" t="str">
        <f t="shared" ca="1" si="514"/>
        <v/>
      </c>
      <c r="BI288" s="828" t="str">
        <f t="shared" ca="1" si="515"/>
        <v/>
      </c>
      <c r="BJ288" s="828" t="str">
        <f t="shared" ca="1" si="516"/>
        <v/>
      </c>
      <c r="BK288" s="828" t="str">
        <f t="shared" ca="1" si="517"/>
        <v/>
      </c>
      <c r="BL288" s="828" t="str">
        <f t="shared" ca="1" si="518"/>
        <v/>
      </c>
      <c r="BM288" s="828" t="str">
        <f t="shared" ca="1" si="519"/>
        <v/>
      </c>
      <c r="BN288" s="828" t="str">
        <f t="shared" ca="1" si="520"/>
        <v/>
      </c>
      <c r="BO288" s="828" t="str">
        <f t="shared" ca="1" si="521"/>
        <v/>
      </c>
    </row>
    <row r="289" spans="1:67" ht="20.100000000000001" customHeight="1">
      <c r="A289" s="823">
        <v>39</v>
      </c>
      <c r="B289" s="1870"/>
      <c r="C289" s="1872"/>
      <c r="D289" s="832" t="s">
        <v>4409</v>
      </c>
      <c r="E289" s="818"/>
      <c r="F289" s="825"/>
      <c r="G289" s="826" t="s">
        <v>3777</v>
      </c>
      <c r="H289" s="827">
        <f t="shared" ca="1" si="522"/>
        <v>17.100000000000001</v>
      </c>
      <c r="I289" s="827">
        <f t="shared" ca="1" si="522"/>
        <v>17.100000000000001</v>
      </c>
      <c r="J289" s="827">
        <f t="shared" ca="1" si="522"/>
        <v>17.100000000000001</v>
      </c>
      <c r="K289" s="827">
        <f t="shared" ca="1" si="522"/>
        <v>17.100000000000001</v>
      </c>
      <c r="L289" s="828">
        <f t="shared" ca="1" si="523"/>
        <v>0</v>
      </c>
      <c r="M289" s="828">
        <f t="shared" ca="1" si="523"/>
        <v>0</v>
      </c>
      <c r="N289" s="828">
        <f t="shared" ca="1" si="523"/>
        <v>0</v>
      </c>
      <c r="O289" s="828">
        <f t="shared" ca="1" si="523"/>
        <v>0</v>
      </c>
      <c r="P289" s="828">
        <f ca="1">SUM(SUMIFS(OFFSET(貼付け_2024実績,$A289,11,1,199),OFFSET(貼付け_2024実績,4,9,1,199),{"横浜*","川崎*"}))</f>
        <v>0</v>
      </c>
      <c r="Q289" s="828">
        <f ca="1">SUM(SUMIFS(OFFSET(貼付け_2025実績,$A289,11,1,199),OFFSET(貼付け_2025実績,4,9,1,199),{"横浜*","川崎*"}))</f>
        <v>0</v>
      </c>
      <c r="R289" s="828">
        <f ca="1">SUM(SUMIFS(OFFSET(貼付け_2026実績,$A289,11,1,199),OFFSET(貼付け_2026実績,4,9,1,199),{"横浜*","川崎*"}))</f>
        <v>0</v>
      </c>
      <c r="S289" s="828">
        <f ca="1">SUM(SUMIFS(OFFSET(貼付け_2027実績,$A289,11,1,199),OFFSET(貼付け_2027実績,4,9,1,199),{"横浜*","川崎*"}))</f>
        <v>0</v>
      </c>
      <c r="T289" s="828">
        <f t="shared" ca="1" si="524"/>
        <v>0</v>
      </c>
      <c r="U289" s="828">
        <f t="shared" ca="1" si="524"/>
        <v>0</v>
      </c>
      <c r="V289" s="828">
        <f t="shared" ca="1" si="524"/>
        <v>0</v>
      </c>
      <c r="W289" s="828">
        <f t="shared" ca="1" si="524"/>
        <v>0</v>
      </c>
      <c r="X289" s="828">
        <f t="shared" ca="1" si="478"/>
        <v>0</v>
      </c>
      <c r="Y289" s="828">
        <f t="shared" ca="1" si="479"/>
        <v>0</v>
      </c>
      <c r="Z289" s="828">
        <f t="shared" ca="1" si="480"/>
        <v>0</v>
      </c>
      <c r="AA289" s="828">
        <f t="shared" ca="1" si="481"/>
        <v>0</v>
      </c>
      <c r="AB289" s="828" t="str">
        <f t="shared" ca="1" si="482"/>
        <v/>
      </c>
      <c r="AC289" s="828" t="str">
        <f t="shared" ca="1" si="483"/>
        <v/>
      </c>
      <c r="AD289" s="828" t="str">
        <f t="shared" ca="1" si="484"/>
        <v/>
      </c>
      <c r="AE289" s="828" t="str">
        <f t="shared" ca="1" si="485"/>
        <v/>
      </c>
      <c r="AF289" s="828" t="str">
        <f t="shared" ca="1" si="486"/>
        <v/>
      </c>
      <c r="AG289" s="828" t="str">
        <f t="shared" ca="1" si="487"/>
        <v/>
      </c>
      <c r="AH289" s="828" t="str">
        <f t="shared" ca="1" si="488"/>
        <v/>
      </c>
      <c r="AI289" s="828" t="str">
        <f t="shared" ca="1" si="489"/>
        <v/>
      </c>
      <c r="AJ289" s="828" t="str">
        <f t="shared" ca="1" si="490"/>
        <v/>
      </c>
      <c r="AK289" s="828" t="str">
        <f t="shared" ca="1" si="491"/>
        <v/>
      </c>
      <c r="AL289" s="828" t="str">
        <f t="shared" ca="1" si="492"/>
        <v/>
      </c>
      <c r="AM289" s="828" t="str">
        <f t="shared" ca="1" si="493"/>
        <v/>
      </c>
      <c r="AN289" s="828" t="str">
        <f t="shared" ca="1" si="494"/>
        <v/>
      </c>
      <c r="AO289" s="828" t="str">
        <f t="shared" ca="1" si="495"/>
        <v/>
      </c>
      <c r="AP289" s="828" t="str">
        <f t="shared" ca="1" si="496"/>
        <v/>
      </c>
      <c r="AQ289" s="828" t="str">
        <f t="shared" ca="1" si="497"/>
        <v/>
      </c>
      <c r="AR289" s="828" t="str">
        <f t="shared" ca="1" si="498"/>
        <v/>
      </c>
      <c r="AS289" s="828" t="str">
        <f t="shared" ca="1" si="499"/>
        <v/>
      </c>
      <c r="AT289" s="828" t="str">
        <f t="shared" ca="1" si="500"/>
        <v/>
      </c>
      <c r="AU289" s="828" t="str">
        <f t="shared" ca="1" si="501"/>
        <v/>
      </c>
      <c r="AV289" s="828" t="str">
        <f t="shared" ca="1" si="502"/>
        <v/>
      </c>
      <c r="AW289" s="828" t="str">
        <f t="shared" ca="1" si="503"/>
        <v/>
      </c>
      <c r="AX289" s="828" t="str">
        <f t="shared" ca="1" si="504"/>
        <v/>
      </c>
      <c r="AY289" s="828" t="str">
        <f t="shared" ca="1" si="505"/>
        <v/>
      </c>
      <c r="AZ289" s="828" t="str">
        <f t="shared" ca="1" si="506"/>
        <v/>
      </c>
      <c r="BA289" s="828" t="str">
        <f t="shared" ca="1" si="507"/>
        <v/>
      </c>
      <c r="BB289" s="828" t="str">
        <f t="shared" ca="1" si="508"/>
        <v/>
      </c>
      <c r="BC289" s="828" t="str">
        <f t="shared" ca="1" si="509"/>
        <v/>
      </c>
      <c r="BD289" s="828" t="str">
        <f t="shared" ca="1" si="510"/>
        <v/>
      </c>
      <c r="BE289" s="828" t="str">
        <f t="shared" ca="1" si="511"/>
        <v/>
      </c>
      <c r="BF289" s="828" t="str">
        <f t="shared" ca="1" si="512"/>
        <v/>
      </c>
      <c r="BG289" s="828" t="str">
        <f t="shared" ca="1" si="513"/>
        <v/>
      </c>
      <c r="BH289" s="828" t="str">
        <f t="shared" ca="1" si="514"/>
        <v/>
      </c>
      <c r="BI289" s="828" t="str">
        <f t="shared" ca="1" si="515"/>
        <v/>
      </c>
      <c r="BJ289" s="828" t="str">
        <f t="shared" ca="1" si="516"/>
        <v/>
      </c>
      <c r="BK289" s="828" t="str">
        <f t="shared" ca="1" si="517"/>
        <v/>
      </c>
      <c r="BL289" s="828" t="str">
        <f t="shared" ca="1" si="518"/>
        <v/>
      </c>
      <c r="BM289" s="828" t="str">
        <f t="shared" ca="1" si="519"/>
        <v/>
      </c>
      <c r="BN289" s="828" t="str">
        <f t="shared" ca="1" si="520"/>
        <v/>
      </c>
      <c r="BO289" s="828" t="str">
        <f t="shared" ca="1" si="521"/>
        <v/>
      </c>
    </row>
    <row r="290" spans="1:67" ht="20.100000000000001" customHeight="1">
      <c r="A290" s="823">
        <v>40</v>
      </c>
      <c r="B290" s="1870"/>
      <c r="C290" s="1872"/>
      <c r="D290" s="824" t="s">
        <v>4179</v>
      </c>
      <c r="E290" s="824"/>
      <c r="F290" s="825"/>
      <c r="G290" s="826" t="s">
        <v>4144</v>
      </c>
      <c r="H290" s="827">
        <f t="shared" ref="H290:K305" ca="1" si="525">H41</f>
        <v>23.4</v>
      </c>
      <c r="I290" s="827">
        <f t="shared" ca="1" si="525"/>
        <v>23.4</v>
      </c>
      <c r="J290" s="827">
        <f t="shared" ca="1" si="525"/>
        <v>23.4</v>
      </c>
      <c r="K290" s="827">
        <f t="shared" ca="1" si="525"/>
        <v>23.4</v>
      </c>
      <c r="L290" s="828">
        <f t="shared" ca="1" si="523"/>
        <v>0</v>
      </c>
      <c r="M290" s="828">
        <f t="shared" ca="1" si="523"/>
        <v>0</v>
      </c>
      <c r="N290" s="828">
        <f t="shared" ca="1" si="523"/>
        <v>0</v>
      </c>
      <c r="O290" s="828">
        <f t="shared" ca="1" si="523"/>
        <v>0</v>
      </c>
      <c r="P290" s="828">
        <f ca="1">SUM(SUMIFS(OFFSET(貼付け_2024実績,$A290,11,1,199),OFFSET(貼付け_2024実績,4,9,1,199),{"横浜*","川崎*"}))</f>
        <v>0</v>
      </c>
      <c r="Q290" s="828">
        <f ca="1">SUM(SUMIFS(OFFSET(貼付け_2025実績,$A290,11,1,199),OFFSET(貼付け_2025実績,4,9,1,199),{"横浜*","川崎*"}))</f>
        <v>0</v>
      </c>
      <c r="R290" s="828">
        <f ca="1">SUM(SUMIFS(OFFSET(貼付け_2026実績,$A290,11,1,199),OFFSET(貼付け_2026実績,4,9,1,199),{"横浜*","川崎*"}))</f>
        <v>0</v>
      </c>
      <c r="S290" s="828">
        <f ca="1">SUM(SUMIFS(OFFSET(貼付け_2027実績,$A290,11,1,199),OFFSET(貼付け_2027実績,4,9,1,199),{"横浜*","川崎*"}))</f>
        <v>0</v>
      </c>
      <c r="T290" s="828">
        <f t="shared" ca="1" si="524"/>
        <v>0</v>
      </c>
      <c r="U290" s="828">
        <f t="shared" ca="1" si="524"/>
        <v>0</v>
      </c>
      <c r="V290" s="828">
        <f t="shared" ca="1" si="524"/>
        <v>0</v>
      </c>
      <c r="W290" s="828">
        <f t="shared" ca="1" si="524"/>
        <v>0</v>
      </c>
      <c r="X290" s="828">
        <f t="shared" ref="X290:X316" ca="1" si="526">SUMIFS(OFFSET(貼付け_2024実績,$A290,11,1,199),OFFSET(貼付け_2024実績,4,9,1,199),"県域*")</f>
        <v>0</v>
      </c>
      <c r="Y290" s="828">
        <f t="shared" ref="Y290:Y316" ca="1" si="527">SUMIFS(OFFSET(貼付け_2025実績,$A290,11,1,199),OFFSET(貼付け_2025実績,4,9,1,199),"県域*")</f>
        <v>0</v>
      </c>
      <c r="Z290" s="828">
        <f t="shared" ref="Z290:Z316" ca="1" si="528">SUMIFS(OFFSET(貼付け_2026実績,$A290,11,1,199),OFFSET(貼付け_2026実績,4,9,1,199),"県域*")</f>
        <v>0</v>
      </c>
      <c r="AA290" s="828">
        <f t="shared" ref="AA290:AA316" ca="1" si="529">SUMIFS(OFFSET(貼付け_2027実績,$A290,11,1,199),OFFSET(貼付け_2027実績,4,9,1,199),"県域*")</f>
        <v>0</v>
      </c>
      <c r="AB290" s="828" t="str">
        <f t="shared" ref="AB290:AB316" ca="1" si="530">IFERROR(OFFSET(貼付け_2024実績,$A290,AB$1+2),"")</f>
        <v/>
      </c>
      <c r="AC290" s="828" t="str">
        <f t="shared" ref="AC290:AC316" ca="1" si="531">IFERROR(OFFSET(貼付け_2025実績,$A290,AC$1+2),"")</f>
        <v/>
      </c>
      <c r="AD290" s="828" t="str">
        <f t="shared" ref="AD290:AD316" ca="1" si="532">IFERROR(OFFSET(貼付け_2026実績,$A290,AD$1+2),"")</f>
        <v/>
      </c>
      <c r="AE290" s="828" t="str">
        <f t="shared" ref="AE290:AE316" ca="1" si="533">IFERROR(OFFSET(貼付け_2027実績,$A290,AE$1+2),"")</f>
        <v/>
      </c>
      <c r="AF290" s="828" t="str">
        <f t="shared" ref="AF290:AF316" ca="1" si="534">IFERROR(OFFSET(貼付け_2024実績,$A290,AF$1+2),"")</f>
        <v/>
      </c>
      <c r="AG290" s="828" t="str">
        <f t="shared" ref="AG290:AG316" ca="1" si="535">IFERROR(OFFSET(貼付け_2025実績,$A290,AG$1+2),"")</f>
        <v/>
      </c>
      <c r="AH290" s="828" t="str">
        <f t="shared" ref="AH290:AH316" ca="1" si="536">IFERROR(OFFSET(貼付け_2026実績,$A290,AH$1+2),"")</f>
        <v/>
      </c>
      <c r="AI290" s="828" t="str">
        <f t="shared" ref="AI290:AI316" ca="1" si="537">IFERROR(OFFSET(貼付け_2027実績,$A290,AI$1+2),"")</f>
        <v/>
      </c>
      <c r="AJ290" s="828" t="str">
        <f t="shared" ref="AJ290:AJ316" ca="1" si="538">IFERROR(OFFSET(貼付け_2024実績,$A290,AJ$1+2),"")</f>
        <v/>
      </c>
      <c r="AK290" s="828" t="str">
        <f t="shared" ref="AK290:AK316" ca="1" si="539">IFERROR(OFFSET(貼付け_2025実績,$A290,AK$1+2),"")</f>
        <v/>
      </c>
      <c r="AL290" s="828" t="str">
        <f t="shared" ref="AL290:AL316" ca="1" si="540">IFERROR(OFFSET(貼付け_2026実績,$A290,AL$1+2),"")</f>
        <v/>
      </c>
      <c r="AM290" s="828" t="str">
        <f t="shared" ref="AM290:AM316" ca="1" si="541">IFERROR(OFFSET(貼付け_2027実績,$A290,AM$1+2),"")</f>
        <v/>
      </c>
      <c r="AN290" s="828" t="str">
        <f t="shared" ref="AN290:AN316" ca="1" si="542">IFERROR(OFFSET(貼付け_2024実績,$A290,AN$1+2),"")</f>
        <v/>
      </c>
      <c r="AO290" s="828" t="str">
        <f t="shared" ref="AO290:AO316" ca="1" si="543">IFERROR(OFFSET(貼付け_2025実績,$A290,AO$1+2),"")</f>
        <v/>
      </c>
      <c r="AP290" s="828" t="str">
        <f t="shared" ref="AP290:AP316" ca="1" si="544">IFERROR(OFFSET(貼付け_2026実績,$A290,AP$1+2),"")</f>
        <v/>
      </c>
      <c r="AQ290" s="828" t="str">
        <f t="shared" ref="AQ290:AQ316" ca="1" si="545">IFERROR(OFFSET(貼付け_2027実績,$A290,AQ$1+2),"")</f>
        <v/>
      </c>
      <c r="AR290" s="828" t="str">
        <f t="shared" ref="AR290:AR316" ca="1" si="546">IFERROR(OFFSET(貼付け_2024実績,$A290,AR$1+2),"")</f>
        <v/>
      </c>
      <c r="AS290" s="828" t="str">
        <f t="shared" ref="AS290:AS316" ca="1" si="547">IFERROR(OFFSET(貼付け_2025実績,$A290,AS$1+2),"")</f>
        <v/>
      </c>
      <c r="AT290" s="828" t="str">
        <f t="shared" ref="AT290:AT316" ca="1" si="548">IFERROR(OFFSET(貼付け_2026実績,$A290,AT$1+2),"")</f>
        <v/>
      </c>
      <c r="AU290" s="828" t="str">
        <f t="shared" ref="AU290:AU316" ca="1" si="549">IFERROR(OFFSET(貼付け_2027実績,$A290,AU$1+2),"")</f>
        <v/>
      </c>
      <c r="AV290" s="828" t="str">
        <f t="shared" ref="AV290:AV316" ca="1" si="550">IFERROR(OFFSET(貼付け_2024実績,$A290,AV$1+2),"")</f>
        <v/>
      </c>
      <c r="AW290" s="828" t="str">
        <f t="shared" ref="AW290:AW316" ca="1" si="551">IFERROR(OFFSET(貼付け_2025実績,$A290,AW$1+2),"")</f>
        <v/>
      </c>
      <c r="AX290" s="828" t="str">
        <f t="shared" ref="AX290:AX316" ca="1" si="552">IFERROR(OFFSET(貼付け_2026実績,$A290,AX$1+2),"")</f>
        <v/>
      </c>
      <c r="AY290" s="828" t="str">
        <f t="shared" ref="AY290:AY316" ca="1" si="553">IFERROR(OFFSET(貼付け_2027実績,$A290,AY$1+2),"")</f>
        <v/>
      </c>
      <c r="AZ290" s="828" t="str">
        <f t="shared" ref="AZ290:AZ316" ca="1" si="554">IFERROR(OFFSET(貼付け_2024実績,$A290,AZ$1+2),"")</f>
        <v/>
      </c>
      <c r="BA290" s="828" t="str">
        <f t="shared" ref="BA290:BA316" ca="1" si="555">IFERROR(OFFSET(貼付け_2025実績,$A290,BA$1+2),"")</f>
        <v/>
      </c>
      <c r="BB290" s="828" t="str">
        <f t="shared" ref="BB290:BB316" ca="1" si="556">IFERROR(OFFSET(貼付け_2026実績,$A290,BB$1+2),"")</f>
        <v/>
      </c>
      <c r="BC290" s="828" t="str">
        <f t="shared" ref="BC290:BC316" ca="1" si="557">IFERROR(OFFSET(貼付け_2027実績,$A290,BC$1+2),"")</f>
        <v/>
      </c>
      <c r="BD290" s="828" t="str">
        <f t="shared" ref="BD290:BD316" ca="1" si="558">IFERROR(OFFSET(貼付け_2024実績,$A290,BD$1+2),"")</f>
        <v/>
      </c>
      <c r="BE290" s="828" t="str">
        <f t="shared" ref="BE290:BE316" ca="1" si="559">IFERROR(OFFSET(貼付け_2025実績,$A290,BE$1+2),"")</f>
        <v/>
      </c>
      <c r="BF290" s="828" t="str">
        <f t="shared" ref="BF290:BF316" ca="1" si="560">IFERROR(OFFSET(貼付け_2026実績,$A290,BF$1+2),"")</f>
        <v/>
      </c>
      <c r="BG290" s="828" t="str">
        <f t="shared" ref="BG290:BG316" ca="1" si="561">IFERROR(OFFSET(貼付け_2027実績,$A290,BG$1+2),"")</f>
        <v/>
      </c>
      <c r="BH290" s="828" t="str">
        <f t="shared" ref="BH290:BH316" ca="1" si="562">IFERROR(OFFSET(貼付け_2024実績,$A290,BH$1+2),"")</f>
        <v/>
      </c>
      <c r="BI290" s="828" t="str">
        <f t="shared" ref="BI290:BI316" ca="1" si="563">IFERROR(OFFSET(貼付け_2025実績,$A290,BI$1+2),"")</f>
        <v/>
      </c>
      <c r="BJ290" s="828" t="str">
        <f t="shared" ref="BJ290:BJ316" ca="1" si="564">IFERROR(OFFSET(貼付け_2026実績,$A290,BJ$1+2),"")</f>
        <v/>
      </c>
      <c r="BK290" s="828" t="str">
        <f t="shared" ref="BK290:BK316" ca="1" si="565">IFERROR(OFFSET(貼付け_2027実績,$A290,BK$1+2),"")</f>
        <v/>
      </c>
      <c r="BL290" s="828" t="str">
        <f t="shared" ref="BL290:BL316" ca="1" si="566">IFERROR(OFFSET(貼付け_2024実績,$A290,BL$1+2),"")</f>
        <v/>
      </c>
      <c r="BM290" s="828" t="str">
        <f t="shared" ref="BM290:BM316" ca="1" si="567">IFERROR(OFFSET(貼付け_2025実績,$A290,BM$1+2),"")</f>
        <v/>
      </c>
      <c r="BN290" s="828" t="str">
        <f t="shared" ref="BN290:BN316" ca="1" si="568">IFERROR(OFFSET(貼付け_2026実績,$A290,BN$1+2),"")</f>
        <v/>
      </c>
      <c r="BO290" s="828" t="str">
        <f t="shared" ref="BO290:BO316" ca="1" si="569">IFERROR(OFFSET(貼付け_2027実績,$A290,BO$1+2),"")</f>
        <v/>
      </c>
    </row>
    <row r="291" spans="1:67" ht="20.100000000000001" customHeight="1">
      <c r="A291" s="823">
        <v>41</v>
      </c>
      <c r="B291" s="1870"/>
      <c r="C291" s="1872"/>
      <c r="D291" s="824" t="s">
        <v>4180</v>
      </c>
      <c r="E291" s="824"/>
      <c r="F291" s="825"/>
      <c r="G291" s="826" t="s">
        <v>4144</v>
      </c>
      <c r="H291" s="827">
        <f t="shared" ca="1" si="525"/>
        <v>35.6</v>
      </c>
      <c r="I291" s="827">
        <f t="shared" ca="1" si="525"/>
        <v>35.6</v>
      </c>
      <c r="J291" s="827">
        <f t="shared" ca="1" si="525"/>
        <v>35.6</v>
      </c>
      <c r="K291" s="827">
        <f t="shared" ca="1" si="525"/>
        <v>35.6</v>
      </c>
      <c r="L291" s="828">
        <f t="shared" ca="1" si="523"/>
        <v>0</v>
      </c>
      <c r="M291" s="828">
        <f t="shared" ca="1" si="523"/>
        <v>0</v>
      </c>
      <c r="N291" s="828">
        <f t="shared" ca="1" si="523"/>
        <v>0</v>
      </c>
      <c r="O291" s="828">
        <f t="shared" ca="1" si="523"/>
        <v>0</v>
      </c>
      <c r="P291" s="828">
        <f ca="1">SUM(SUMIFS(OFFSET(貼付け_2024実績,$A291,11,1,199),OFFSET(貼付け_2024実績,4,9,1,199),{"横浜*","川崎*"}))</f>
        <v>0</v>
      </c>
      <c r="Q291" s="828">
        <f ca="1">SUM(SUMIFS(OFFSET(貼付け_2025実績,$A291,11,1,199),OFFSET(貼付け_2025実績,4,9,1,199),{"横浜*","川崎*"}))</f>
        <v>0</v>
      </c>
      <c r="R291" s="828">
        <f ca="1">SUM(SUMIFS(OFFSET(貼付け_2026実績,$A291,11,1,199),OFFSET(貼付け_2026実績,4,9,1,199),{"横浜*","川崎*"}))</f>
        <v>0</v>
      </c>
      <c r="S291" s="828">
        <f ca="1">SUM(SUMIFS(OFFSET(貼付け_2027実績,$A291,11,1,199),OFFSET(貼付け_2027実績,4,9,1,199),{"横浜*","川崎*"}))</f>
        <v>0</v>
      </c>
      <c r="T291" s="828">
        <f t="shared" ca="1" si="524"/>
        <v>0</v>
      </c>
      <c r="U291" s="828">
        <f t="shared" ca="1" si="524"/>
        <v>0</v>
      </c>
      <c r="V291" s="828">
        <f t="shared" ca="1" si="524"/>
        <v>0</v>
      </c>
      <c r="W291" s="828">
        <f t="shared" ca="1" si="524"/>
        <v>0</v>
      </c>
      <c r="X291" s="828">
        <f t="shared" ca="1" si="526"/>
        <v>0</v>
      </c>
      <c r="Y291" s="828">
        <f t="shared" ca="1" si="527"/>
        <v>0</v>
      </c>
      <c r="Z291" s="828">
        <f t="shared" ca="1" si="528"/>
        <v>0</v>
      </c>
      <c r="AA291" s="828">
        <f t="shared" ca="1" si="529"/>
        <v>0</v>
      </c>
      <c r="AB291" s="828" t="str">
        <f t="shared" ca="1" si="530"/>
        <v/>
      </c>
      <c r="AC291" s="828" t="str">
        <f t="shared" ca="1" si="531"/>
        <v/>
      </c>
      <c r="AD291" s="828" t="str">
        <f t="shared" ca="1" si="532"/>
        <v/>
      </c>
      <c r="AE291" s="828" t="str">
        <f t="shared" ca="1" si="533"/>
        <v/>
      </c>
      <c r="AF291" s="828" t="str">
        <f t="shared" ca="1" si="534"/>
        <v/>
      </c>
      <c r="AG291" s="828" t="str">
        <f t="shared" ca="1" si="535"/>
        <v/>
      </c>
      <c r="AH291" s="828" t="str">
        <f t="shared" ca="1" si="536"/>
        <v/>
      </c>
      <c r="AI291" s="828" t="str">
        <f t="shared" ca="1" si="537"/>
        <v/>
      </c>
      <c r="AJ291" s="828" t="str">
        <f t="shared" ca="1" si="538"/>
        <v/>
      </c>
      <c r="AK291" s="828" t="str">
        <f t="shared" ca="1" si="539"/>
        <v/>
      </c>
      <c r="AL291" s="828" t="str">
        <f t="shared" ca="1" si="540"/>
        <v/>
      </c>
      <c r="AM291" s="828" t="str">
        <f t="shared" ca="1" si="541"/>
        <v/>
      </c>
      <c r="AN291" s="828" t="str">
        <f t="shared" ca="1" si="542"/>
        <v/>
      </c>
      <c r="AO291" s="828" t="str">
        <f t="shared" ca="1" si="543"/>
        <v/>
      </c>
      <c r="AP291" s="828" t="str">
        <f t="shared" ca="1" si="544"/>
        <v/>
      </c>
      <c r="AQ291" s="828" t="str">
        <f t="shared" ca="1" si="545"/>
        <v/>
      </c>
      <c r="AR291" s="828" t="str">
        <f t="shared" ca="1" si="546"/>
        <v/>
      </c>
      <c r="AS291" s="828" t="str">
        <f t="shared" ca="1" si="547"/>
        <v/>
      </c>
      <c r="AT291" s="828" t="str">
        <f t="shared" ca="1" si="548"/>
        <v/>
      </c>
      <c r="AU291" s="828" t="str">
        <f t="shared" ca="1" si="549"/>
        <v/>
      </c>
      <c r="AV291" s="828" t="str">
        <f t="shared" ca="1" si="550"/>
        <v/>
      </c>
      <c r="AW291" s="828" t="str">
        <f t="shared" ca="1" si="551"/>
        <v/>
      </c>
      <c r="AX291" s="828" t="str">
        <f t="shared" ca="1" si="552"/>
        <v/>
      </c>
      <c r="AY291" s="828" t="str">
        <f t="shared" ca="1" si="553"/>
        <v/>
      </c>
      <c r="AZ291" s="828" t="str">
        <f t="shared" ca="1" si="554"/>
        <v/>
      </c>
      <c r="BA291" s="828" t="str">
        <f t="shared" ca="1" si="555"/>
        <v/>
      </c>
      <c r="BB291" s="828" t="str">
        <f t="shared" ca="1" si="556"/>
        <v/>
      </c>
      <c r="BC291" s="828" t="str">
        <f t="shared" ca="1" si="557"/>
        <v/>
      </c>
      <c r="BD291" s="828" t="str">
        <f t="shared" ca="1" si="558"/>
        <v/>
      </c>
      <c r="BE291" s="828" t="str">
        <f t="shared" ca="1" si="559"/>
        <v/>
      </c>
      <c r="BF291" s="828" t="str">
        <f t="shared" ca="1" si="560"/>
        <v/>
      </c>
      <c r="BG291" s="828" t="str">
        <f t="shared" ca="1" si="561"/>
        <v/>
      </c>
      <c r="BH291" s="828" t="str">
        <f t="shared" ca="1" si="562"/>
        <v/>
      </c>
      <c r="BI291" s="828" t="str">
        <f t="shared" ca="1" si="563"/>
        <v/>
      </c>
      <c r="BJ291" s="828" t="str">
        <f t="shared" ca="1" si="564"/>
        <v/>
      </c>
      <c r="BK291" s="828" t="str">
        <f t="shared" ca="1" si="565"/>
        <v/>
      </c>
      <c r="BL291" s="828" t="str">
        <f t="shared" ca="1" si="566"/>
        <v/>
      </c>
      <c r="BM291" s="828" t="str">
        <f t="shared" ca="1" si="567"/>
        <v/>
      </c>
      <c r="BN291" s="828" t="str">
        <f t="shared" ca="1" si="568"/>
        <v/>
      </c>
      <c r="BO291" s="828" t="str">
        <f t="shared" ca="1" si="569"/>
        <v/>
      </c>
    </row>
    <row r="292" spans="1:67" ht="20.100000000000001" customHeight="1">
      <c r="A292" s="823">
        <v>42</v>
      </c>
      <c r="B292" s="1870"/>
      <c r="C292" s="1872"/>
      <c r="D292" s="824" t="s">
        <v>4181</v>
      </c>
      <c r="E292" s="824"/>
      <c r="F292" s="825"/>
      <c r="G292" s="826" t="s">
        <v>4158</v>
      </c>
      <c r="H292" s="827">
        <f t="shared" ca="1" si="525"/>
        <v>21.2</v>
      </c>
      <c r="I292" s="827">
        <f t="shared" ca="1" si="525"/>
        <v>21.2</v>
      </c>
      <c r="J292" s="827">
        <f t="shared" ca="1" si="525"/>
        <v>21.2</v>
      </c>
      <c r="K292" s="827">
        <f t="shared" ca="1" si="525"/>
        <v>21.2</v>
      </c>
      <c r="L292" s="828">
        <f t="shared" ca="1" si="523"/>
        <v>0</v>
      </c>
      <c r="M292" s="828">
        <f t="shared" ca="1" si="523"/>
        <v>0</v>
      </c>
      <c r="N292" s="828">
        <f t="shared" ca="1" si="523"/>
        <v>0</v>
      </c>
      <c r="O292" s="828">
        <f t="shared" ca="1" si="523"/>
        <v>0</v>
      </c>
      <c r="P292" s="828">
        <f ca="1">SUM(SUMIFS(OFFSET(貼付け_2024実績,$A292,11,1,199),OFFSET(貼付け_2024実績,4,9,1,199),{"横浜*","川崎*"}))</f>
        <v>0</v>
      </c>
      <c r="Q292" s="828">
        <f ca="1">SUM(SUMIFS(OFFSET(貼付け_2025実績,$A292,11,1,199),OFFSET(貼付け_2025実績,4,9,1,199),{"横浜*","川崎*"}))</f>
        <v>0</v>
      </c>
      <c r="R292" s="828">
        <f ca="1">SUM(SUMIFS(OFFSET(貼付け_2026実績,$A292,11,1,199),OFFSET(貼付け_2026実績,4,9,1,199),{"横浜*","川崎*"}))</f>
        <v>0</v>
      </c>
      <c r="S292" s="828">
        <f ca="1">SUM(SUMIFS(OFFSET(貼付け_2027実績,$A292,11,1,199),OFFSET(貼付け_2027実績,4,9,1,199),{"横浜*","川崎*"}))</f>
        <v>0</v>
      </c>
      <c r="T292" s="828">
        <f t="shared" ca="1" si="524"/>
        <v>0</v>
      </c>
      <c r="U292" s="828">
        <f t="shared" ca="1" si="524"/>
        <v>0</v>
      </c>
      <c r="V292" s="828">
        <f t="shared" ca="1" si="524"/>
        <v>0</v>
      </c>
      <c r="W292" s="828">
        <f t="shared" ca="1" si="524"/>
        <v>0</v>
      </c>
      <c r="X292" s="828">
        <f t="shared" ca="1" si="526"/>
        <v>0</v>
      </c>
      <c r="Y292" s="828">
        <f t="shared" ca="1" si="527"/>
        <v>0</v>
      </c>
      <c r="Z292" s="828">
        <f t="shared" ca="1" si="528"/>
        <v>0</v>
      </c>
      <c r="AA292" s="828">
        <f t="shared" ca="1" si="529"/>
        <v>0</v>
      </c>
      <c r="AB292" s="828" t="str">
        <f t="shared" ca="1" si="530"/>
        <v/>
      </c>
      <c r="AC292" s="828" t="str">
        <f t="shared" ca="1" si="531"/>
        <v/>
      </c>
      <c r="AD292" s="828" t="str">
        <f t="shared" ca="1" si="532"/>
        <v/>
      </c>
      <c r="AE292" s="828" t="str">
        <f t="shared" ca="1" si="533"/>
        <v/>
      </c>
      <c r="AF292" s="828" t="str">
        <f t="shared" ca="1" si="534"/>
        <v/>
      </c>
      <c r="AG292" s="828" t="str">
        <f t="shared" ca="1" si="535"/>
        <v/>
      </c>
      <c r="AH292" s="828" t="str">
        <f t="shared" ca="1" si="536"/>
        <v/>
      </c>
      <c r="AI292" s="828" t="str">
        <f t="shared" ca="1" si="537"/>
        <v/>
      </c>
      <c r="AJ292" s="828" t="str">
        <f t="shared" ca="1" si="538"/>
        <v/>
      </c>
      <c r="AK292" s="828" t="str">
        <f t="shared" ca="1" si="539"/>
        <v/>
      </c>
      <c r="AL292" s="828" t="str">
        <f t="shared" ca="1" si="540"/>
        <v/>
      </c>
      <c r="AM292" s="828" t="str">
        <f t="shared" ca="1" si="541"/>
        <v/>
      </c>
      <c r="AN292" s="828" t="str">
        <f t="shared" ca="1" si="542"/>
        <v/>
      </c>
      <c r="AO292" s="828" t="str">
        <f t="shared" ca="1" si="543"/>
        <v/>
      </c>
      <c r="AP292" s="828" t="str">
        <f t="shared" ca="1" si="544"/>
        <v/>
      </c>
      <c r="AQ292" s="828" t="str">
        <f t="shared" ca="1" si="545"/>
        <v/>
      </c>
      <c r="AR292" s="828" t="str">
        <f t="shared" ca="1" si="546"/>
        <v/>
      </c>
      <c r="AS292" s="828" t="str">
        <f t="shared" ca="1" si="547"/>
        <v/>
      </c>
      <c r="AT292" s="828" t="str">
        <f t="shared" ca="1" si="548"/>
        <v/>
      </c>
      <c r="AU292" s="828" t="str">
        <f t="shared" ca="1" si="549"/>
        <v/>
      </c>
      <c r="AV292" s="828" t="str">
        <f t="shared" ca="1" si="550"/>
        <v/>
      </c>
      <c r="AW292" s="828" t="str">
        <f t="shared" ca="1" si="551"/>
        <v/>
      </c>
      <c r="AX292" s="828" t="str">
        <f t="shared" ca="1" si="552"/>
        <v/>
      </c>
      <c r="AY292" s="828" t="str">
        <f t="shared" ca="1" si="553"/>
        <v/>
      </c>
      <c r="AZ292" s="828" t="str">
        <f t="shared" ca="1" si="554"/>
        <v/>
      </c>
      <c r="BA292" s="828" t="str">
        <f t="shared" ca="1" si="555"/>
        <v/>
      </c>
      <c r="BB292" s="828" t="str">
        <f t="shared" ca="1" si="556"/>
        <v/>
      </c>
      <c r="BC292" s="828" t="str">
        <f t="shared" ca="1" si="557"/>
        <v/>
      </c>
      <c r="BD292" s="828" t="str">
        <f t="shared" ca="1" si="558"/>
        <v/>
      </c>
      <c r="BE292" s="828" t="str">
        <f t="shared" ca="1" si="559"/>
        <v/>
      </c>
      <c r="BF292" s="828" t="str">
        <f t="shared" ca="1" si="560"/>
        <v/>
      </c>
      <c r="BG292" s="828" t="str">
        <f t="shared" ca="1" si="561"/>
        <v/>
      </c>
      <c r="BH292" s="828" t="str">
        <f t="shared" ca="1" si="562"/>
        <v/>
      </c>
      <c r="BI292" s="828" t="str">
        <f t="shared" ca="1" si="563"/>
        <v/>
      </c>
      <c r="BJ292" s="828" t="str">
        <f t="shared" ca="1" si="564"/>
        <v/>
      </c>
      <c r="BK292" s="828" t="str">
        <f t="shared" ca="1" si="565"/>
        <v/>
      </c>
      <c r="BL292" s="828" t="str">
        <f t="shared" ca="1" si="566"/>
        <v/>
      </c>
      <c r="BM292" s="828" t="str">
        <f t="shared" ca="1" si="567"/>
        <v/>
      </c>
      <c r="BN292" s="828" t="str">
        <f t="shared" ca="1" si="568"/>
        <v/>
      </c>
      <c r="BO292" s="828" t="str">
        <f t="shared" ca="1" si="569"/>
        <v/>
      </c>
    </row>
    <row r="293" spans="1:67" ht="20.100000000000001" customHeight="1">
      <c r="A293" s="823">
        <v>43</v>
      </c>
      <c r="B293" s="1870"/>
      <c r="C293" s="1872"/>
      <c r="D293" s="824" t="s">
        <v>4410</v>
      </c>
      <c r="E293" s="831" t="str">
        <f ca="1">E44</f>
        <v/>
      </c>
      <c r="F293" s="833"/>
      <c r="G293" s="826" t="s">
        <v>3777</v>
      </c>
      <c r="H293" s="827">
        <f t="shared" ca="1" si="525"/>
        <v>13.2</v>
      </c>
      <c r="I293" s="827">
        <f t="shared" ca="1" si="525"/>
        <v>13.2</v>
      </c>
      <c r="J293" s="827">
        <f t="shared" ca="1" si="525"/>
        <v>13.2</v>
      </c>
      <c r="K293" s="827">
        <f t="shared" ca="1" si="525"/>
        <v>13.2</v>
      </c>
      <c r="L293" s="828">
        <f t="shared" ca="1" si="523"/>
        <v>0</v>
      </c>
      <c r="M293" s="828">
        <f t="shared" ca="1" si="523"/>
        <v>0</v>
      </c>
      <c r="N293" s="828">
        <f t="shared" ca="1" si="523"/>
        <v>0</v>
      </c>
      <c r="O293" s="828">
        <f t="shared" ca="1" si="523"/>
        <v>0</v>
      </c>
      <c r="P293" s="828">
        <f ca="1">SUM(SUMIFS(OFFSET(貼付け_2024実績,$A293,11,1,199),OFFSET(貼付け_2024実績,4,9,1,199),{"横浜*","川崎*"}))</f>
        <v>0</v>
      </c>
      <c r="Q293" s="828">
        <f ca="1">SUM(SUMIFS(OFFSET(貼付け_2025実績,$A293,11,1,199),OFFSET(貼付け_2025実績,4,9,1,199),{"横浜*","川崎*"}))</f>
        <v>0</v>
      </c>
      <c r="R293" s="828">
        <f ca="1">SUM(SUMIFS(OFFSET(貼付け_2026実績,$A293,11,1,199),OFFSET(貼付け_2026実績,4,9,1,199),{"横浜*","川崎*"}))</f>
        <v>0</v>
      </c>
      <c r="S293" s="828">
        <f ca="1">SUM(SUMIFS(OFFSET(貼付け_2027実績,$A293,11,1,199),OFFSET(貼付け_2027実績,4,9,1,199),{"横浜*","川崎*"}))</f>
        <v>0</v>
      </c>
      <c r="T293" s="828">
        <f t="shared" ca="1" si="524"/>
        <v>0</v>
      </c>
      <c r="U293" s="828">
        <f t="shared" ca="1" si="524"/>
        <v>0</v>
      </c>
      <c r="V293" s="828">
        <f t="shared" ca="1" si="524"/>
        <v>0</v>
      </c>
      <c r="W293" s="828">
        <f t="shared" ca="1" si="524"/>
        <v>0</v>
      </c>
      <c r="X293" s="828">
        <f t="shared" ca="1" si="526"/>
        <v>0</v>
      </c>
      <c r="Y293" s="828">
        <f t="shared" ca="1" si="527"/>
        <v>0</v>
      </c>
      <c r="Z293" s="828">
        <f t="shared" ca="1" si="528"/>
        <v>0</v>
      </c>
      <c r="AA293" s="828">
        <f t="shared" ca="1" si="529"/>
        <v>0</v>
      </c>
      <c r="AB293" s="828" t="str">
        <f t="shared" ca="1" si="530"/>
        <v/>
      </c>
      <c r="AC293" s="828" t="str">
        <f t="shared" ca="1" si="531"/>
        <v/>
      </c>
      <c r="AD293" s="828" t="str">
        <f t="shared" ca="1" si="532"/>
        <v/>
      </c>
      <c r="AE293" s="828" t="str">
        <f t="shared" ca="1" si="533"/>
        <v/>
      </c>
      <c r="AF293" s="828" t="str">
        <f t="shared" ca="1" si="534"/>
        <v/>
      </c>
      <c r="AG293" s="828" t="str">
        <f t="shared" ca="1" si="535"/>
        <v/>
      </c>
      <c r="AH293" s="828" t="str">
        <f t="shared" ca="1" si="536"/>
        <v/>
      </c>
      <c r="AI293" s="828" t="str">
        <f t="shared" ca="1" si="537"/>
        <v/>
      </c>
      <c r="AJ293" s="828" t="str">
        <f t="shared" ca="1" si="538"/>
        <v/>
      </c>
      <c r="AK293" s="828" t="str">
        <f t="shared" ca="1" si="539"/>
        <v/>
      </c>
      <c r="AL293" s="828" t="str">
        <f t="shared" ca="1" si="540"/>
        <v/>
      </c>
      <c r="AM293" s="828" t="str">
        <f t="shared" ca="1" si="541"/>
        <v/>
      </c>
      <c r="AN293" s="828" t="str">
        <f t="shared" ca="1" si="542"/>
        <v/>
      </c>
      <c r="AO293" s="828" t="str">
        <f t="shared" ca="1" si="543"/>
        <v/>
      </c>
      <c r="AP293" s="828" t="str">
        <f t="shared" ca="1" si="544"/>
        <v/>
      </c>
      <c r="AQ293" s="828" t="str">
        <f t="shared" ca="1" si="545"/>
        <v/>
      </c>
      <c r="AR293" s="828" t="str">
        <f t="shared" ca="1" si="546"/>
        <v/>
      </c>
      <c r="AS293" s="828" t="str">
        <f t="shared" ca="1" si="547"/>
        <v/>
      </c>
      <c r="AT293" s="828" t="str">
        <f t="shared" ca="1" si="548"/>
        <v/>
      </c>
      <c r="AU293" s="828" t="str">
        <f t="shared" ca="1" si="549"/>
        <v/>
      </c>
      <c r="AV293" s="828" t="str">
        <f t="shared" ca="1" si="550"/>
        <v/>
      </c>
      <c r="AW293" s="828" t="str">
        <f t="shared" ca="1" si="551"/>
        <v/>
      </c>
      <c r="AX293" s="828" t="str">
        <f t="shared" ca="1" si="552"/>
        <v/>
      </c>
      <c r="AY293" s="828" t="str">
        <f t="shared" ca="1" si="553"/>
        <v/>
      </c>
      <c r="AZ293" s="828" t="str">
        <f t="shared" ca="1" si="554"/>
        <v/>
      </c>
      <c r="BA293" s="828" t="str">
        <f t="shared" ca="1" si="555"/>
        <v/>
      </c>
      <c r="BB293" s="828" t="str">
        <f t="shared" ca="1" si="556"/>
        <v/>
      </c>
      <c r="BC293" s="828" t="str">
        <f t="shared" ca="1" si="557"/>
        <v/>
      </c>
      <c r="BD293" s="828" t="str">
        <f t="shared" ca="1" si="558"/>
        <v/>
      </c>
      <c r="BE293" s="828" t="str">
        <f t="shared" ca="1" si="559"/>
        <v/>
      </c>
      <c r="BF293" s="828" t="str">
        <f t="shared" ca="1" si="560"/>
        <v/>
      </c>
      <c r="BG293" s="828" t="str">
        <f t="shared" ca="1" si="561"/>
        <v/>
      </c>
      <c r="BH293" s="828" t="str">
        <f t="shared" ca="1" si="562"/>
        <v/>
      </c>
      <c r="BI293" s="828" t="str">
        <f t="shared" ca="1" si="563"/>
        <v/>
      </c>
      <c r="BJ293" s="828" t="str">
        <f t="shared" ca="1" si="564"/>
        <v/>
      </c>
      <c r="BK293" s="828" t="str">
        <f t="shared" ca="1" si="565"/>
        <v/>
      </c>
      <c r="BL293" s="828" t="str">
        <f t="shared" ca="1" si="566"/>
        <v/>
      </c>
      <c r="BM293" s="828" t="str">
        <f t="shared" ca="1" si="567"/>
        <v/>
      </c>
      <c r="BN293" s="828" t="str">
        <f t="shared" ca="1" si="568"/>
        <v/>
      </c>
      <c r="BO293" s="828" t="str">
        <f t="shared" ca="1" si="569"/>
        <v/>
      </c>
    </row>
    <row r="294" spans="1:67" ht="20.100000000000001" customHeight="1">
      <c r="A294" s="823">
        <v>44</v>
      </c>
      <c r="B294" s="1870"/>
      <c r="C294" s="1872"/>
      <c r="D294" s="832" t="s">
        <v>4183</v>
      </c>
      <c r="E294" s="824"/>
      <c r="F294" s="825"/>
      <c r="G294" s="826" t="s">
        <v>3777</v>
      </c>
      <c r="H294" s="827">
        <f t="shared" ca="1" si="525"/>
        <v>18</v>
      </c>
      <c r="I294" s="827">
        <f t="shared" ca="1" si="525"/>
        <v>18</v>
      </c>
      <c r="J294" s="827">
        <f t="shared" ca="1" si="525"/>
        <v>18</v>
      </c>
      <c r="K294" s="827">
        <f t="shared" ca="1" si="525"/>
        <v>18</v>
      </c>
      <c r="L294" s="828">
        <f t="shared" ca="1" si="523"/>
        <v>0</v>
      </c>
      <c r="M294" s="828">
        <f t="shared" ca="1" si="523"/>
        <v>0</v>
      </c>
      <c r="N294" s="828">
        <f t="shared" ca="1" si="523"/>
        <v>0</v>
      </c>
      <c r="O294" s="828">
        <f t="shared" ca="1" si="523"/>
        <v>0</v>
      </c>
      <c r="P294" s="828">
        <f ca="1">SUM(SUMIFS(OFFSET(貼付け_2024実績,$A294,11,1,199),OFFSET(貼付け_2024実績,4,9,1,199),{"横浜*","川崎*"}))</f>
        <v>0</v>
      </c>
      <c r="Q294" s="828">
        <f ca="1">SUM(SUMIFS(OFFSET(貼付け_2025実績,$A294,11,1,199),OFFSET(貼付け_2025実績,4,9,1,199),{"横浜*","川崎*"}))</f>
        <v>0</v>
      </c>
      <c r="R294" s="828">
        <f ca="1">SUM(SUMIFS(OFFSET(貼付け_2026実績,$A294,11,1,199),OFFSET(貼付け_2026実績,4,9,1,199),{"横浜*","川崎*"}))</f>
        <v>0</v>
      </c>
      <c r="S294" s="828">
        <f ca="1">SUM(SUMIFS(OFFSET(貼付け_2027実績,$A294,11,1,199),OFFSET(貼付け_2027実績,4,9,1,199),{"横浜*","川崎*"}))</f>
        <v>0</v>
      </c>
      <c r="T294" s="828">
        <f t="shared" ca="1" si="524"/>
        <v>0</v>
      </c>
      <c r="U294" s="828">
        <f t="shared" ca="1" si="524"/>
        <v>0</v>
      </c>
      <c r="V294" s="828">
        <f t="shared" ca="1" si="524"/>
        <v>0</v>
      </c>
      <c r="W294" s="828">
        <f t="shared" ca="1" si="524"/>
        <v>0</v>
      </c>
      <c r="X294" s="828">
        <f t="shared" ca="1" si="526"/>
        <v>0</v>
      </c>
      <c r="Y294" s="828">
        <f t="shared" ca="1" si="527"/>
        <v>0</v>
      </c>
      <c r="Z294" s="828">
        <f t="shared" ca="1" si="528"/>
        <v>0</v>
      </c>
      <c r="AA294" s="828">
        <f t="shared" ca="1" si="529"/>
        <v>0</v>
      </c>
      <c r="AB294" s="828" t="str">
        <f t="shared" ca="1" si="530"/>
        <v/>
      </c>
      <c r="AC294" s="828" t="str">
        <f t="shared" ca="1" si="531"/>
        <v/>
      </c>
      <c r="AD294" s="828" t="str">
        <f t="shared" ca="1" si="532"/>
        <v/>
      </c>
      <c r="AE294" s="828" t="str">
        <f t="shared" ca="1" si="533"/>
        <v/>
      </c>
      <c r="AF294" s="828" t="str">
        <f t="shared" ca="1" si="534"/>
        <v/>
      </c>
      <c r="AG294" s="828" t="str">
        <f t="shared" ca="1" si="535"/>
        <v/>
      </c>
      <c r="AH294" s="828" t="str">
        <f t="shared" ca="1" si="536"/>
        <v/>
      </c>
      <c r="AI294" s="828" t="str">
        <f t="shared" ca="1" si="537"/>
        <v/>
      </c>
      <c r="AJ294" s="828" t="str">
        <f t="shared" ca="1" si="538"/>
        <v/>
      </c>
      <c r="AK294" s="828" t="str">
        <f t="shared" ca="1" si="539"/>
        <v/>
      </c>
      <c r="AL294" s="828" t="str">
        <f t="shared" ca="1" si="540"/>
        <v/>
      </c>
      <c r="AM294" s="828" t="str">
        <f t="shared" ca="1" si="541"/>
        <v/>
      </c>
      <c r="AN294" s="828" t="str">
        <f t="shared" ca="1" si="542"/>
        <v/>
      </c>
      <c r="AO294" s="828" t="str">
        <f t="shared" ca="1" si="543"/>
        <v/>
      </c>
      <c r="AP294" s="828" t="str">
        <f t="shared" ca="1" si="544"/>
        <v/>
      </c>
      <c r="AQ294" s="828" t="str">
        <f t="shared" ca="1" si="545"/>
        <v/>
      </c>
      <c r="AR294" s="828" t="str">
        <f t="shared" ca="1" si="546"/>
        <v/>
      </c>
      <c r="AS294" s="828" t="str">
        <f t="shared" ca="1" si="547"/>
        <v/>
      </c>
      <c r="AT294" s="828" t="str">
        <f t="shared" ca="1" si="548"/>
        <v/>
      </c>
      <c r="AU294" s="828" t="str">
        <f t="shared" ca="1" si="549"/>
        <v/>
      </c>
      <c r="AV294" s="828" t="str">
        <f t="shared" ca="1" si="550"/>
        <v/>
      </c>
      <c r="AW294" s="828" t="str">
        <f t="shared" ca="1" si="551"/>
        <v/>
      </c>
      <c r="AX294" s="828" t="str">
        <f t="shared" ca="1" si="552"/>
        <v/>
      </c>
      <c r="AY294" s="828" t="str">
        <f t="shared" ca="1" si="553"/>
        <v/>
      </c>
      <c r="AZ294" s="828" t="str">
        <f t="shared" ca="1" si="554"/>
        <v/>
      </c>
      <c r="BA294" s="828" t="str">
        <f t="shared" ca="1" si="555"/>
        <v/>
      </c>
      <c r="BB294" s="828" t="str">
        <f t="shared" ca="1" si="556"/>
        <v/>
      </c>
      <c r="BC294" s="828" t="str">
        <f t="shared" ca="1" si="557"/>
        <v/>
      </c>
      <c r="BD294" s="828" t="str">
        <f t="shared" ca="1" si="558"/>
        <v/>
      </c>
      <c r="BE294" s="828" t="str">
        <f t="shared" ca="1" si="559"/>
        <v/>
      </c>
      <c r="BF294" s="828" t="str">
        <f t="shared" ca="1" si="560"/>
        <v/>
      </c>
      <c r="BG294" s="828" t="str">
        <f t="shared" ca="1" si="561"/>
        <v/>
      </c>
      <c r="BH294" s="828" t="str">
        <f t="shared" ca="1" si="562"/>
        <v/>
      </c>
      <c r="BI294" s="828" t="str">
        <f t="shared" ca="1" si="563"/>
        <v/>
      </c>
      <c r="BJ294" s="828" t="str">
        <f t="shared" ca="1" si="564"/>
        <v/>
      </c>
      <c r="BK294" s="828" t="str">
        <f t="shared" ca="1" si="565"/>
        <v/>
      </c>
      <c r="BL294" s="828" t="str">
        <f t="shared" ca="1" si="566"/>
        <v/>
      </c>
      <c r="BM294" s="828" t="str">
        <f t="shared" ca="1" si="567"/>
        <v/>
      </c>
      <c r="BN294" s="828" t="str">
        <f t="shared" ca="1" si="568"/>
        <v/>
      </c>
      <c r="BO294" s="828" t="str">
        <f t="shared" ca="1" si="569"/>
        <v/>
      </c>
    </row>
    <row r="295" spans="1:67" ht="20.100000000000001" customHeight="1">
      <c r="A295" s="823">
        <v>45</v>
      </c>
      <c r="B295" s="1870"/>
      <c r="C295" s="1872"/>
      <c r="D295" s="832" t="s">
        <v>4184</v>
      </c>
      <c r="E295" s="834"/>
      <c r="F295" s="825"/>
      <c r="G295" s="826" t="s">
        <v>3777</v>
      </c>
      <c r="H295" s="827">
        <f t="shared" ca="1" si="525"/>
        <v>26.9</v>
      </c>
      <c r="I295" s="827">
        <f t="shared" ca="1" si="525"/>
        <v>26.9</v>
      </c>
      <c r="J295" s="827">
        <f t="shared" ca="1" si="525"/>
        <v>26.9</v>
      </c>
      <c r="K295" s="827">
        <f t="shared" ca="1" si="525"/>
        <v>26.9</v>
      </c>
      <c r="L295" s="828">
        <f t="shared" ca="1" si="523"/>
        <v>0</v>
      </c>
      <c r="M295" s="828">
        <f t="shared" ca="1" si="523"/>
        <v>0</v>
      </c>
      <c r="N295" s="828">
        <f t="shared" ca="1" si="523"/>
        <v>0</v>
      </c>
      <c r="O295" s="828">
        <f t="shared" ca="1" si="523"/>
        <v>0</v>
      </c>
      <c r="P295" s="828">
        <f ca="1">SUM(SUMIFS(OFFSET(貼付け_2024実績,$A295,11,1,199),OFFSET(貼付け_2024実績,4,9,1,199),{"横浜*","川崎*"}))</f>
        <v>0</v>
      </c>
      <c r="Q295" s="828">
        <f ca="1">SUM(SUMIFS(OFFSET(貼付け_2025実績,$A295,11,1,199),OFFSET(貼付け_2025実績,4,9,1,199),{"横浜*","川崎*"}))</f>
        <v>0</v>
      </c>
      <c r="R295" s="828">
        <f ca="1">SUM(SUMIFS(OFFSET(貼付け_2026実績,$A295,11,1,199),OFFSET(貼付け_2026実績,4,9,1,199),{"横浜*","川崎*"}))</f>
        <v>0</v>
      </c>
      <c r="S295" s="828">
        <f ca="1">SUM(SUMIFS(OFFSET(貼付け_2027実績,$A295,11,1,199),OFFSET(貼付け_2027実績,4,9,1,199),{"横浜*","川崎*"}))</f>
        <v>0</v>
      </c>
      <c r="T295" s="828">
        <f t="shared" ca="1" si="524"/>
        <v>0</v>
      </c>
      <c r="U295" s="828">
        <f t="shared" ca="1" si="524"/>
        <v>0</v>
      </c>
      <c r="V295" s="828">
        <f t="shared" ca="1" si="524"/>
        <v>0</v>
      </c>
      <c r="W295" s="828">
        <f t="shared" ca="1" si="524"/>
        <v>0</v>
      </c>
      <c r="X295" s="828">
        <f t="shared" ca="1" si="526"/>
        <v>0</v>
      </c>
      <c r="Y295" s="828">
        <f t="shared" ca="1" si="527"/>
        <v>0</v>
      </c>
      <c r="Z295" s="828">
        <f t="shared" ca="1" si="528"/>
        <v>0</v>
      </c>
      <c r="AA295" s="828">
        <f t="shared" ca="1" si="529"/>
        <v>0</v>
      </c>
      <c r="AB295" s="828" t="str">
        <f t="shared" ca="1" si="530"/>
        <v/>
      </c>
      <c r="AC295" s="828" t="str">
        <f t="shared" ca="1" si="531"/>
        <v/>
      </c>
      <c r="AD295" s="828" t="str">
        <f t="shared" ca="1" si="532"/>
        <v/>
      </c>
      <c r="AE295" s="828" t="str">
        <f t="shared" ca="1" si="533"/>
        <v/>
      </c>
      <c r="AF295" s="828" t="str">
        <f t="shared" ca="1" si="534"/>
        <v/>
      </c>
      <c r="AG295" s="828" t="str">
        <f t="shared" ca="1" si="535"/>
        <v/>
      </c>
      <c r="AH295" s="828" t="str">
        <f t="shared" ca="1" si="536"/>
        <v/>
      </c>
      <c r="AI295" s="828" t="str">
        <f t="shared" ca="1" si="537"/>
        <v/>
      </c>
      <c r="AJ295" s="828" t="str">
        <f t="shared" ca="1" si="538"/>
        <v/>
      </c>
      <c r="AK295" s="828" t="str">
        <f t="shared" ca="1" si="539"/>
        <v/>
      </c>
      <c r="AL295" s="828" t="str">
        <f t="shared" ca="1" si="540"/>
        <v/>
      </c>
      <c r="AM295" s="828" t="str">
        <f t="shared" ca="1" si="541"/>
        <v/>
      </c>
      <c r="AN295" s="828" t="str">
        <f t="shared" ca="1" si="542"/>
        <v/>
      </c>
      <c r="AO295" s="828" t="str">
        <f t="shared" ca="1" si="543"/>
        <v/>
      </c>
      <c r="AP295" s="828" t="str">
        <f t="shared" ca="1" si="544"/>
        <v/>
      </c>
      <c r="AQ295" s="828" t="str">
        <f t="shared" ca="1" si="545"/>
        <v/>
      </c>
      <c r="AR295" s="828" t="str">
        <f t="shared" ca="1" si="546"/>
        <v/>
      </c>
      <c r="AS295" s="828" t="str">
        <f t="shared" ca="1" si="547"/>
        <v/>
      </c>
      <c r="AT295" s="828" t="str">
        <f t="shared" ca="1" si="548"/>
        <v/>
      </c>
      <c r="AU295" s="828" t="str">
        <f t="shared" ca="1" si="549"/>
        <v/>
      </c>
      <c r="AV295" s="828" t="str">
        <f t="shared" ca="1" si="550"/>
        <v/>
      </c>
      <c r="AW295" s="828" t="str">
        <f t="shared" ca="1" si="551"/>
        <v/>
      </c>
      <c r="AX295" s="828" t="str">
        <f t="shared" ca="1" si="552"/>
        <v/>
      </c>
      <c r="AY295" s="828" t="str">
        <f t="shared" ca="1" si="553"/>
        <v/>
      </c>
      <c r="AZ295" s="828" t="str">
        <f t="shared" ca="1" si="554"/>
        <v/>
      </c>
      <c r="BA295" s="828" t="str">
        <f t="shared" ca="1" si="555"/>
        <v/>
      </c>
      <c r="BB295" s="828" t="str">
        <f t="shared" ca="1" si="556"/>
        <v/>
      </c>
      <c r="BC295" s="828" t="str">
        <f t="shared" ca="1" si="557"/>
        <v/>
      </c>
      <c r="BD295" s="828" t="str">
        <f t="shared" ca="1" si="558"/>
        <v/>
      </c>
      <c r="BE295" s="828" t="str">
        <f t="shared" ca="1" si="559"/>
        <v/>
      </c>
      <c r="BF295" s="828" t="str">
        <f t="shared" ca="1" si="560"/>
        <v/>
      </c>
      <c r="BG295" s="828" t="str">
        <f t="shared" ca="1" si="561"/>
        <v/>
      </c>
      <c r="BH295" s="828" t="str">
        <f t="shared" ca="1" si="562"/>
        <v/>
      </c>
      <c r="BI295" s="828" t="str">
        <f t="shared" ca="1" si="563"/>
        <v/>
      </c>
      <c r="BJ295" s="828" t="str">
        <f t="shared" ca="1" si="564"/>
        <v/>
      </c>
      <c r="BK295" s="828" t="str">
        <f t="shared" ca="1" si="565"/>
        <v/>
      </c>
      <c r="BL295" s="828" t="str">
        <f t="shared" ca="1" si="566"/>
        <v/>
      </c>
      <c r="BM295" s="828" t="str">
        <f t="shared" ca="1" si="567"/>
        <v/>
      </c>
      <c r="BN295" s="828" t="str">
        <f t="shared" ca="1" si="568"/>
        <v/>
      </c>
      <c r="BO295" s="828" t="str">
        <f t="shared" ca="1" si="569"/>
        <v/>
      </c>
    </row>
    <row r="296" spans="1:67" ht="20.100000000000001" customHeight="1">
      <c r="A296" s="823">
        <v>46</v>
      </c>
      <c r="B296" s="1870"/>
      <c r="C296" s="1872"/>
      <c r="D296" s="832" t="s">
        <v>4411</v>
      </c>
      <c r="E296" s="818"/>
      <c r="F296" s="825"/>
      <c r="G296" s="826" t="s">
        <v>3777</v>
      </c>
      <c r="H296" s="827">
        <f t="shared" ca="1" si="525"/>
        <v>33.200000000000003</v>
      </c>
      <c r="I296" s="827">
        <f t="shared" ca="1" si="525"/>
        <v>33.200000000000003</v>
      </c>
      <c r="J296" s="827">
        <f t="shared" ca="1" si="525"/>
        <v>33.200000000000003</v>
      </c>
      <c r="K296" s="827">
        <f t="shared" ca="1" si="525"/>
        <v>33.200000000000003</v>
      </c>
      <c r="L296" s="828">
        <f t="shared" ca="1" si="523"/>
        <v>0</v>
      </c>
      <c r="M296" s="828">
        <f t="shared" ca="1" si="523"/>
        <v>0</v>
      </c>
      <c r="N296" s="828">
        <f t="shared" ca="1" si="523"/>
        <v>0</v>
      </c>
      <c r="O296" s="828">
        <f t="shared" ca="1" si="523"/>
        <v>0</v>
      </c>
      <c r="P296" s="828">
        <f ca="1">SUM(SUMIFS(OFFSET(貼付け_2024実績,$A296,11,1,199),OFFSET(貼付け_2024実績,4,9,1,199),{"横浜*","川崎*"}))</f>
        <v>0</v>
      </c>
      <c r="Q296" s="828">
        <f ca="1">SUM(SUMIFS(OFFSET(貼付け_2025実績,$A296,11,1,199),OFFSET(貼付け_2025実績,4,9,1,199),{"横浜*","川崎*"}))</f>
        <v>0</v>
      </c>
      <c r="R296" s="828">
        <f ca="1">SUM(SUMIFS(OFFSET(貼付け_2026実績,$A296,11,1,199),OFFSET(貼付け_2026実績,4,9,1,199),{"横浜*","川崎*"}))</f>
        <v>0</v>
      </c>
      <c r="S296" s="828">
        <f ca="1">SUM(SUMIFS(OFFSET(貼付け_2027実績,$A296,11,1,199),OFFSET(貼付け_2027実績,4,9,1,199),{"横浜*","川崎*"}))</f>
        <v>0</v>
      </c>
      <c r="T296" s="828">
        <f t="shared" ca="1" si="524"/>
        <v>0</v>
      </c>
      <c r="U296" s="828">
        <f t="shared" ca="1" si="524"/>
        <v>0</v>
      </c>
      <c r="V296" s="828">
        <f t="shared" ca="1" si="524"/>
        <v>0</v>
      </c>
      <c r="W296" s="828">
        <f t="shared" ca="1" si="524"/>
        <v>0</v>
      </c>
      <c r="X296" s="828">
        <f t="shared" ca="1" si="526"/>
        <v>0</v>
      </c>
      <c r="Y296" s="828">
        <f t="shared" ca="1" si="527"/>
        <v>0</v>
      </c>
      <c r="Z296" s="828">
        <f t="shared" ca="1" si="528"/>
        <v>0</v>
      </c>
      <c r="AA296" s="828">
        <f t="shared" ca="1" si="529"/>
        <v>0</v>
      </c>
      <c r="AB296" s="828" t="str">
        <f t="shared" ca="1" si="530"/>
        <v/>
      </c>
      <c r="AC296" s="828" t="str">
        <f t="shared" ca="1" si="531"/>
        <v/>
      </c>
      <c r="AD296" s="828" t="str">
        <f t="shared" ca="1" si="532"/>
        <v/>
      </c>
      <c r="AE296" s="828" t="str">
        <f t="shared" ca="1" si="533"/>
        <v/>
      </c>
      <c r="AF296" s="828" t="str">
        <f t="shared" ca="1" si="534"/>
        <v/>
      </c>
      <c r="AG296" s="828" t="str">
        <f t="shared" ca="1" si="535"/>
        <v/>
      </c>
      <c r="AH296" s="828" t="str">
        <f t="shared" ca="1" si="536"/>
        <v/>
      </c>
      <c r="AI296" s="828" t="str">
        <f t="shared" ca="1" si="537"/>
        <v/>
      </c>
      <c r="AJ296" s="828" t="str">
        <f t="shared" ca="1" si="538"/>
        <v/>
      </c>
      <c r="AK296" s="828" t="str">
        <f t="shared" ca="1" si="539"/>
        <v/>
      </c>
      <c r="AL296" s="828" t="str">
        <f t="shared" ca="1" si="540"/>
        <v/>
      </c>
      <c r="AM296" s="828" t="str">
        <f t="shared" ca="1" si="541"/>
        <v/>
      </c>
      <c r="AN296" s="828" t="str">
        <f t="shared" ca="1" si="542"/>
        <v/>
      </c>
      <c r="AO296" s="828" t="str">
        <f t="shared" ca="1" si="543"/>
        <v/>
      </c>
      <c r="AP296" s="828" t="str">
        <f t="shared" ca="1" si="544"/>
        <v/>
      </c>
      <c r="AQ296" s="828" t="str">
        <f t="shared" ca="1" si="545"/>
        <v/>
      </c>
      <c r="AR296" s="828" t="str">
        <f t="shared" ca="1" si="546"/>
        <v/>
      </c>
      <c r="AS296" s="828" t="str">
        <f t="shared" ca="1" si="547"/>
        <v/>
      </c>
      <c r="AT296" s="828" t="str">
        <f t="shared" ca="1" si="548"/>
        <v/>
      </c>
      <c r="AU296" s="828" t="str">
        <f t="shared" ca="1" si="549"/>
        <v/>
      </c>
      <c r="AV296" s="828" t="str">
        <f t="shared" ca="1" si="550"/>
        <v/>
      </c>
      <c r="AW296" s="828" t="str">
        <f t="shared" ca="1" si="551"/>
        <v/>
      </c>
      <c r="AX296" s="828" t="str">
        <f t="shared" ca="1" si="552"/>
        <v/>
      </c>
      <c r="AY296" s="828" t="str">
        <f t="shared" ca="1" si="553"/>
        <v/>
      </c>
      <c r="AZ296" s="828" t="str">
        <f t="shared" ca="1" si="554"/>
        <v/>
      </c>
      <c r="BA296" s="828" t="str">
        <f t="shared" ca="1" si="555"/>
        <v/>
      </c>
      <c r="BB296" s="828" t="str">
        <f t="shared" ca="1" si="556"/>
        <v/>
      </c>
      <c r="BC296" s="828" t="str">
        <f t="shared" ca="1" si="557"/>
        <v/>
      </c>
      <c r="BD296" s="828" t="str">
        <f t="shared" ca="1" si="558"/>
        <v/>
      </c>
      <c r="BE296" s="828" t="str">
        <f t="shared" ca="1" si="559"/>
        <v/>
      </c>
      <c r="BF296" s="828" t="str">
        <f t="shared" ca="1" si="560"/>
        <v/>
      </c>
      <c r="BG296" s="828" t="str">
        <f t="shared" ca="1" si="561"/>
        <v/>
      </c>
      <c r="BH296" s="828" t="str">
        <f t="shared" ca="1" si="562"/>
        <v/>
      </c>
      <c r="BI296" s="828" t="str">
        <f t="shared" ca="1" si="563"/>
        <v/>
      </c>
      <c r="BJ296" s="828" t="str">
        <f t="shared" ca="1" si="564"/>
        <v/>
      </c>
      <c r="BK296" s="828" t="str">
        <f t="shared" ca="1" si="565"/>
        <v/>
      </c>
      <c r="BL296" s="828" t="str">
        <f t="shared" ca="1" si="566"/>
        <v/>
      </c>
      <c r="BM296" s="828" t="str">
        <f t="shared" ca="1" si="567"/>
        <v/>
      </c>
      <c r="BN296" s="828" t="str">
        <f t="shared" ca="1" si="568"/>
        <v/>
      </c>
      <c r="BO296" s="828" t="str">
        <f t="shared" ca="1" si="569"/>
        <v/>
      </c>
    </row>
    <row r="297" spans="1:67" ht="20.100000000000001" customHeight="1">
      <c r="A297" s="823">
        <v>47</v>
      </c>
      <c r="B297" s="1871"/>
      <c r="C297" s="1872"/>
      <c r="D297" s="832" t="s">
        <v>4412</v>
      </c>
      <c r="E297" s="824"/>
      <c r="F297" s="825"/>
      <c r="G297" s="826" t="s">
        <v>3777</v>
      </c>
      <c r="H297" s="827">
        <f t="shared" ca="1" si="525"/>
        <v>29.3</v>
      </c>
      <c r="I297" s="827">
        <f t="shared" ca="1" si="525"/>
        <v>29.3</v>
      </c>
      <c r="J297" s="827">
        <f t="shared" ca="1" si="525"/>
        <v>29.3</v>
      </c>
      <c r="K297" s="827">
        <f t="shared" ca="1" si="525"/>
        <v>29.3</v>
      </c>
      <c r="L297" s="828">
        <f t="shared" ca="1" si="523"/>
        <v>0</v>
      </c>
      <c r="M297" s="828">
        <f t="shared" ca="1" si="523"/>
        <v>0</v>
      </c>
      <c r="N297" s="828">
        <f t="shared" ca="1" si="523"/>
        <v>0</v>
      </c>
      <c r="O297" s="828">
        <f t="shared" ca="1" si="523"/>
        <v>0</v>
      </c>
      <c r="P297" s="828">
        <f ca="1">SUM(SUMIFS(OFFSET(貼付け_2024実績,$A297,11,1,199),OFFSET(貼付け_2024実績,4,9,1,199),{"横浜*","川崎*"}))</f>
        <v>0</v>
      </c>
      <c r="Q297" s="828">
        <f ca="1">SUM(SUMIFS(OFFSET(貼付け_2025実績,$A297,11,1,199),OFFSET(貼付け_2025実績,4,9,1,199),{"横浜*","川崎*"}))</f>
        <v>0</v>
      </c>
      <c r="R297" s="828">
        <f ca="1">SUM(SUMIFS(OFFSET(貼付け_2026実績,$A297,11,1,199),OFFSET(貼付け_2026実績,4,9,1,199),{"横浜*","川崎*"}))</f>
        <v>0</v>
      </c>
      <c r="S297" s="828">
        <f ca="1">SUM(SUMIFS(OFFSET(貼付け_2027実績,$A297,11,1,199),OFFSET(貼付け_2027実績,4,9,1,199),{"横浜*","川崎*"}))</f>
        <v>0</v>
      </c>
      <c r="T297" s="828">
        <f t="shared" ca="1" si="524"/>
        <v>0</v>
      </c>
      <c r="U297" s="828">
        <f t="shared" ca="1" si="524"/>
        <v>0</v>
      </c>
      <c r="V297" s="828">
        <f t="shared" ca="1" si="524"/>
        <v>0</v>
      </c>
      <c r="W297" s="828">
        <f t="shared" ca="1" si="524"/>
        <v>0</v>
      </c>
      <c r="X297" s="828">
        <f t="shared" ca="1" si="526"/>
        <v>0</v>
      </c>
      <c r="Y297" s="828">
        <f t="shared" ca="1" si="527"/>
        <v>0</v>
      </c>
      <c r="Z297" s="828">
        <f t="shared" ca="1" si="528"/>
        <v>0</v>
      </c>
      <c r="AA297" s="828">
        <f t="shared" ca="1" si="529"/>
        <v>0</v>
      </c>
      <c r="AB297" s="828" t="str">
        <f t="shared" ca="1" si="530"/>
        <v/>
      </c>
      <c r="AC297" s="828" t="str">
        <f t="shared" ca="1" si="531"/>
        <v/>
      </c>
      <c r="AD297" s="828" t="str">
        <f t="shared" ca="1" si="532"/>
        <v/>
      </c>
      <c r="AE297" s="828" t="str">
        <f t="shared" ca="1" si="533"/>
        <v/>
      </c>
      <c r="AF297" s="828" t="str">
        <f t="shared" ca="1" si="534"/>
        <v/>
      </c>
      <c r="AG297" s="828" t="str">
        <f t="shared" ca="1" si="535"/>
        <v/>
      </c>
      <c r="AH297" s="828" t="str">
        <f t="shared" ca="1" si="536"/>
        <v/>
      </c>
      <c r="AI297" s="828" t="str">
        <f t="shared" ca="1" si="537"/>
        <v/>
      </c>
      <c r="AJ297" s="828" t="str">
        <f t="shared" ca="1" si="538"/>
        <v/>
      </c>
      <c r="AK297" s="828" t="str">
        <f t="shared" ca="1" si="539"/>
        <v/>
      </c>
      <c r="AL297" s="828" t="str">
        <f t="shared" ca="1" si="540"/>
        <v/>
      </c>
      <c r="AM297" s="828" t="str">
        <f t="shared" ca="1" si="541"/>
        <v/>
      </c>
      <c r="AN297" s="828" t="str">
        <f t="shared" ca="1" si="542"/>
        <v/>
      </c>
      <c r="AO297" s="828" t="str">
        <f t="shared" ca="1" si="543"/>
        <v/>
      </c>
      <c r="AP297" s="828" t="str">
        <f t="shared" ca="1" si="544"/>
        <v/>
      </c>
      <c r="AQ297" s="828" t="str">
        <f t="shared" ca="1" si="545"/>
        <v/>
      </c>
      <c r="AR297" s="828" t="str">
        <f t="shared" ca="1" si="546"/>
        <v/>
      </c>
      <c r="AS297" s="828" t="str">
        <f t="shared" ca="1" si="547"/>
        <v/>
      </c>
      <c r="AT297" s="828" t="str">
        <f t="shared" ca="1" si="548"/>
        <v/>
      </c>
      <c r="AU297" s="828" t="str">
        <f t="shared" ca="1" si="549"/>
        <v/>
      </c>
      <c r="AV297" s="828" t="str">
        <f t="shared" ca="1" si="550"/>
        <v/>
      </c>
      <c r="AW297" s="828" t="str">
        <f t="shared" ca="1" si="551"/>
        <v/>
      </c>
      <c r="AX297" s="828" t="str">
        <f t="shared" ca="1" si="552"/>
        <v/>
      </c>
      <c r="AY297" s="828" t="str">
        <f t="shared" ca="1" si="553"/>
        <v/>
      </c>
      <c r="AZ297" s="828" t="str">
        <f t="shared" ca="1" si="554"/>
        <v/>
      </c>
      <c r="BA297" s="828" t="str">
        <f t="shared" ca="1" si="555"/>
        <v/>
      </c>
      <c r="BB297" s="828" t="str">
        <f t="shared" ca="1" si="556"/>
        <v/>
      </c>
      <c r="BC297" s="828" t="str">
        <f t="shared" ca="1" si="557"/>
        <v/>
      </c>
      <c r="BD297" s="828" t="str">
        <f t="shared" ca="1" si="558"/>
        <v/>
      </c>
      <c r="BE297" s="828" t="str">
        <f t="shared" ca="1" si="559"/>
        <v/>
      </c>
      <c r="BF297" s="828" t="str">
        <f t="shared" ca="1" si="560"/>
        <v/>
      </c>
      <c r="BG297" s="828" t="str">
        <f t="shared" ca="1" si="561"/>
        <v/>
      </c>
      <c r="BH297" s="828" t="str">
        <f t="shared" ca="1" si="562"/>
        <v/>
      </c>
      <c r="BI297" s="828" t="str">
        <f t="shared" ca="1" si="563"/>
        <v/>
      </c>
      <c r="BJ297" s="828" t="str">
        <f t="shared" ca="1" si="564"/>
        <v/>
      </c>
      <c r="BK297" s="828" t="str">
        <f t="shared" ca="1" si="565"/>
        <v/>
      </c>
      <c r="BL297" s="828" t="str">
        <f t="shared" ca="1" si="566"/>
        <v/>
      </c>
      <c r="BM297" s="828" t="str">
        <f t="shared" ca="1" si="567"/>
        <v/>
      </c>
      <c r="BN297" s="828" t="str">
        <f t="shared" ca="1" si="568"/>
        <v/>
      </c>
      <c r="BO297" s="828" t="str">
        <f t="shared" ca="1" si="569"/>
        <v/>
      </c>
    </row>
    <row r="298" spans="1:67" ht="20.100000000000001" customHeight="1">
      <c r="A298" s="823">
        <v>48</v>
      </c>
      <c r="B298" s="1871"/>
      <c r="C298" s="1872"/>
      <c r="D298" s="832" t="s">
        <v>4413</v>
      </c>
      <c r="E298" s="824"/>
      <c r="F298" s="825"/>
      <c r="G298" s="826" t="s">
        <v>3777</v>
      </c>
      <c r="H298" s="827">
        <f t="shared" ca="1" si="525"/>
        <v>29.3</v>
      </c>
      <c r="I298" s="827">
        <f t="shared" ca="1" si="525"/>
        <v>29.3</v>
      </c>
      <c r="J298" s="827">
        <f t="shared" ca="1" si="525"/>
        <v>29.3</v>
      </c>
      <c r="K298" s="827">
        <f t="shared" ca="1" si="525"/>
        <v>29.3</v>
      </c>
      <c r="L298" s="828">
        <f t="shared" ca="1" si="523"/>
        <v>0</v>
      </c>
      <c r="M298" s="828">
        <f t="shared" ca="1" si="523"/>
        <v>0</v>
      </c>
      <c r="N298" s="828">
        <f t="shared" ca="1" si="523"/>
        <v>0</v>
      </c>
      <c r="O298" s="828">
        <f t="shared" ca="1" si="523"/>
        <v>0</v>
      </c>
      <c r="P298" s="828">
        <f ca="1">SUM(SUMIFS(OFFSET(貼付け_2024実績,$A298,11,1,199),OFFSET(貼付け_2024実績,4,9,1,199),{"横浜*","川崎*"}))</f>
        <v>0</v>
      </c>
      <c r="Q298" s="828">
        <f ca="1">SUM(SUMIFS(OFFSET(貼付け_2025実績,$A298,11,1,199),OFFSET(貼付け_2025実績,4,9,1,199),{"横浜*","川崎*"}))</f>
        <v>0</v>
      </c>
      <c r="R298" s="828">
        <f ca="1">SUM(SUMIFS(OFFSET(貼付け_2026実績,$A298,11,1,199),OFFSET(貼付け_2026実績,4,9,1,199),{"横浜*","川崎*"}))</f>
        <v>0</v>
      </c>
      <c r="S298" s="828">
        <f ca="1">SUM(SUMIFS(OFFSET(貼付け_2027実績,$A298,11,1,199),OFFSET(貼付け_2027実績,4,9,1,199),{"横浜*","川崎*"}))</f>
        <v>0</v>
      </c>
      <c r="T298" s="828">
        <f t="shared" ca="1" si="524"/>
        <v>0</v>
      </c>
      <c r="U298" s="828">
        <f t="shared" ca="1" si="524"/>
        <v>0</v>
      </c>
      <c r="V298" s="828">
        <f t="shared" ca="1" si="524"/>
        <v>0</v>
      </c>
      <c r="W298" s="828">
        <f t="shared" ca="1" si="524"/>
        <v>0</v>
      </c>
      <c r="X298" s="828">
        <f t="shared" ca="1" si="526"/>
        <v>0</v>
      </c>
      <c r="Y298" s="828">
        <f t="shared" ca="1" si="527"/>
        <v>0</v>
      </c>
      <c r="Z298" s="828">
        <f t="shared" ca="1" si="528"/>
        <v>0</v>
      </c>
      <c r="AA298" s="828">
        <f t="shared" ca="1" si="529"/>
        <v>0</v>
      </c>
      <c r="AB298" s="828" t="str">
        <f t="shared" ca="1" si="530"/>
        <v/>
      </c>
      <c r="AC298" s="828" t="str">
        <f t="shared" ca="1" si="531"/>
        <v/>
      </c>
      <c r="AD298" s="828" t="str">
        <f t="shared" ca="1" si="532"/>
        <v/>
      </c>
      <c r="AE298" s="828" t="str">
        <f t="shared" ca="1" si="533"/>
        <v/>
      </c>
      <c r="AF298" s="828" t="str">
        <f t="shared" ca="1" si="534"/>
        <v/>
      </c>
      <c r="AG298" s="828" t="str">
        <f t="shared" ca="1" si="535"/>
        <v/>
      </c>
      <c r="AH298" s="828" t="str">
        <f t="shared" ca="1" si="536"/>
        <v/>
      </c>
      <c r="AI298" s="828" t="str">
        <f t="shared" ca="1" si="537"/>
        <v/>
      </c>
      <c r="AJ298" s="828" t="str">
        <f t="shared" ca="1" si="538"/>
        <v/>
      </c>
      <c r="AK298" s="828" t="str">
        <f t="shared" ca="1" si="539"/>
        <v/>
      </c>
      <c r="AL298" s="828" t="str">
        <f t="shared" ca="1" si="540"/>
        <v/>
      </c>
      <c r="AM298" s="828" t="str">
        <f t="shared" ca="1" si="541"/>
        <v/>
      </c>
      <c r="AN298" s="828" t="str">
        <f t="shared" ca="1" si="542"/>
        <v/>
      </c>
      <c r="AO298" s="828" t="str">
        <f t="shared" ca="1" si="543"/>
        <v/>
      </c>
      <c r="AP298" s="828" t="str">
        <f t="shared" ca="1" si="544"/>
        <v/>
      </c>
      <c r="AQ298" s="828" t="str">
        <f t="shared" ca="1" si="545"/>
        <v/>
      </c>
      <c r="AR298" s="828" t="str">
        <f t="shared" ca="1" si="546"/>
        <v/>
      </c>
      <c r="AS298" s="828" t="str">
        <f t="shared" ca="1" si="547"/>
        <v/>
      </c>
      <c r="AT298" s="828" t="str">
        <f t="shared" ca="1" si="548"/>
        <v/>
      </c>
      <c r="AU298" s="828" t="str">
        <f t="shared" ca="1" si="549"/>
        <v/>
      </c>
      <c r="AV298" s="828" t="str">
        <f t="shared" ca="1" si="550"/>
        <v/>
      </c>
      <c r="AW298" s="828" t="str">
        <f t="shared" ca="1" si="551"/>
        <v/>
      </c>
      <c r="AX298" s="828" t="str">
        <f t="shared" ca="1" si="552"/>
        <v/>
      </c>
      <c r="AY298" s="828" t="str">
        <f t="shared" ca="1" si="553"/>
        <v/>
      </c>
      <c r="AZ298" s="828" t="str">
        <f t="shared" ca="1" si="554"/>
        <v/>
      </c>
      <c r="BA298" s="828" t="str">
        <f t="shared" ca="1" si="555"/>
        <v/>
      </c>
      <c r="BB298" s="828" t="str">
        <f t="shared" ca="1" si="556"/>
        <v/>
      </c>
      <c r="BC298" s="828" t="str">
        <f t="shared" ca="1" si="557"/>
        <v/>
      </c>
      <c r="BD298" s="828" t="str">
        <f t="shared" ca="1" si="558"/>
        <v/>
      </c>
      <c r="BE298" s="828" t="str">
        <f t="shared" ca="1" si="559"/>
        <v/>
      </c>
      <c r="BF298" s="828" t="str">
        <f t="shared" ca="1" si="560"/>
        <v/>
      </c>
      <c r="BG298" s="828" t="str">
        <f t="shared" ca="1" si="561"/>
        <v/>
      </c>
      <c r="BH298" s="828" t="str">
        <f t="shared" ca="1" si="562"/>
        <v/>
      </c>
      <c r="BI298" s="828" t="str">
        <f t="shared" ca="1" si="563"/>
        <v/>
      </c>
      <c r="BJ298" s="828" t="str">
        <f t="shared" ca="1" si="564"/>
        <v/>
      </c>
      <c r="BK298" s="828" t="str">
        <f t="shared" ca="1" si="565"/>
        <v/>
      </c>
      <c r="BL298" s="828" t="str">
        <f t="shared" ca="1" si="566"/>
        <v/>
      </c>
      <c r="BM298" s="828" t="str">
        <f t="shared" ca="1" si="567"/>
        <v/>
      </c>
      <c r="BN298" s="828" t="str">
        <f t="shared" ca="1" si="568"/>
        <v/>
      </c>
      <c r="BO298" s="828" t="str">
        <f t="shared" ca="1" si="569"/>
        <v/>
      </c>
    </row>
    <row r="299" spans="1:67" ht="20.100000000000001" customHeight="1">
      <c r="A299" s="823">
        <v>49</v>
      </c>
      <c r="B299" s="1871"/>
      <c r="C299" s="1872"/>
      <c r="D299" s="832" t="s">
        <v>4414</v>
      </c>
      <c r="E299" s="824"/>
      <c r="F299" s="825"/>
      <c r="G299" s="826" t="s">
        <v>4144</v>
      </c>
      <c r="H299" s="827">
        <f t="shared" ca="1" si="525"/>
        <v>40.200000000000003</v>
      </c>
      <c r="I299" s="827">
        <f t="shared" ca="1" si="525"/>
        <v>40.200000000000003</v>
      </c>
      <c r="J299" s="827">
        <f t="shared" ca="1" si="525"/>
        <v>40.200000000000003</v>
      </c>
      <c r="K299" s="827">
        <f t="shared" ca="1" si="525"/>
        <v>40.200000000000003</v>
      </c>
      <c r="L299" s="828">
        <f t="shared" ca="1" si="523"/>
        <v>0</v>
      </c>
      <c r="M299" s="828">
        <f t="shared" ca="1" si="523"/>
        <v>0</v>
      </c>
      <c r="N299" s="828">
        <f t="shared" ca="1" si="523"/>
        <v>0</v>
      </c>
      <c r="O299" s="828">
        <f t="shared" ca="1" si="523"/>
        <v>0</v>
      </c>
      <c r="P299" s="828">
        <f ca="1">SUM(SUMIFS(OFFSET(貼付け_2024実績,$A299,11,1,199),OFFSET(貼付け_2024実績,4,9,1,199),{"横浜*","川崎*"}))</f>
        <v>0</v>
      </c>
      <c r="Q299" s="828">
        <f ca="1">SUM(SUMIFS(OFFSET(貼付け_2025実績,$A299,11,1,199),OFFSET(貼付け_2025実績,4,9,1,199),{"横浜*","川崎*"}))</f>
        <v>0</v>
      </c>
      <c r="R299" s="828">
        <f ca="1">SUM(SUMIFS(OFFSET(貼付け_2026実績,$A299,11,1,199),OFFSET(貼付け_2026実績,4,9,1,199),{"横浜*","川崎*"}))</f>
        <v>0</v>
      </c>
      <c r="S299" s="828">
        <f ca="1">SUM(SUMIFS(OFFSET(貼付け_2027実績,$A299,11,1,199),OFFSET(貼付け_2027実績,4,9,1,199),{"横浜*","川崎*"}))</f>
        <v>0</v>
      </c>
      <c r="T299" s="828">
        <f t="shared" ca="1" si="524"/>
        <v>0</v>
      </c>
      <c r="U299" s="828">
        <f t="shared" ca="1" si="524"/>
        <v>0</v>
      </c>
      <c r="V299" s="828">
        <f t="shared" ca="1" si="524"/>
        <v>0</v>
      </c>
      <c r="W299" s="828">
        <f t="shared" ca="1" si="524"/>
        <v>0</v>
      </c>
      <c r="X299" s="828">
        <f t="shared" ca="1" si="526"/>
        <v>0</v>
      </c>
      <c r="Y299" s="828">
        <f t="shared" ca="1" si="527"/>
        <v>0</v>
      </c>
      <c r="Z299" s="828">
        <f t="shared" ca="1" si="528"/>
        <v>0</v>
      </c>
      <c r="AA299" s="828">
        <f t="shared" ca="1" si="529"/>
        <v>0</v>
      </c>
      <c r="AB299" s="828" t="str">
        <f t="shared" ca="1" si="530"/>
        <v/>
      </c>
      <c r="AC299" s="828" t="str">
        <f t="shared" ca="1" si="531"/>
        <v/>
      </c>
      <c r="AD299" s="828" t="str">
        <f t="shared" ca="1" si="532"/>
        <v/>
      </c>
      <c r="AE299" s="828" t="str">
        <f t="shared" ca="1" si="533"/>
        <v/>
      </c>
      <c r="AF299" s="828" t="str">
        <f t="shared" ca="1" si="534"/>
        <v/>
      </c>
      <c r="AG299" s="828" t="str">
        <f t="shared" ca="1" si="535"/>
        <v/>
      </c>
      <c r="AH299" s="828" t="str">
        <f t="shared" ca="1" si="536"/>
        <v/>
      </c>
      <c r="AI299" s="828" t="str">
        <f t="shared" ca="1" si="537"/>
        <v/>
      </c>
      <c r="AJ299" s="828" t="str">
        <f t="shared" ca="1" si="538"/>
        <v/>
      </c>
      <c r="AK299" s="828" t="str">
        <f t="shared" ca="1" si="539"/>
        <v/>
      </c>
      <c r="AL299" s="828" t="str">
        <f t="shared" ca="1" si="540"/>
        <v/>
      </c>
      <c r="AM299" s="828" t="str">
        <f t="shared" ca="1" si="541"/>
        <v/>
      </c>
      <c r="AN299" s="828" t="str">
        <f t="shared" ca="1" si="542"/>
        <v/>
      </c>
      <c r="AO299" s="828" t="str">
        <f t="shared" ca="1" si="543"/>
        <v/>
      </c>
      <c r="AP299" s="828" t="str">
        <f t="shared" ca="1" si="544"/>
        <v/>
      </c>
      <c r="AQ299" s="828" t="str">
        <f t="shared" ca="1" si="545"/>
        <v/>
      </c>
      <c r="AR299" s="828" t="str">
        <f t="shared" ca="1" si="546"/>
        <v/>
      </c>
      <c r="AS299" s="828" t="str">
        <f t="shared" ca="1" si="547"/>
        <v/>
      </c>
      <c r="AT299" s="828" t="str">
        <f t="shared" ca="1" si="548"/>
        <v/>
      </c>
      <c r="AU299" s="828" t="str">
        <f t="shared" ca="1" si="549"/>
        <v/>
      </c>
      <c r="AV299" s="828" t="str">
        <f t="shared" ca="1" si="550"/>
        <v/>
      </c>
      <c r="AW299" s="828" t="str">
        <f t="shared" ca="1" si="551"/>
        <v/>
      </c>
      <c r="AX299" s="828" t="str">
        <f t="shared" ca="1" si="552"/>
        <v/>
      </c>
      <c r="AY299" s="828" t="str">
        <f t="shared" ca="1" si="553"/>
        <v/>
      </c>
      <c r="AZ299" s="828" t="str">
        <f t="shared" ca="1" si="554"/>
        <v/>
      </c>
      <c r="BA299" s="828" t="str">
        <f t="shared" ca="1" si="555"/>
        <v/>
      </c>
      <c r="BB299" s="828" t="str">
        <f t="shared" ca="1" si="556"/>
        <v/>
      </c>
      <c r="BC299" s="828" t="str">
        <f t="shared" ca="1" si="557"/>
        <v/>
      </c>
      <c r="BD299" s="828" t="str">
        <f t="shared" ca="1" si="558"/>
        <v/>
      </c>
      <c r="BE299" s="828" t="str">
        <f t="shared" ca="1" si="559"/>
        <v/>
      </c>
      <c r="BF299" s="828" t="str">
        <f t="shared" ca="1" si="560"/>
        <v/>
      </c>
      <c r="BG299" s="828" t="str">
        <f t="shared" ca="1" si="561"/>
        <v/>
      </c>
      <c r="BH299" s="828" t="str">
        <f t="shared" ca="1" si="562"/>
        <v/>
      </c>
      <c r="BI299" s="828" t="str">
        <f t="shared" ca="1" si="563"/>
        <v/>
      </c>
      <c r="BJ299" s="828" t="str">
        <f t="shared" ca="1" si="564"/>
        <v/>
      </c>
      <c r="BK299" s="828" t="str">
        <f t="shared" ca="1" si="565"/>
        <v/>
      </c>
      <c r="BL299" s="828" t="str">
        <f t="shared" ca="1" si="566"/>
        <v/>
      </c>
      <c r="BM299" s="828" t="str">
        <f t="shared" ca="1" si="567"/>
        <v/>
      </c>
      <c r="BN299" s="828" t="str">
        <f t="shared" ca="1" si="568"/>
        <v/>
      </c>
      <c r="BO299" s="828" t="str">
        <f t="shared" ca="1" si="569"/>
        <v/>
      </c>
    </row>
    <row r="300" spans="1:67" ht="20.100000000000001" customHeight="1">
      <c r="A300" s="823">
        <v>50</v>
      </c>
      <c r="B300" s="1870"/>
      <c r="C300" s="1872"/>
      <c r="D300" s="824" t="s">
        <v>4415</v>
      </c>
      <c r="E300" s="824"/>
      <c r="F300" s="825"/>
      <c r="G300" s="826" t="s">
        <v>4158</v>
      </c>
      <c r="H300" s="827">
        <f t="shared" ca="1" si="525"/>
        <v>21.2</v>
      </c>
      <c r="I300" s="827">
        <f t="shared" ca="1" si="525"/>
        <v>21.2</v>
      </c>
      <c r="J300" s="827">
        <f t="shared" ca="1" si="525"/>
        <v>21.2</v>
      </c>
      <c r="K300" s="827">
        <f t="shared" ca="1" si="525"/>
        <v>21.2</v>
      </c>
      <c r="L300" s="828">
        <f t="shared" ca="1" si="523"/>
        <v>0</v>
      </c>
      <c r="M300" s="828">
        <f t="shared" ca="1" si="523"/>
        <v>0</v>
      </c>
      <c r="N300" s="828">
        <f t="shared" ca="1" si="523"/>
        <v>0</v>
      </c>
      <c r="O300" s="828">
        <f t="shared" ca="1" si="523"/>
        <v>0</v>
      </c>
      <c r="P300" s="828">
        <f ca="1">SUM(SUMIFS(OFFSET(貼付け_2024実績,$A300,11,1,199),OFFSET(貼付け_2024実績,4,9,1,199),{"横浜*","川崎*"}))</f>
        <v>0</v>
      </c>
      <c r="Q300" s="828">
        <f ca="1">SUM(SUMIFS(OFFSET(貼付け_2025実績,$A300,11,1,199),OFFSET(貼付け_2025実績,4,9,1,199),{"横浜*","川崎*"}))</f>
        <v>0</v>
      </c>
      <c r="R300" s="828">
        <f ca="1">SUM(SUMIFS(OFFSET(貼付け_2026実績,$A300,11,1,199),OFFSET(貼付け_2026実績,4,9,1,199),{"横浜*","川崎*"}))</f>
        <v>0</v>
      </c>
      <c r="S300" s="828">
        <f ca="1">SUM(SUMIFS(OFFSET(貼付け_2027実績,$A300,11,1,199),OFFSET(貼付け_2027実績,4,9,1,199),{"横浜*","川崎*"}))</f>
        <v>0</v>
      </c>
      <c r="T300" s="828">
        <f t="shared" ca="1" si="524"/>
        <v>0</v>
      </c>
      <c r="U300" s="828">
        <f t="shared" ca="1" si="524"/>
        <v>0</v>
      </c>
      <c r="V300" s="828">
        <f t="shared" ca="1" si="524"/>
        <v>0</v>
      </c>
      <c r="W300" s="828">
        <f t="shared" ca="1" si="524"/>
        <v>0</v>
      </c>
      <c r="X300" s="828">
        <f t="shared" ca="1" si="526"/>
        <v>0</v>
      </c>
      <c r="Y300" s="828">
        <f t="shared" ca="1" si="527"/>
        <v>0</v>
      </c>
      <c r="Z300" s="828">
        <f t="shared" ca="1" si="528"/>
        <v>0</v>
      </c>
      <c r="AA300" s="828">
        <f t="shared" ca="1" si="529"/>
        <v>0</v>
      </c>
      <c r="AB300" s="828" t="str">
        <f t="shared" ca="1" si="530"/>
        <v/>
      </c>
      <c r="AC300" s="828" t="str">
        <f t="shared" ca="1" si="531"/>
        <v/>
      </c>
      <c r="AD300" s="828" t="str">
        <f t="shared" ca="1" si="532"/>
        <v/>
      </c>
      <c r="AE300" s="828" t="str">
        <f t="shared" ca="1" si="533"/>
        <v/>
      </c>
      <c r="AF300" s="828" t="str">
        <f t="shared" ca="1" si="534"/>
        <v/>
      </c>
      <c r="AG300" s="828" t="str">
        <f t="shared" ca="1" si="535"/>
        <v/>
      </c>
      <c r="AH300" s="828" t="str">
        <f t="shared" ca="1" si="536"/>
        <v/>
      </c>
      <c r="AI300" s="828" t="str">
        <f t="shared" ca="1" si="537"/>
        <v/>
      </c>
      <c r="AJ300" s="828" t="str">
        <f t="shared" ca="1" si="538"/>
        <v/>
      </c>
      <c r="AK300" s="828" t="str">
        <f t="shared" ca="1" si="539"/>
        <v/>
      </c>
      <c r="AL300" s="828" t="str">
        <f t="shared" ca="1" si="540"/>
        <v/>
      </c>
      <c r="AM300" s="828" t="str">
        <f t="shared" ca="1" si="541"/>
        <v/>
      </c>
      <c r="AN300" s="828" t="str">
        <f t="shared" ca="1" si="542"/>
        <v/>
      </c>
      <c r="AO300" s="828" t="str">
        <f t="shared" ca="1" si="543"/>
        <v/>
      </c>
      <c r="AP300" s="828" t="str">
        <f t="shared" ca="1" si="544"/>
        <v/>
      </c>
      <c r="AQ300" s="828" t="str">
        <f t="shared" ca="1" si="545"/>
        <v/>
      </c>
      <c r="AR300" s="828" t="str">
        <f t="shared" ca="1" si="546"/>
        <v/>
      </c>
      <c r="AS300" s="828" t="str">
        <f t="shared" ca="1" si="547"/>
        <v/>
      </c>
      <c r="AT300" s="828" t="str">
        <f t="shared" ca="1" si="548"/>
        <v/>
      </c>
      <c r="AU300" s="828" t="str">
        <f t="shared" ca="1" si="549"/>
        <v/>
      </c>
      <c r="AV300" s="828" t="str">
        <f t="shared" ca="1" si="550"/>
        <v/>
      </c>
      <c r="AW300" s="828" t="str">
        <f t="shared" ca="1" si="551"/>
        <v/>
      </c>
      <c r="AX300" s="828" t="str">
        <f t="shared" ca="1" si="552"/>
        <v/>
      </c>
      <c r="AY300" s="828" t="str">
        <f t="shared" ca="1" si="553"/>
        <v/>
      </c>
      <c r="AZ300" s="828" t="str">
        <f t="shared" ca="1" si="554"/>
        <v/>
      </c>
      <c r="BA300" s="828" t="str">
        <f t="shared" ca="1" si="555"/>
        <v/>
      </c>
      <c r="BB300" s="828" t="str">
        <f t="shared" ca="1" si="556"/>
        <v/>
      </c>
      <c r="BC300" s="828" t="str">
        <f t="shared" ca="1" si="557"/>
        <v/>
      </c>
      <c r="BD300" s="828" t="str">
        <f t="shared" ca="1" si="558"/>
        <v/>
      </c>
      <c r="BE300" s="828" t="str">
        <f t="shared" ca="1" si="559"/>
        <v/>
      </c>
      <c r="BF300" s="828" t="str">
        <f t="shared" ca="1" si="560"/>
        <v/>
      </c>
      <c r="BG300" s="828" t="str">
        <f t="shared" ca="1" si="561"/>
        <v/>
      </c>
      <c r="BH300" s="828" t="str">
        <f t="shared" ca="1" si="562"/>
        <v/>
      </c>
      <c r="BI300" s="828" t="str">
        <f t="shared" ca="1" si="563"/>
        <v/>
      </c>
      <c r="BJ300" s="828" t="str">
        <f t="shared" ca="1" si="564"/>
        <v/>
      </c>
      <c r="BK300" s="828" t="str">
        <f t="shared" ca="1" si="565"/>
        <v/>
      </c>
      <c r="BL300" s="828" t="str">
        <f t="shared" ca="1" si="566"/>
        <v/>
      </c>
      <c r="BM300" s="828" t="str">
        <f t="shared" ca="1" si="567"/>
        <v/>
      </c>
      <c r="BN300" s="828" t="str">
        <f t="shared" ca="1" si="568"/>
        <v/>
      </c>
      <c r="BO300" s="828" t="str">
        <f t="shared" ca="1" si="569"/>
        <v/>
      </c>
    </row>
    <row r="301" spans="1:67" ht="20.100000000000001" customHeight="1">
      <c r="A301" s="823">
        <v>51</v>
      </c>
      <c r="B301" s="1870"/>
      <c r="C301" s="1872"/>
      <c r="D301" s="824" t="s">
        <v>4416</v>
      </c>
      <c r="E301" s="824"/>
      <c r="F301" s="825"/>
      <c r="G301" s="826" t="s">
        <v>3777</v>
      </c>
      <c r="H301" s="827">
        <f t="shared" ca="1" si="525"/>
        <v>17.100000000000001</v>
      </c>
      <c r="I301" s="827">
        <f t="shared" ca="1" si="525"/>
        <v>17.100000000000001</v>
      </c>
      <c r="J301" s="827">
        <f t="shared" ca="1" si="525"/>
        <v>17.100000000000001</v>
      </c>
      <c r="K301" s="827">
        <f t="shared" ca="1" si="525"/>
        <v>17.100000000000001</v>
      </c>
      <c r="L301" s="828">
        <f t="shared" ca="1" si="523"/>
        <v>0</v>
      </c>
      <c r="M301" s="828">
        <f t="shared" ca="1" si="523"/>
        <v>0</v>
      </c>
      <c r="N301" s="828">
        <f t="shared" ca="1" si="523"/>
        <v>0</v>
      </c>
      <c r="O301" s="828">
        <f t="shared" ca="1" si="523"/>
        <v>0</v>
      </c>
      <c r="P301" s="828">
        <f ca="1">SUM(SUMIFS(OFFSET(貼付け_2024実績,$A301,11,1,199),OFFSET(貼付け_2024実績,4,9,1,199),{"横浜*","川崎*"}))</f>
        <v>0</v>
      </c>
      <c r="Q301" s="828">
        <f ca="1">SUM(SUMIFS(OFFSET(貼付け_2025実績,$A301,11,1,199),OFFSET(貼付け_2025実績,4,9,1,199),{"横浜*","川崎*"}))</f>
        <v>0</v>
      </c>
      <c r="R301" s="828">
        <f ca="1">SUM(SUMIFS(OFFSET(貼付け_2026実績,$A301,11,1,199),OFFSET(貼付け_2026実績,4,9,1,199),{"横浜*","川崎*"}))</f>
        <v>0</v>
      </c>
      <c r="S301" s="828">
        <f ca="1">SUM(SUMIFS(OFFSET(貼付け_2027実績,$A301,11,1,199),OFFSET(貼付け_2027実績,4,9,1,199),{"横浜*","川崎*"}))</f>
        <v>0</v>
      </c>
      <c r="T301" s="828">
        <f t="shared" ca="1" si="524"/>
        <v>0</v>
      </c>
      <c r="U301" s="828">
        <f t="shared" ca="1" si="524"/>
        <v>0</v>
      </c>
      <c r="V301" s="828">
        <f t="shared" ca="1" si="524"/>
        <v>0</v>
      </c>
      <c r="W301" s="828">
        <f t="shared" ca="1" si="524"/>
        <v>0</v>
      </c>
      <c r="X301" s="828">
        <f t="shared" ca="1" si="526"/>
        <v>0</v>
      </c>
      <c r="Y301" s="828">
        <f t="shared" ca="1" si="527"/>
        <v>0</v>
      </c>
      <c r="Z301" s="828">
        <f t="shared" ca="1" si="528"/>
        <v>0</v>
      </c>
      <c r="AA301" s="828">
        <f t="shared" ca="1" si="529"/>
        <v>0</v>
      </c>
      <c r="AB301" s="828" t="str">
        <f t="shared" ca="1" si="530"/>
        <v/>
      </c>
      <c r="AC301" s="828" t="str">
        <f t="shared" ca="1" si="531"/>
        <v/>
      </c>
      <c r="AD301" s="828" t="str">
        <f t="shared" ca="1" si="532"/>
        <v/>
      </c>
      <c r="AE301" s="828" t="str">
        <f t="shared" ca="1" si="533"/>
        <v/>
      </c>
      <c r="AF301" s="828" t="str">
        <f t="shared" ca="1" si="534"/>
        <v/>
      </c>
      <c r="AG301" s="828" t="str">
        <f t="shared" ca="1" si="535"/>
        <v/>
      </c>
      <c r="AH301" s="828" t="str">
        <f t="shared" ca="1" si="536"/>
        <v/>
      </c>
      <c r="AI301" s="828" t="str">
        <f t="shared" ca="1" si="537"/>
        <v/>
      </c>
      <c r="AJ301" s="828" t="str">
        <f t="shared" ca="1" si="538"/>
        <v/>
      </c>
      <c r="AK301" s="828" t="str">
        <f t="shared" ca="1" si="539"/>
        <v/>
      </c>
      <c r="AL301" s="828" t="str">
        <f t="shared" ca="1" si="540"/>
        <v/>
      </c>
      <c r="AM301" s="828" t="str">
        <f t="shared" ca="1" si="541"/>
        <v/>
      </c>
      <c r="AN301" s="828" t="str">
        <f t="shared" ca="1" si="542"/>
        <v/>
      </c>
      <c r="AO301" s="828" t="str">
        <f t="shared" ca="1" si="543"/>
        <v/>
      </c>
      <c r="AP301" s="828" t="str">
        <f t="shared" ca="1" si="544"/>
        <v/>
      </c>
      <c r="AQ301" s="828" t="str">
        <f t="shared" ca="1" si="545"/>
        <v/>
      </c>
      <c r="AR301" s="828" t="str">
        <f t="shared" ca="1" si="546"/>
        <v/>
      </c>
      <c r="AS301" s="828" t="str">
        <f t="shared" ca="1" si="547"/>
        <v/>
      </c>
      <c r="AT301" s="828" t="str">
        <f t="shared" ca="1" si="548"/>
        <v/>
      </c>
      <c r="AU301" s="828" t="str">
        <f t="shared" ca="1" si="549"/>
        <v/>
      </c>
      <c r="AV301" s="828" t="str">
        <f t="shared" ca="1" si="550"/>
        <v/>
      </c>
      <c r="AW301" s="828" t="str">
        <f t="shared" ca="1" si="551"/>
        <v/>
      </c>
      <c r="AX301" s="828" t="str">
        <f t="shared" ca="1" si="552"/>
        <v/>
      </c>
      <c r="AY301" s="828" t="str">
        <f t="shared" ca="1" si="553"/>
        <v/>
      </c>
      <c r="AZ301" s="828" t="str">
        <f t="shared" ca="1" si="554"/>
        <v/>
      </c>
      <c r="BA301" s="828" t="str">
        <f t="shared" ca="1" si="555"/>
        <v/>
      </c>
      <c r="BB301" s="828" t="str">
        <f t="shared" ca="1" si="556"/>
        <v/>
      </c>
      <c r="BC301" s="828" t="str">
        <f t="shared" ca="1" si="557"/>
        <v/>
      </c>
      <c r="BD301" s="828" t="str">
        <f t="shared" ca="1" si="558"/>
        <v/>
      </c>
      <c r="BE301" s="828" t="str">
        <f t="shared" ca="1" si="559"/>
        <v/>
      </c>
      <c r="BF301" s="828" t="str">
        <f t="shared" ca="1" si="560"/>
        <v/>
      </c>
      <c r="BG301" s="828" t="str">
        <f t="shared" ca="1" si="561"/>
        <v/>
      </c>
      <c r="BH301" s="828" t="str">
        <f t="shared" ca="1" si="562"/>
        <v/>
      </c>
      <c r="BI301" s="828" t="str">
        <f t="shared" ca="1" si="563"/>
        <v/>
      </c>
      <c r="BJ301" s="828" t="str">
        <f t="shared" ca="1" si="564"/>
        <v/>
      </c>
      <c r="BK301" s="828" t="str">
        <f t="shared" ca="1" si="565"/>
        <v/>
      </c>
      <c r="BL301" s="828" t="str">
        <f t="shared" ca="1" si="566"/>
        <v/>
      </c>
      <c r="BM301" s="828" t="str">
        <f t="shared" ca="1" si="567"/>
        <v/>
      </c>
      <c r="BN301" s="828" t="str">
        <f t="shared" ca="1" si="568"/>
        <v/>
      </c>
      <c r="BO301" s="828" t="str">
        <f t="shared" ca="1" si="569"/>
        <v/>
      </c>
    </row>
    <row r="302" spans="1:67" ht="20.100000000000001" customHeight="1">
      <c r="A302" s="823">
        <v>52</v>
      </c>
      <c r="B302" s="1870"/>
      <c r="C302" s="1872"/>
      <c r="D302" s="824" t="s">
        <v>4417</v>
      </c>
      <c r="E302" s="824"/>
      <c r="F302" s="825"/>
      <c r="G302" s="826" t="s">
        <v>3777</v>
      </c>
      <c r="H302" s="827">
        <f t="shared" ca="1" si="525"/>
        <v>142</v>
      </c>
      <c r="I302" s="827">
        <f t="shared" ca="1" si="525"/>
        <v>142</v>
      </c>
      <c r="J302" s="827">
        <f t="shared" ca="1" si="525"/>
        <v>142</v>
      </c>
      <c r="K302" s="827">
        <f t="shared" ca="1" si="525"/>
        <v>142</v>
      </c>
      <c r="L302" s="828">
        <f t="shared" ca="1" si="523"/>
        <v>0</v>
      </c>
      <c r="M302" s="828">
        <f t="shared" ca="1" si="523"/>
        <v>0</v>
      </c>
      <c r="N302" s="828">
        <f t="shared" ca="1" si="523"/>
        <v>0</v>
      </c>
      <c r="O302" s="828">
        <f t="shared" ca="1" si="523"/>
        <v>0</v>
      </c>
      <c r="P302" s="828">
        <f ca="1">SUM(SUMIFS(OFFSET(貼付け_2024実績,$A302,11,1,199),OFFSET(貼付け_2024実績,4,9,1,199),{"横浜*","川崎*"}))</f>
        <v>0</v>
      </c>
      <c r="Q302" s="828">
        <f ca="1">SUM(SUMIFS(OFFSET(貼付け_2025実績,$A302,11,1,199),OFFSET(貼付け_2025実績,4,9,1,199),{"横浜*","川崎*"}))</f>
        <v>0</v>
      </c>
      <c r="R302" s="828">
        <f ca="1">SUM(SUMIFS(OFFSET(貼付け_2026実績,$A302,11,1,199),OFFSET(貼付け_2026実績,4,9,1,199),{"横浜*","川崎*"}))</f>
        <v>0</v>
      </c>
      <c r="S302" s="828">
        <f ca="1">SUM(SUMIFS(OFFSET(貼付け_2027実績,$A302,11,1,199),OFFSET(貼付け_2027実績,4,9,1,199),{"横浜*","川崎*"}))</f>
        <v>0</v>
      </c>
      <c r="T302" s="828">
        <f t="shared" ca="1" si="524"/>
        <v>0</v>
      </c>
      <c r="U302" s="828">
        <f t="shared" ca="1" si="524"/>
        <v>0</v>
      </c>
      <c r="V302" s="828">
        <f t="shared" ca="1" si="524"/>
        <v>0</v>
      </c>
      <c r="W302" s="828">
        <f t="shared" ca="1" si="524"/>
        <v>0</v>
      </c>
      <c r="X302" s="828">
        <f t="shared" ca="1" si="526"/>
        <v>0</v>
      </c>
      <c r="Y302" s="828">
        <f t="shared" ca="1" si="527"/>
        <v>0</v>
      </c>
      <c r="Z302" s="828">
        <f t="shared" ca="1" si="528"/>
        <v>0</v>
      </c>
      <c r="AA302" s="828">
        <f t="shared" ca="1" si="529"/>
        <v>0</v>
      </c>
      <c r="AB302" s="828" t="str">
        <f t="shared" ca="1" si="530"/>
        <v/>
      </c>
      <c r="AC302" s="828" t="str">
        <f t="shared" ca="1" si="531"/>
        <v/>
      </c>
      <c r="AD302" s="828" t="str">
        <f t="shared" ca="1" si="532"/>
        <v/>
      </c>
      <c r="AE302" s="828" t="str">
        <f t="shared" ca="1" si="533"/>
        <v/>
      </c>
      <c r="AF302" s="828" t="str">
        <f t="shared" ca="1" si="534"/>
        <v/>
      </c>
      <c r="AG302" s="828" t="str">
        <f t="shared" ca="1" si="535"/>
        <v/>
      </c>
      <c r="AH302" s="828" t="str">
        <f t="shared" ca="1" si="536"/>
        <v/>
      </c>
      <c r="AI302" s="828" t="str">
        <f t="shared" ca="1" si="537"/>
        <v/>
      </c>
      <c r="AJ302" s="828" t="str">
        <f t="shared" ca="1" si="538"/>
        <v/>
      </c>
      <c r="AK302" s="828" t="str">
        <f t="shared" ca="1" si="539"/>
        <v/>
      </c>
      <c r="AL302" s="828" t="str">
        <f t="shared" ca="1" si="540"/>
        <v/>
      </c>
      <c r="AM302" s="828" t="str">
        <f t="shared" ca="1" si="541"/>
        <v/>
      </c>
      <c r="AN302" s="828" t="str">
        <f t="shared" ca="1" si="542"/>
        <v/>
      </c>
      <c r="AO302" s="828" t="str">
        <f t="shared" ca="1" si="543"/>
        <v/>
      </c>
      <c r="AP302" s="828" t="str">
        <f t="shared" ca="1" si="544"/>
        <v/>
      </c>
      <c r="AQ302" s="828" t="str">
        <f t="shared" ca="1" si="545"/>
        <v/>
      </c>
      <c r="AR302" s="828" t="str">
        <f t="shared" ca="1" si="546"/>
        <v/>
      </c>
      <c r="AS302" s="828" t="str">
        <f t="shared" ca="1" si="547"/>
        <v/>
      </c>
      <c r="AT302" s="828" t="str">
        <f t="shared" ca="1" si="548"/>
        <v/>
      </c>
      <c r="AU302" s="828" t="str">
        <f t="shared" ca="1" si="549"/>
        <v/>
      </c>
      <c r="AV302" s="828" t="str">
        <f t="shared" ca="1" si="550"/>
        <v/>
      </c>
      <c r="AW302" s="828" t="str">
        <f t="shared" ca="1" si="551"/>
        <v/>
      </c>
      <c r="AX302" s="828" t="str">
        <f t="shared" ca="1" si="552"/>
        <v/>
      </c>
      <c r="AY302" s="828" t="str">
        <f t="shared" ca="1" si="553"/>
        <v/>
      </c>
      <c r="AZ302" s="828" t="str">
        <f t="shared" ca="1" si="554"/>
        <v/>
      </c>
      <c r="BA302" s="828" t="str">
        <f t="shared" ca="1" si="555"/>
        <v/>
      </c>
      <c r="BB302" s="828" t="str">
        <f t="shared" ca="1" si="556"/>
        <v/>
      </c>
      <c r="BC302" s="828" t="str">
        <f t="shared" ca="1" si="557"/>
        <v/>
      </c>
      <c r="BD302" s="828" t="str">
        <f t="shared" ca="1" si="558"/>
        <v/>
      </c>
      <c r="BE302" s="828" t="str">
        <f t="shared" ca="1" si="559"/>
        <v/>
      </c>
      <c r="BF302" s="828" t="str">
        <f t="shared" ca="1" si="560"/>
        <v/>
      </c>
      <c r="BG302" s="828" t="str">
        <f t="shared" ca="1" si="561"/>
        <v/>
      </c>
      <c r="BH302" s="828" t="str">
        <f t="shared" ca="1" si="562"/>
        <v/>
      </c>
      <c r="BI302" s="828" t="str">
        <f t="shared" ca="1" si="563"/>
        <v/>
      </c>
      <c r="BJ302" s="828" t="str">
        <f t="shared" ca="1" si="564"/>
        <v/>
      </c>
      <c r="BK302" s="828" t="str">
        <f t="shared" ca="1" si="565"/>
        <v/>
      </c>
      <c r="BL302" s="828" t="str">
        <f t="shared" ca="1" si="566"/>
        <v/>
      </c>
      <c r="BM302" s="828" t="str">
        <f t="shared" ca="1" si="567"/>
        <v/>
      </c>
      <c r="BN302" s="828" t="str">
        <f t="shared" ca="1" si="568"/>
        <v/>
      </c>
      <c r="BO302" s="828" t="str">
        <f t="shared" ca="1" si="569"/>
        <v/>
      </c>
    </row>
    <row r="303" spans="1:67" ht="20.100000000000001" customHeight="1">
      <c r="A303" s="823">
        <v>53</v>
      </c>
      <c r="B303" s="1870"/>
      <c r="C303" s="1872"/>
      <c r="D303" s="824" t="s">
        <v>4192</v>
      </c>
      <c r="E303" s="824"/>
      <c r="F303" s="825"/>
      <c r="G303" s="826" t="s">
        <v>3777</v>
      </c>
      <c r="H303" s="827">
        <f t="shared" ca="1" si="525"/>
        <v>22.5</v>
      </c>
      <c r="I303" s="827">
        <f t="shared" ca="1" si="525"/>
        <v>22.5</v>
      </c>
      <c r="J303" s="827">
        <f t="shared" ca="1" si="525"/>
        <v>22.5</v>
      </c>
      <c r="K303" s="827">
        <f t="shared" ca="1" si="525"/>
        <v>22.5</v>
      </c>
      <c r="L303" s="828">
        <f t="shared" ca="1" si="523"/>
        <v>0</v>
      </c>
      <c r="M303" s="828">
        <f t="shared" ca="1" si="523"/>
        <v>0</v>
      </c>
      <c r="N303" s="828">
        <f t="shared" ca="1" si="523"/>
        <v>0</v>
      </c>
      <c r="O303" s="828">
        <f t="shared" ca="1" si="523"/>
        <v>0</v>
      </c>
      <c r="P303" s="828">
        <f ca="1">SUM(SUMIFS(OFFSET(貼付け_2024実績,$A303,11,1,199),OFFSET(貼付け_2024実績,4,9,1,199),{"横浜*","川崎*"}))</f>
        <v>0</v>
      </c>
      <c r="Q303" s="828">
        <f ca="1">SUM(SUMIFS(OFFSET(貼付け_2025実績,$A303,11,1,199),OFFSET(貼付け_2025実績,4,9,1,199),{"横浜*","川崎*"}))</f>
        <v>0</v>
      </c>
      <c r="R303" s="828">
        <f ca="1">SUM(SUMIFS(OFFSET(貼付け_2026実績,$A303,11,1,199),OFFSET(貼付け_2026実績,4,9,1,199),{"横浜*","川崎*"}))</f>
        <v>0</v>
      </c>
      <c r="S303" s="828">
        <f ca="1">SUM(SUMIFS(OFFSET(貼付け_2027実績,$A303,11,1,199),OFFSET(貼付け_2027実績,4,9,1,199),{"横浜*","川崎*"}))</f>
        <v>0</v>
      </c>
      <c r="T303" s="828">
        <f t="shared" ca="1" si="524"/>
        <v>0</v>
      </c>
      <c r="U303" s="828">
        <f t="shared" ca="1" si="524"/>
        <v>0</v>
      </c>
      <c r="V303" s="828">
        <f t="shared" ca="1" si="524"/>
        <v>0</v>
      </c>
      <c r="W303" s="828">
        <f t="shared" ca="1" si="524"/>
        <v>0</v>
      </c>
      <c r="X303" s="828">
        <f t="shared" ca="1" si="526"/>
        <v>0</v>
      </c>
      <c r="Y303" s="828">
        <f t="shared" ca="1" si="527"/>
        <v>0</v>
      </c>
      <c r="Z303" s="828">
        <f t="shared" ca="1" si="528"/>
        <v>0</v>
      </c>
      <c r="AA303" s="828">
        <f t="shared" ca="1" si="529"/>
        <v>0</v>
      </c>
      <c r="AB303" s="828" t="str">
        <f t="shared" ca="1" si="530"/>
        <v/>
      </c>
      <c r="AC303" s="828" t="str">
        <f t="shared" ca="1" si="531"/>
        <v/>
      </c>
      <c r="AD303" s="828" t="str">
        <f t="shared" ca="1" si="532"/>
        <v/>
      </c>
      <c r="AE303" s="828" t="str">
        <f t="shared" ca="1" si="533"/>
        <v/>
      </c>
      <c r="AF303" s="828" t="str">
        <f t="shared" ca="1" si="534"/>
        <v/>
      </c>
      <c r="AG303" s="828" t="str">
        <f t="shared" ca="1" si="535"/>
        <v/>
      </c>
      <c r="AH303" s="828" t="str">
        <f t="shared" ca="1" si="536"/>
        <v/>
      </c>
      <c r="AI303" s="828" t="str">
        <f t="shared" ca="1" si="537"/>
        <v/>
      </c>
      <c r="AJ303" s="828" t="str">
        <f t="shared" ca="1" si="538"/>
        <v/>
      </c>
      <c r="AK303" s="828" t="str">
        <f t="shared" ca="1" si="539"/>
        <v/>
      </c>
      <c r="AL303" s="828" t="str">
        <f t="shared" ca="1" si="540"/>
        <v/>
      </c>
      <c r="AM303" s="828" t="str">
        <f t="shared" ca="1" si="541"/>
        <v/>
      </c>
      <c r="AN303" s="828" t="str">
        <f t="shared" ca="1" si="542"/>
        <v/>
      </c>
      <c r="AO303" s="828" t="str">
        <f t="shared" ca="1" si="543"/>
        <v/>
      </c>
      <c r="AP303" s="828" t="str">
        <f t="shared" ca="1" si="544"/>
        <v/>
      </c>
      <c r="AQ303" s="828" t="str">
        <f t="shared" ca="1" si="545"/>
        <v/>
      </c>
      <c r="AR303" s="828" t="str">
        <f t="shared" ca="1" si="546"/>
        <v/>
      </c>
      <c r="AS303" s="828" t="str">
        <f t="shared" ca="1" si="547"/>
        <v/>
      </c>
      <c r="AT303" s="828" t="str">
        <f t="shared" ca="1" si="548"/>
        <v/>
      </c>
      <c r="AU303" s="828" t="str">
        <f t="shared" ca="1" si="549"/>
        <v/>
      </c>
      <c r="AV303" s="828" t="str">
        <f t="shared" ca="1" si="550"/>
        <v/>
      </c>
      <c r="AW303" s="828" t="str">
        <f t="shared" ca="1" si="551"/>
        <v/>
      </c>
      <c r="AX303" s="828" t="str">
        <f t="shared" ca="1" si="552"/>
        <v/>
      </c>
      <c r="AY303" s="828" t="str">
        <f t="shared" ca="1" si="553"/>
        <v/>
      </c>
      <c r="AZ303" s="828" t="str">
        <f t="shared" ca="1" si="554"/>
        <v/>
      </c>
      <c r="BA303" s="828" t="str">
        <f t="shared" ca="1" si="555"/>
        <v/>
      </c>
      <c r="BB303" s="828" t="str">
        <f t="shared" ca="1" si="556"/>
        <v/>
      </c>
      <c r="BC303" s="828" t="str">
        <f t="shared" ca="1" si="557"/>
        <v/>
      </c>
      <c r="BD303" s="828" t="str">
        <f t="shared" ca="1" si="558"/>
        <v/>
      </c>
      <c r="BE303" s="828" t="str">
        <f t="shared" ca="1" si="559"/>
        <v/>
      </c>
      <c r="BF303" s="828" t="str">
        <f t="shared" ca="1" si="560"/>
        <v/>
      </c>
      <c r="BG303" s="828" t="str">
        <f t="shared" ca="1" si="561"/>
        <v/>
      </c>
      <c r="BH303" s="828" t="str">
        <f t="shared" ca="1" si="562"/>
        <v/>
      </c>
      <c r="BI303" s="828" t="str">
        <f t="shared" ca="1" si="563"/>
        <v/>
      </c>
      <c r="BJ303" s="828" t="str">
        <f t="shared" ca="1" si="564"/>
        <v/>
      </c>
      <c r="BK303" s="828" t="str">
        <f t="shared" ca="1" si="565"/>
        <v/>
      </c>
      <c r="BL303" s="828" t="str">
        <f t="shared" ca="1" si="566"/>
        <v/>
      </c>
      <c r="BM303" s="828" t="str">
        <f t="shared" ca="1" si="567"/>
        <v/>
      </c>
      <c r="BN303" s="828" t="str">
        <f t="shared" ca="1" si="568"/>
        <v/>
      </c>
      <c r="BO303" s="828" t="str">
        <f t="shared" ca="1" si="569"/>
        <v/>
      </c>
    </row>
    <row r="304" spans="1:67" ht="20.100000000000001" customHeight="1">
      <c r="A304" s="823">
        <v>54</v>
      </c>
      <c r="B304" s="1870"/>
      <c r="C304" s="1872"/>
      <c r="D304" s="824" t="s">
        <v>4418</v>
      </c>
      <c r="E304" s="831" t="str">
        <f ca="1">E55</f>
        <v/>
      </c>
      <c r="F304" s="833"/>
      <c r="G304" s="831" t="str">
        <f ca="1">G55</f>
        <v/>
      </c>
      <c r="H304" s="827">
        <f t="shared" ca="1" si="525"/>
        <v>0</v>
      </c>
      <c r="I304" s="827">
        <f t="shared" ca="1" si="525"/>
        <v>0</v>
      </c>
      <c r="J304" s="827">
        <f t="shared" ca="1" si="525"/>
        <v>0</v>
      </c>
      <c r="K304" s="827">
        <f t="shared" ca="1" si="525"/>
        <v>0</v>
      </c>
      <c r="L304" s="828">
        <f t="shared" ca="1" si="523"/>
        <v>0</v>
      </c>
      <c r="M304" s="828">
        <f t="shared" ca="1" si="523"/>
        <v>0</v>
      </c>
      <c r="N304" s="828">
        <f t="shared" ca="1" si="523"/>
        <v>0</v>
      </c>
      <c r="O304" s="828">
        <f t="shared" ca="1" si="523"/>
        <v>0</v>
      </c>
      <c r="P304" s="828">
        <f ca="1">SUM(SUMIFS(OFFSET(貼付け_2024実績,$A304,11,1,199),OFFSET(貼付け_2024実績,4,9,1,199),{"横浜*","川崎*"}))</f>
        <v>0</v>
      </c>
      <c r="Q304" s="828">
        <f ca="1">SUM(SUMIFS(OFFSET(貼付け_2025実績,$A304,11,1,199),OFFSET(貼付け_2025実績,4,9,1,199),{"横浜*","川崎*"}))</f>
        <v>0</v>
      </c>
      <c r="R304" s="828">
        <f ca="1">SUM(SUMIFS(OFFSET(貼付け_2026実績,$A304,11,1,199),OFFSET(貼付け_2026実績,4,9,1,199),{"横浜*","川崎*"}))</f>
        <v>0</v>
      </c>
      <c r="S304" s="828">
        <f ca="1">SUM(SUMIFS(OFFSET(貼付け_2027実績,$A304,11,1,199),OFFSET(貼付け_2027実績,4,9,1,199),{"横浜*","川崎*"}))</f>
        <v>0</v>
      </c>
      <c r="T304" s="828">
        <f t="shared" ca="1" si="524"/>
        <v>0</v>
      </c>
      <c r="U304" s="828">
        <f t="shared" ca="1" si="524"/>
        <v>0</v>
      </c>
      <c r="V304" s="828">
        <f t="shared" ca="1" si="524"/>
        <v>0</v>
      </c>
      <c r="W304" s="828">
        <f t="shared" ca="1" si="524"/>
        <v>0</v>
      </c>
      <c r="X304" s="828">
        <f t="shared" ca="1" si="526"/>
        <v>0</v>
      </c>
      <c r="Y304" s="828">
        <f t="shared" ca="1" si="527"/>
        <v>0</v>
      </c>
      <c r="Z304" s="828">
        <f t="shared" ca="1" si="528"/>
        <v>0</v>
      </c>
      <c r="AA304" s="828">
        <f t="shared" ca="1" si="529"/>
        <v>0</v>
      </c>
      <c r="AB304" s="828" t="str">
        <f t="shared" ca="1" si="530"/>
        <v/>
      </c>
      <c r="AC304" s="828" t="str">
        <f t="shared" ca="1" si="531"/>
        <v/>
      </c>
      <c r="AD304" s="828" t="str">
        <f t="shared" ca="1" si="532"/>
        <v/>
      </c>
      <c r="AE304" s="828" t="str">
        <f t="shared" ca="1" si="533"/>
        <v/>
      </c>
      <c r="AF304" s="828" t="str">
        <f t="shared" ca="1" si="534"/>
        <v/>
      </c>
      <c r="AG304" s="828" t="str">
        <f t="shared" ca="1" si="535"/>
        <v/>
      </c>
      <c r="AH304" s="828" t="str">
        <f t="shared" ca="1" si="536"/>
        <v/>
      </c>
      <c r="AI304" s="828" t="str">
        <f t="shared" ca="1" si="537"/>
        <v/>
      </c>
      <c r="AJ304" s="828" t="str">
        <f t="shared" ca="1" si="538"/>
        <v/>
      </c>
      <c r="AK304" s="828" t="str">
        <f t="shared" ca="1" si="539"/>
        <v/>
      </c>
      <c r="AL304" s="828" t="str">
        <f t="shared" ca="1" si="540"/>
        <v/>
      </c>
      <c r="AM304" s="828" t="str">
        <f t="shared" ca="1" si="541"/>
        <v/>
      </c>
      <c r="AN304" s="828" t="str">
        <f t="shared" ca="1" si="542"/>
        <v/>
      </c>
      <c r="AO304" s="828" t="str">
        <f t="shared" ca="1" si="543"/>
        <v/>
      </c>
      <c r="AP304" s="828" t="str">
        <f t="shared" ca="1" si="544"/>
        <v/>
      </c>
      <c r="AQ304" s="828" t="str">
        <f t="shared" ca="1" si="545"/>
        <v/>
      </c>
      <c r="AR304" s="828" t="str">
        <f t="shared" ca="1" si="546"/>
        <v/>
      </c>
      <c r="AS304" s="828" t="str">
        <f t="shared" ca="1" si="547"/>
        <v/>
      </c>
      <c r="AT304" s="828" t="str">
        <f t="shared" ca="1" si="548"/>
        <v/>
      </c>
      <c r="AU304" s="828" t="str">
        <f t="shared" ca="1" si="549"/>
        <v/>
      </c>
      <c r="AV304" s="828" t="str">
        <f t="shared" ca="1" si="550"/>
        <v/>
      </c>
      <c r="AW304" s="828" t="str">
        <f t="shared" ca="1" si="551"/>
        <v/>
      </c>
      <c r="AX304" s="828" t="str">
        <f t="shared" ca="1" si="552"/>
        <v/>
      </c>
      <c r="AY304" s="828" t="str">
        <f t="shared" ca="1" si="553"/>
        <v/>
      </c>
      <c r="AZ304" s="828" t="str">
        <f t="shared" ca="1" si="554"/>
        <v/>
      </c>
      <c r="BA304" s="828" t="str">
        <f t="shared" ca="1" si="555"/>
        <v/>
      </c>
      <c r="BB304" s="828" t="str">
        <f t="shared" ca="1" si="556"/>
        <v/>
      </c>
      <c r="BC304" s="828" t="str">
        <f t="shared" ca="1" si="557"/>
        <v/>
      </c>
      <c r="BD304" s="828" t="str">
        <f t="shared" ca="1" si="558"/>
        <v/>
      </c>
      <c r="BE304" s="828" t="str">
        <f t="shared" ca="1" si="559"/>
        <v/>
      </c>
      <c r="BF304" s="828" t="str">
        <f t="shared" ca="1" si="560"/>
        <v/>
      </c>
      <c r="BG304" s="828" t="str">
        <f t="shared" ca="1" si="561"/>
        <v/>
      </c>
      <c r="BH304" s="828" t="str">
        <f t="shared" ca="1" si="562"/>
        <v/>
      </c>
      <c r="BI304" s="828" t="str">
        <f t="shared" ca="1" si="563"/>
        <v/>
      </c>
      <c r="BJ304" s="828" t="str">
        <f t="shared" ca="1" si="564"/>
        <v/>
      </c>
      <c r="BK304" s="828" t="str">
        <f t="shared" ca="1" si="565"/>
        <v/>
      </c>
      <c r="BL304" s="828" t="str">
        <f t="shared" ca="1" si="566"/>
        <v/>
      </c>
      <c r="BM304" s="828" t="str">
        <f t="shared" ca="1" si="567"/>
        <v/>
      </c>
      <c r="BN304" s="828" t="str">
        <f t="shared" ca="1" si="568"/>
        <v/>
      </c>
      <c r="BO304" s="828" t="str">
        <f t="shared" ca="1" si="569"/>
        <v/>
      </c>
    </row>
    <row r="305" spans="1:68" ht="20.100000000000001" customHeight="1">
      <c r="A305" s="823">
        <v>55</v>
      </c>
      <c r="B305" s="1870"/>
      <c r="C305" s="1872"/>
      <c r="D305" s="824" t="s">
        <v>4419</v>
      </c>
      <c r="E305" s="831" t="str">
        <f ca="1">E56</f>
        <v/>
      </c>
      <c r="F305" s="833"/>
      <c r="G305" s="831" t="str">
        <f ca="1">G56</f>
        <v/>
      </c>
      <c r="H305" s="827">
        <f t="shared" ca="1" si="525"/>
        <v>0</v>
      </c>
      <c r="I305" s="827">
        <f t="shared" ca="1" si="525"/>
        <v>0</v>
      </c>
      <c r="J305" s="827">
        <f t="shared" ca="1" si="525"/>
        <v>0</v>
      </c>
      <c r="K305" s="827">
        <f t="shared" ca="1" si="525"/>
        <v>0</v>
      </c>
      <c r="L305" s="828">
        <f t="shared" ca="1" si="523"/>
        <v>0</v>
      </c>
      <c r="M305" s="828">
        <f t="shared" ca="1" si="523"/>
        <v>0</v>
      </c>
      <c r="N305" s="828">
        <f t="shared" ca="1" si="523"/>
        <v>0</v>
      </c>
      <c r="O305" s="828">
        <f t="shared" ca="1" si="523"/>
        <v>0</v>
      </c>
      <c r="P305" s="828">
        <f ca="1">SUM(SUMIFS(OFFSET(貼付け_2024実績,$A305,11,1,199),OFFSET(貼付け_2024実績,4,9,1,199),{"横浜*","川崎*"}))</f>
        <v>0</v>
      </c>
      <c r="Q305" s="828">
        <f ca="1">SUM(SUMIFS(OFFSET(貼付け_2025実績,$A305,11,1,199),OFFSET(貼付け_2025実績,4,9,1,199),{"横浜*","川崎*"}))</f>
        <v>0</v>
      </c>
      <c r="R305" s="828">
        <f ca="1">SUM(SUMIFS(OFFSET(貼付け_2026実績,$A305,11,1,199),OFFSET(貼付け_2026実績,4,9,1,199),{"横浜*","川崎*"}))</f>
        <v>0</v>
      </c>
      <c r="S305" s="828">
        <f ca="1">SUM(SUMIFS(OFFSET(貼付け_2027実績,$A305,11,1,199),OFFSET(貼付け_2027実績,4,9,1,199),{"横浜*","川崎*"}))</f>
        <v>0</v>
      </c>
      <c r="T305" s="828">
        <f t="shared" ca="1" si="524"/>
        <v>0</v>
      </c>
      <c r="U305" s="828">
        <f t="shared" ca="1" si="524"/>
        <v>0</v>
      </c>
      <c r="V305" s="828">
        <f t="shared" ca="1" si="524"/>
        <v>0</v>
      </c>
      <c r="W305" s="828">
        <f t="shared" ca="1" si="524"/>
        <v>0</v>
      </c>
      <c r="X305" s="828">
        <f t="shared" ca="1" si="526"/>
        <v>0</v>
      </c>
      <c r="Y305" s="828">
        <f t="shared" ca="1" si="527"/>
        <v>0</v>
      </c>
      <c r="Z305" s="828">
        <f t="shared" ca="1" si="528"/>
        <v>0</v>
      </c>
      <c r="AA305" s="828">
        <f t="shared" ca="1" si="529"/>
        <v>0</v>
      </c>
      <c r="AB305" s="828" t="str">
        <f t="shared" ca="1" si="530"/>
        <v/>
      </c>
      <c r="AC305" s="828" t="str">
        <f t="shared" ca="1" si="531"/>
        <v/>
      </c>
      <c r="AD305" s="828" t="str">
        <f t="shared" ca="1" si="532"/>
        <v/>
      </c>
      <c r="AE305" s="828" t="str">
        <f t="shared" ca="1" si="533"/>
        <v/>
      </c>
      <c r="AF305" s="828" t="str">
        <f t="shared" ca="1" si="534"/>
        <v/>
      </c>
      <c r="AG305" s="828" t="str">
        <f t="shared" ca="1" si="535"/>
        <v/>
      </c>
      <c r="AH305" s="828" t="str">
        <f t="shared" ca="1" si="536"/>
        <v/>
      </c>
      <c r="AI305" s="828" t="str">
        <f t="shared" ca="1" si="537"/>
        <v/>
      </c>
      <c r="AJ305" s="828" t="str">
        <f t="shared" ca="1" si="538"/>
        <v/>
      </c>
      <c r="AK305" s="828" t="str">
        <f t="shared" ca="1" si="539"/>
        <v/>
      </c>
      <c r="AL305" s="828" t="str">
        <f t="shared" ca="1" si="540"/>
        <v/>
      </c>
      <c r="AM305" s="828" t="str">
        <f t="shared" ca="1" si="541"/>
        <v/>
      </c>
      <c r="AN305" s="828" t="str">
        <f t="shared" ca="1" si="542"/>
        <v/>
      </c>
      <c r="AO305" s="828" t="str">
        <f t="shared" ca="1" si="543"/>
        <v/>
      </c>
      <c r="AP305" s="828" t="str">
        <f t="shared" ca="1" si="544"/>
        <v/>
      </c>
      <c r="AQ305" s="828" t="str">
        <f t="shared" ca="1" si="545"/>
        <v/>
      </c>
      <c r="AR305" s="828" t="str">
        <f t="shared" ca="1" si="546"/>
        <v/>
      </c>
      <c r="AS305" s="828" t="str">
        <f t="shared" ca="1" si="547"/>
        <v/>
      </c>
      <c r="AT305" s="828" t="str">
        <f t="shared" ca="1" si="548"/>
        <v/>
      </c>
      <c r="AU305" s="828" t="str">
        <f t="shared" ca="1" si="549"/>
        <v/>
      </c>
      <c r="AV305" s="828" t="str">
        <f t="shared" ca="1" si="550"/>
        <v/>
      </c>
      <c r="AW305" s="828" t="str">
        <f t="shared" ca="1" si="551"/>
        <v/>
      </c>
      <c r="AX305" s="828" t="str">
        <f t="shared" ca="1" si="552"/>
        <v/>
      </c>
      <c r="AY305" s="828" t="str">
        <f t="shared" ca="1" si="553"/>
        <v/>
      </c>
      <c r="AZ305" s="828" t="str">
        <f t="shared" ca="1" si="554"/>
        <v/>
      </c>
      <c r="BA305" s="828" t="str">
        <f t="shared" ca="1" si="555"/>
        <v/>
      </c>
      <c r="BB305" s="828" t="str">
        <f t="shared" ca="1" si="556"/>
        <v/>
      </c>
      <c r="BC305" s="828" t="str">
        <f t="shared" ca="1" si="557"/>
        <v/>
      </c>
      <c r="BD305" s="828" t="str">
        <f t="shared" ca="1" si="558"/>
        <v/>
      </c>
      <c r="BE305" s="828" t="str">
        <f t="shared" ca="1" si="559"/>
        <v/>
      </c>
      <c r="BF305" s="828" t="str">
        <f t="shared" ca="1" si="560"/>
        <v/>
      </c>
      <c r="BG305" s="828" t="str">
        <f t="shared" ca="1" si="561"/>
        <v/>
      </c>
      <c r="BH305" s="828" t="str">
        <f t="shared" ca="1" si="562"/>
        <v/>
      </c>
      <c r="BI305" s="828" t="str">
        <f t="shared" ca="1" si="563"/>
        <v/>
      </c>
      <c r="BJ305" s="828" t="str">
        <f t="shared" ca="1" si="564"/>
        <v/>
      </c>
      <c r="BK305" s="828" t="str">
        <f t="shared" ca="1" si="565"/>
        <v/>
      </c>
      <c r="BL305" s="828" t="str">
        <f t="shared" ca="1" si="566"/>
        <v/>
      </c>
      <c r="BM305" s="828" t="str">
        <f t="shared" ca="1" si="567"/>
        <v/>
      </c>
      <c r="BN305" s="828" t="str">
        <f t="shared" ca="1" si="568"/>
        <v/>
      </c>
      <c r="BO305" s="828" t="str">
        <f t="shared" ca="1" si="569"/>
        <v/>
      </c>
      <c r="BP305" s="841"/>
    </row>
    <row r="306" spans="1:68" ht="20.100000000000001" customHeight="1">
      <c r="A306" s="823">
        <v>56</v>
      </c>
      <c r="B306" s="1869" t="s">
        <v>4420</v>
      </c>
      <c r="C306" s="1872" t="s">
        <v>4421</v>
      </c>
      <c r="D306" s="824" t="s">
        <v>4422</v>
      </c>
      <c r="E306" s="829"/>
      <c r="F306" s="849"/>
      <c r="G306" s="826" t="s">
        <v>4196</v>
      </c>
      <c r="H306" s="827">
        <f t="shared" ref="H306:K316" ca="1" si="570">H57</f>
        <v>1.17</v>
      </c>
      <c r="I306" s="827">
        <f t="shared" ca="1" si="570"/>
        <v>1.17</v>
      </c>
      <c r="J306" s="827">
        <f t="shared" ca="1" si="570"/>
        <v>1.17</v>
      </c>
      <c r="K306" s="827">
        <f t="shared" ca="1" si="570"/>
        <v>1.17</v>
      </c>
      <c r="L306" s="828">
        <f t="shared" ca="1" si="523"/>
        <v>0</v>
      </c>
      <c r="M306" s="828">
        <f t="shared" ca="1" si="523"/>
        <v>0</v>
      </c>
      <c r="N306" s="828">
        <f t="shared" ca="1" si="523"/>
        <v>0</v>
      </c>
      <c r="O306" s="828">
        <f t="shared" ca="1" si="523"/>
        <v>0</v>
      </c>
      <c r="P306" s="828">
        <f ca="1">SUM(SUMIFS(OFFSET(貼付け_2024実績,$A306,11,1,199),OFFSET(貼付け_2024実績,4,9,1,199),{"横浜*","川崎*"}))</f>
        <v>0</v>
      </c>
      <c r="Q306" s="828">
        <f ca="1">SUM(SUMIFS(OFFSET(貼付け_2025実績,$A306,11,1,199),OFFSET(貼付け_2025実績,4,9,1,199),{"横浜*","川崎*"}))</f>
        <v>0</v>
      </c>
      <c r="R306" s="828">
        <f ca="1">SUM(SUMIFS(OFFSET(貼付け_2026実績,$A306,11,1,199),OFFSET(貼付け_2026実績,4,9,1,199),{"横浜*","川崎*"}))</f>
        <v>0</v>
      </c>
      <c r="S306" s="828">
        <f ca="1">SUM(SUMIFS(OFFSET(貼付け_2027実績,$A306,11,1,199),OFFSET(貼付け_2027実績,4,9,1,199),{"横浜*","川崎*"}))</f>
        <v>0</v>
      </c>
      <c r="T306" s="828">
        <f t="shared" ca="1" si="524"/>
        <v>0</v>
      </c>
      <c r="U306" s="828">
        <f t="shared" ca="1" si="524"/>
        <v>0</v>
      </c>
      <c r="V306" s="828">
        <f t="shared" ca="1" si="524"/>
        <v>0</v>
      </c>
      <c r="W306" s="828">
        <f t="shared" ca="1" si="524"/>
        <v>0</v>
      </c>
      <c r="X306" s="828">
        <f t="shared" ca="1" si="526"/>
        <v>0</v>
      </c>
      <c r="Y306" s="828">
        <f t="shared" ca="1" si="527"/>
        <v>0</v>
      </c>
      <c r="Z306" s="828">
        <f t="shared" ca="1" si="528"/>
        <v>0</v>
      </c>
      <c r="AA306" s="828">
        <f t="shared" ca="1" si="529"/>
        <v>0</v>
      </c>
      <c r="AB306" s="828" t="str">
        <f t="shared" ca="1" si="530"/>
        <v/>
      </c>
      <c r="AC306" s="828" t="str">
        <f t="shared" ca="1" si="531"/>
        <v/>
      </c>
      <c r="AD306" s="828" t="str">
        <f t="shared" ca="1" si="532"/>
        <v/>
      </c>
      <c r="AE306" s="828" t="str">
        <f t="shared" ca="1" si="533"/>
        <v/>
      </c>
      <c r="AF306" s="828" t="str">
        <f t="shared" ca="1" si="534"/>
        <v/>
      </c>
      <c r="AG306" s="828" t="str">
        <f t="shared" ca="1" si="535"/>
        <v/>
      </c>
      <c r="AH306" s="828" t="str">
        <f t="shared" ca="1" si="536"/>
        <v/>
      </c>
      <c r="AI306" s="828" t="str">
        <f t="shared" ca="1" si="537"/>
        <v/>
      </c>
      <c r="AJ306" s="828" t="str">
        <f t="shared" ca="1" si="538"/>
        <v/>
      </c>
      <c r="AK306" s="828" t="str">
        <f t="shared" ca="1" si="539"/>
        <v/>
      </c>
      <c r="AL306" s="828" t="str">
        <f t="shared" ca="1" si="540"/>
        <v/>
      </c>
      <c r="AM306" s="828" t="str">
        <f t="shared" ca="1" si="541"/>
        <v/>
      </c>
      <c r="AN306" s="828" t="str">
        <f t="shared" ca="1" si="542"/>
        <v/>
      </c>
      <c r="AO306" s="828" t="str">
        <f t="shared" ca="1" si="543"/>
        <v/>
      </c>
      <c r="AP306" s="828" t="str">
        <f t="shared" ca="1" si="544"/>
        <v/>
      </c>
      <c r="AQ306" s="828" t="str">
        <f t="shared" ca="1" si="545"/>
        <v/>
      </c>
      <c r="AR306" s="828" t="str">
        <f t="shared" ca="1" si="546"/>
        <v/>
      </c>
      <c r="AS306" s="828" t="str">
        <f t="shared" ca="1" si="547"/>
        <v/>
      </c>
      <c r="AT306" s="828" t="str">
        <f t="shared" ca="1" si="548"/>
        <v/>
      </c>
      <c r="AU306" s="828" t="str">
        <f t="shared" ca="1" si="549"/>
        <v/>
      </c>
      <c r="AV306" s="828" t="str">
        <f t="shared" ca="1" si="550"/>
        <v/>
      </c>
      <c r="AW306" s="828" t="str">
        <f t="shared" ca="1" si="551"/>
        <v/>
      </c>
      <c r="AX306" s="828" t="str">
        <f t="shared" ca="1" si="552"/>
        <v/>
      </c>
      <c r="AY306" s="828" t="str">
        <f t="shared" ca="1" si="553"/>
        <v/>
      </c>
      <c r="AZ306" s="828" t="str">
        <f t="shared" ca="1" si="554"/>
        <v/>
      </c>
      <c r="BA306" s="828" t="str">
        <f t="shared" ca="1" si="555"/>
        <v/>
      </c>
      <c r="BB306" s="828" t="str">
        <f t="shared" ca="1" si="556"/>
        <v/>
      </c>
      <c r="BC306" s="828" t="str">
        <f t="shared" ca="1" si="557"/>
        <v/>
      </c>
      <c r="BD306" s="828" t="str">
        <f t="shared" ca="1" si="558"/>
        <v/>
      </c>
      <c r="BE306" s="828" t="str">
        <f t="shared" ca="1" si="559"/>
        <v/>
      </c>
      <c r="BF306" s="828" t="str">
        <f t="shared" ca="1" si="560"/>
        <v/>
      </c>
      <c r="BG306" s="828" t="str">
        <f t="shared" ca="1" si="561"/>
        <v/>
      </c>
      <c r="BH306" s="828" t="str">
        <f t="shared" ca="1" si="562"/>
        <v/>
      </c>
      <c r="BI306" s="828" t="str">
        <f t="shared" ca="1" si="563"/>
        <v/>
      </c>
      <c r="BJ306" s="828" t="str">
        <f t="shared" ca="1" si="564"/>
        <v/>
      </c>
      <c r="BK306" s="828" t="str">
        <f t="shared" ca="1" si="565"/>
        <v/>
      </c>
      <c r="BL306" s="828" t="str">
        <f t="shared" ca="1" si="566"/>
        <v/>
      </c>
      <c r="BM306" s="828" t="str">
        <f t="shared" ca="1" si="567"/>
        <v/>
      </c>
      <c r="BN306" s="828" t="str">
        <f t="shared" ca="1" si="568"/>
        <v/>
      </c>
      <c r="BO306" s="828" t="str">
        <f t="shared" ca="1" si="569"/>
        <v/>
      </c>
      <c r="BP306" s="841"/>
    </row>
    <row r="307" spans="1:68" ht="20.100000000000001" customHeight="1">
      <c r="A307" s="945">
        <v>58</v>
      </c>
      <c r="B307" s="1870"/>
      <c r="C307" s="1872"/>
      <c r="D307" s="824" t="s">
        <v>4423</v>
      </c>
      <c r="E307" s="829"/>
      <c r="F307" s="849"/>
      <c r="G307" s="826" t="s">
        <v>4196</v>
      </c>
      <c r="H307" s="897">
        <f t="shared" ca="1" si="570"/>
        <v>1.19</v>
      </c>
      <c r="I307" s="897">
        <f t="shared" ca="1" si="570"/>
        <v>1.19</v>
      </c>
      <c r="J307" s="897">
        <f t="shared" ca="1" si="570"/>
        <v>1.19</v>
      </c>
      <c r="K307" s="897">
        <f t="shared" ca="1" si="570"/>
        <v>1.19</v>
      </c>
      <c r="L307" s="828">
        <f t="shared" ca="1" si="523"/>
        <v>0</v>
      </c>
      <c r="M307" s="828">
        <f t="shared" ca="1" si="523"/>
        <v>0</v>
      </c>
      <c r="N307" s="828">
        <f t="shared" ca="1" si="523"/>
        <v>0</v>
      </c>
      <c r="O307" s="828">
        <f t="shared" ca="1" si="523"/>
        <v>0</v>
      </c>
      <c r="P307" s="828">
        <f ca="1">SUM(SUMIFS(OFFSET(貼付け_2024実績,$A307,11,1,199),OFFSET(貼付け_2024実績,4,9,1,199),{"横浜*","川崎*"}))</f>
        <v>0</v>
      </c>
      <c r="Q307" s="828">
        <f ca="1">SUM(SUMIFS(OFFSET(貼付け_2025実績,$A307,11,1,199),OFFSET(貼付け_2025実績,4,9,1,199),{"横浜*","川崎*"}))</f>
        <v>0</v>
      </c>
      <c r="R307" s="828">
        <f ca="1">SUM(SUMIFS(OFFSET(貼付け_2026実績,$A307,11,1,199),OFFSET(貼付け_2026実績,4,9,1,199),{"横浜*","川崎*"}))</f>
        <v>0</v>
      </c>
      <c r="S307" s="828">
        <f ca="1">SUM(SUMIFS(OFFSET(貼付け_2027実績,$A307,11,1,199),OFFSET(貼付け_2027実績,4,9,1,199),{"横浜*","川崎*"}))</f>
        <v>0</v>
      </c>
      <c r="T307" s="828">
        <f t="shared" ca="1" si="524"/>
        <v>0</v>
      </c>
      <c r="U307" s="828">
        <f t="shared" ca="1" si="524"/>
        <v>0</v>
      </c>
      <c r="V307" s="828">
        <f t="shared" ca="1" si="524"/>
        <v>0</v>
      </c>
      <c r="W307" s="828">
        <f t="shared" ca="1" si="524"/>
        <v>0</v>
      </c>
      <c r="X307" s="828">
        <f t="shared" ca="1" si="526"/>
        <v>0</v>
      </c>
      <c r="Y307" s="828">
        <f t="shared" ca="1" si="527"/>
        <v>0</v>
      </c>
      <c r="Z307" s="828">
        <f t="shared" ca="1" si="528"/>
        <v>0</v>
      </c>
      <c r="AA307" s="828">
        <f t="shared" ca="1" si="529"/>
        <v>0</v>
      </c>
      <c r="AB307" s="828" t="str">
        <f t="shared" ca="1" si="530"/>
        <v/>
      </c>
      <c r="AC307" s="828" t="str">
        <f t="shared" ca="1" si="531"/>
        <v/>
      </c>
      <c r="AD307" s="828" t="str">
        <f t="shared" ca="1" si="532"/>
        <v/>
      </c>
      <c r="AE307" s="828" t="str">
        <f t="shared" ca="1" si="533"/>
        <v/>
      </c>
      <c r="AF307" s="828" t="str">
        <f t="shared" ca="1" si="534"/>
        <v/>
      </c>
      <c r="AG307" s="828" t="str">
        <f t="shared" ca="1" si="535"/>
        <v/>
      </c>
      <c r="AH307" s="828" t="str">
        <f t="shared" ca="1" si="536"/>
        <v/>
      </c>
      <c r="AI307" s="828" t="str">
        <f t="shared" ca="1" si="537"/>
        <v/>
      </c>
      <c r="AJ307" s="828" t="str">
        <f t="shared" ca="1" si="538"/>
        <v/>
      </c>
      <c r="AK307" s="828" t="str">
        <f t="shared" ca="1" si="539"/>
        <v/>
      </c>
      <c r="AL307" s="828" t="str">
        <f t="shared" ca="1" si="540"/>
        <v/>
      </c>
      <c r="AM307" s="828" t="str">
        <f t="shared" ca="1" si="541"/>
        <v/>
      </c>
      <c r="AN307" s="828" t="str">
        <f t="shared" ca="1" si="542"/>
        <v/>
      </c>
      <c r="AO307" s="828" t="str">
        <f t="shared" ca="1" si="543"/>
        <v/>
      </c>
      <c r="AP307" s="828" t="str">
        <f t="shared" ca="1" si="544"/>
        <v/>
      </c>
      <c r="AQ307" s="828" t="str">
        <f t="shared" ca="1" si="545"/>
        <v/>
      </c>
      <c r="AR307" s="828" t="str">
        <f t="shared" ca="1" si="546"/>
        <v/>
      </c>
      <c r="AS307" s="828" t="str">
        <f t="shared" ca="1" si="547"/>
        <v/>
      </c>
      <c r="AT307" s="828" t="str">
        <f t="shared" ca="1" si="548"/>
        <v/>
      </c>
      <c r="AU307" s="828" t="str">
        <f t="shared" ca="1" si="549"/>
        <v/>
      </c>
      <c r="AV307" s="828" t="str">
        <f t="shared" ca="1" si="550"/>
        <v/>
      </c>
      <c r="AW307" s="828" t="str">
        <f t="shared" ca="1" si="551"/>
        <v/>
      </c>
      <c r="AX307" s="828" t="str">
        <f t="shared" ca="1" si="552"/>
        <v/>
      </c>
      <c r="AY307" s="828" t="str">
        <f t="shared" ca="1" si="553"/>
        <v/>
      </c>
      <c r="AZ307" s="828" t="str">
        <f t="shared" ca="1" si="554"/>
        <v/>
      </c>
      <c r="BA307" s="828" t="str">
        <f t="shared" ca="1" si="555"/>
        <v/>
      </c>
      <c r="BB307" s="828" t="str">
        <f t="shared" ca="1" si="556"/>
        <v/>
      </c>
      <c r="BC307" s="828" t="str">
        <f t="shared" ca="1" si="557"/>
        <v/>
      </c>
      <c r="BD307" s="828" t="str">
        <f t="shared" ca="1" si="558"/>
        <v/>
      </c>
      <c r="BE307" s="828" t="str">
        <f t="shared" ca="1" si="559"/>
        <v/>
      </c>
      <c r="BF307" s="828" t="str">
        <f t="shared" ca="1" si="560"/>
        <v/>
      </c>
      <c r="BG307" s="828" t="str">
        <f t="shared" ca="1" si="561"/>
        <v/>
      </c>
      <c r="BH307" s="828" t="str">
        <f t="shared" ca="1" si="562"/>
        <v/>
      </c>
      <c r="BI307" s="828" t="str">
        <f t="shared" ca="1" si="563"/>
        <v/>
      </c>
      <c r="BJ307" s="828" t="str">
        <f t="shared" ca="1" si="564"/>
        <v/>
      </c>
      <c r="BK307" s="828" t="str">
        <f t="shared" ca="1" si="565"/>
        <v/>
      </c>
      <c r="BL307" s="828" t="str">
        <f t="shared" ca="1" si="566"/>
        <v/>
      </c>
      <c r="BM307" s="828" t="str">
        <f t="shared" ca="1" si="567"/>
        <v/>
      </c>
      <c r="BN307" s="828" t="str">
        <f t="shared" ca="1" si="568"/>
        <v/>
      </c>
      <c r="BO307" s="828" t="str">
        <f t="shared" ca="1" si="569"/>
        <v/>
      </c>
      <c r="BP307" s="841"/>
    </row>
    <row r="308" spans="1:68" ht="20.100000000000001" customHeight="1">
      <c r="A308" s="945">
        <v>60</v>
      </c>
      <c r="B308" s="1870"/>
      <c r="C308" s="1872"/>
      <c r="D308" s="824" t="s">
        <v>4424</v>
      </c>
      <c r="E308" s="829"/>
      <c r="F308" s="849"/>
      <c r="G308" s="826" t="s">
        <v>4196</v>
      </c>
      <c r="H308" s="897">
        <f t="shared" ca="1" si="570"/>
        <v>1.19</v>
      </c>
      <c r="I308" s="897">
        <f t="shared" ca="1" si="570"/>
        <v>1.19</v>
      </c>
      <c r="J308" s="897">
        <f t="shared" ca="1" si="570"/>
        <v>1.19</v>
      </c>
      <c r="K308" s="897">
        <f t="shared" ca="1" si="570"/>
        <v>1.19</v>
      </c>
      <c r="L308" s="828">
        <f t="shared" ca="1" si="523"/>
        <v>0</v>
      </c>
      <c r="M308" s="828">
        <f t="shared" ca="1" si="523"/>
        <v>0</v>
      </c>
      <c r="N308" s="828">
        <f t="shared" ca="1" si="523"/>
        <v>0</v>
      </c>
      <c r="O308" s="828">
        <f t="shared" ca="1" si="523"/>
        <v>0</v>
      </c>
      <c r="P308" s="828">
        <f ca="1">SUM(SUMIFS(OFFSET(貼付け_2024実績,$A308,11,1,199),OFFSET(貼付け_2024実績,4,9,1,199),{"横浜*","川崎*"}))</f>
        <v>0</v>
      </c>
      <c r="Q308" s="828">
        <f ca="1">SUM(SUMIFS(OFFSET(貼付け_2025実績,$A308,11,1,199),OFFSET(貼付け_2025実績,4,9,1,199),{"横浜*","川崎*"}))</f>
        <v>0</v>
      </c>
      <c r="R308" s="828">
        <f ca="1">SUM(SUMIFS(OFFSET(貼付け_2026実績,$A308,11,1,199),OFFSET(貼付け_2026実績,4,9,1,199),{"横浜*","川崎*"}))</f>
        <v>0</v>
      </c>
      <c r="S308" s="828">
        <f ca="1">SUM(SUMIFS(OFFSET(貼付け_2027実績,$A308,11,1,199),OFFSET(貼付け_2027実績,4,9,1,199),{"横浜*","川崎*"}))</f>
        <v>0</v>
      </c>
      <c r="T308" s="828">
        <f t="shared" ca="1" si="524"/>
        <v>0</v>
      </c>
      <c r="U308" s="828">
        <f t="shared" ca="1" si="524"/>
        <v>0</v>
      </c>
      <c r="V308" s="828">
        <f t="shared" ca="1" si="524"/>
        <v>0</v>
      </c>
      <c r="W308" s="828">
        <f t="shared" ca="1" si="524"/>
        <v>0</v>
      </c>
      <c r="X308" s="828">
        <f t="shared" ca="1" si="526"/>
        <v>0</v>
      </c>
      <c r="Y308" s="828">
        <f t="shared" ca="1" si="527"/>
        <v>0</v>
      </c>
      <c r="Z308" s="828">
        <f t="shared" ca="1" si="528"/>
        <v>0</v>
      </c>
      <c r="AA308" s="828">
        <f t="shared" ca="1" si="529"/>
        <v>0</v>
      </c>
      <c r="AB308" s="828" t="str">
        <f t="shared" ca="1" si="530"/>
        <v/>
      </c>
      <c r="AC308" s="828" t="str">
        <f t="shared" ca="1" si="531"/>
        <v/>
      </c>
      <c r="AD308" s="828" t="str">
        <f t="shared" ca="1" si="532"/>
        <v/>
      </c>
      <c r="AE308" s="828" t="str">
        <f t="shared" ca="1" si="533"/>
        <v/>
      </c>
      <c r="AF308" s="828" t="str">
        <f t="shared" ca="1" si="534"/>
        <v/>
      </c>
      <c r="AG308" s="828" t="str">
        <f t="shared" ca="1" si="535"/>
        <v/>
      </c>
      <c r="AH308" s="828" t="str">
        <f t="shared" ca="1" si="536"/>
        <v/>
      </c>
      <c r="AI308" s="828" t="str">
        <f t="shared" ca="1" si="537"/>
        <v/>
      </c>
      <c r="AJ308" s="828" t="str">
        <f t="shared" ca="1" si="538"/>
        <v/>
      </c>
      <c r="AK308" s="828" t="str">
        <f t="shared" ca="1" si="539"/>
        <v/>
      </c>
      <c r="AL308" s="828" t="str">
        <f t="shared" ca="1" si="540"/>
        <v/>
      </c>
      <c r="AM308" s="828" t="str">
        <f t="shared" ca="1" si="541"/>
        <v/>
      </c>
      <c r="AN308" s="828" t="str">
        <f t="shared" ca="1" si="542"/>
        <v/>
      </c>
      <c r="AO308" s="828" t="str">
        <f t="shared" ca="1" si="543"/>
        <v/>
      </c>
      <c r="AP308" s="828" t="str">
        <f t="shared" ca="1" si="544"/>
        <v/>
      </c>
      <c r="AQ308" s="828" t="str">
        <f t="shared" ca="1" si="545"/>
        <v/>
      </c>
      <c r="AR308" s="828" t="str">
        <f t="shared" ca="1" si="546"/>
        <v/>
      </c>
      <c r="AS308" s="828" t="str">
        <f t="shared" ca="1" si="547"/>
        <v/>
      </c>
      <c r="AT308" s="828" t="str">
        <f t="shared" ca="1" si="548"/>
        <v/>
      </c>
      <c r="AU308" s="828" t="str">
        <f t="shared" ca="1" si="549"/>
        <v/>
      </c>
      <c r="AV308" s="828" t="str">
        <f t="shared" ca="1" si="550"/>
        <v/>
      </c>
      <c r="AW308" s="828" t="str">
        <f t="shared" ca="1" si="551"/>
        <v/>
      </c>
      <c r="AX308" s="828" t="str">
        <f t="shared" ca="1" si="552"/>
        <v/>
      </c>
      <c r="AY308" s="828" t="str">
        <f t="shared" ca="1" si="553"/>
        <v/>
      </c>
      <c r="AZ308" s="828" t="str">
        <f t="shared" ca="1" si="554"/>
        <v/>
      </c>
      <c r="BA308" s="828" t="str">
        <f t="shared" ca="1" si="555"/>
        <v/>
      </c>
      <c r="BB308" s="828" t="str">
        <f t="shared" ca="1" si="556"/>
        <v/>
      </c>
      <c r="BC308" s="828" t="str">
        <f t="shared" ca="1" si="557"/>
        <v/>
      </c>
      <c r="BD308" s="828" t="str">
        <f t="shared" ca="1" si="558"/>
        <v/>
      </c>
      <c r="BE308" s="828" t="str">
        <f t="shared" ca="1" si="559"/>
        <v/>
      </c>
      <c r="BF308" s="828" t="str">
        <f t="shared" ca="1" si="560"/>
        <v/>
      </c>
      <c r="BG308" s="828" t="str">
        <f t="shared" ca="1" si="561"/>
        <v/>
      </c>
      <c r="BH308" s="828" t="str">
        <f t="shared" ca="1" si="562"/>
        <v/>
      </c>
      <c r="BI308" s="828" t="str">
        <f t="shared" ca="1" si="563"/>
        <v/>
      </c>
      <c r="BJ308" s="828" t="str">
        <f t="shared" ca="1" si="564"/>
        <v/>
      </c>
      <c r="BK308" s="828" t="str">
        <f t="shared" ca="1" si="565"/>
        <v/>
      </c>
      <c r="BL308" s="828" t="str">
        <f t="shared" ca="1" si="566"/>
        <v/>
      </c>
      <c r="BM308" s="828" t="str">
        <f t="shared" ca="1" si="567"/>
        <v/>
      </c>
      <c r="BN308" s="828" t="str">
        <f t="shared" ca="1" si="568"/>
        <v/>
      </c>
      <c r="BO308" s="828" t="str">
        <f t="shared" ca="1" si="569"/>
        <v/>
      </c>
      <c r="BP308" s="841"/>
    </row>
    <row r="309" spans="1:68" ht="20.100000000000001" customHeight="1">
      <c r="A309" s="945">
        <v>62</v>
      </c>
      <c r="B309" s="1870"/>
      <c r="C309" s="1872"/>
      <c r="D309" s="824" t="s">
        <v>4425</v>
      </c>
      <c r="E309" s="829"/>
      <c r="F309" s="849"/>
      <c r="G309" s="826" t="s">
        <v>4196</v>
      </c>
      <c r="H309" s="897">
        <f t="shared" ca="1" si="570"/>
        <v>1.19</v>
      </c>
      <c r="I309" s="897">
        <f t="shared" ca="1" si="570"/>
        <v>1.19</v>
      </c>
      <c r="J309" s="897">
        <f t="shared" ca="1" si="570"/>
        <v>1.19</v>
      </c>
      <c r="K309" s="897">
        <f t="shared" ca="1" si="570"/>
        <v>1.19</v>
      </c>
      <c r="L309" s="828">
        <f t="shared" ca="1" si="523"/>
        <v>0</v>
      </c>
      <c r="M309" s="828">
        <f t="shared" ca="1" si="523"/>
        <v>0</v>
      </c>
      <c r="N309" s="828">
        <f t="shared" ca="1" si="523"/>
        <v>0</v>
      </c>
      <c r="O309" s="828">
        <f t="shared" ca="1" si="523"/>
        <v>0</v>
      </c>
      <c r="P309" s="828">
        <f ca="1">SUM(SUMIFS(OFFSET(貼付け_2024実績,$A309,11,1,199),OFFSET(貼付け_2024実績,4,9,1,199),{"横浜*","川崎*"}))</f>
        <v>0</v>
      </c>
      <c r="Q309" s="828">
        <f ca="1">SUM(SUMIFS(OFFSET(貼付け_2025実績,$A309,11,1,199),OFFSET(貼付け_2025実績,4,9,1,199),{"横浜*","川崎*"}))</f>
        <v>0</v>
      </c>
      <c r="R309" s="828">
        <f ca="1">SUM(SUMIFS(OFFSET(貼付け_2026実績,$A309,11,1,199),OFFSET(貼付け_2026実績,4,9,1,199),{"横浜*","川崎*"}))</f>
        <v>0</v>
      </c>
      <c r="S309" s="828">
        <f ca="1">SUM(SUMIFS(OFFSET(貼付け_2027実績,$A309,11,1,199),OFFSET(貼付け_2027実績,4,9,1,199),{"横浜*","川崎*"}))</f>
        <v>0</v>
      </c>
      <c r="T309" s="828">
        <f t="shared" ca="1" si="524"/>
        <v>0</v>
      </c>
      <c r="U309" s="828">
        <f t="shared" ca="1" si="524"/>
        <v>0</v>
      </c>
      <c r="V309" s="828">
        <f t="shared" ca="1" si="524"/>
        <v>0</v>
      </c>
      <c r="W309" s="828">
        <f t="shared" ca="1" si="524"/>
        <v>0</v>
      </c>
      <c r="X309" s="828">
        <f t="shared" ca="1" si="526"/>
        <v>0</v>
      </c>
      <c r="Y309" s="828">
        <f t="shared" ca="1" si="527"/>
        <v>0</v>
      </c>
      <c r="Z309" s="828">
        <f t="shared" ca="1" si="528"/>
        <v>0</v>
      </c>
      <c r="AA309" s="828">
        <f t="shared" ca="1" si="529"/>
        <v>0</v>
      </c>
      <c r="AB309" s="828" t="str">
        <f t="shared" ca="1" si="530"/>
        <v/>
      </c>
      <c r="AC309" s="828" t="str">
        <f t="shared" ca="1" si="531"/>
        <v/>
      </c>
      <c r="AD309" s="828" t="str">
        <f t="shared" ca="1" si="532"/>
        <v/>
      </c>
      <c r="AE309" s="828" t="str">
        <f t="shared" ca="1" si="533"/>
        <v/>
      </c>
      <c r="AF309" s="828" t="str">
        <f t="shared" ca="1" si="534"/>
        <v/>
      </c>
      <c r="AG309" s="828" t="str">
        <f t="shared" ca="1" si="535"/>
        <v/>
      </c>
      <c r="AH309" s="828" t="str">
        <f t="shared" ca="1" si="536"/>
        <v/>
      </c>
      <c r="AI309" s="828" t="str">
        <f t="shared" ca="1" si="537"/>
        <v/>
      </c>
      <c r="AJ309" s="828" t="str">
        <f t="shared" ca="1" si="538"/>
        <v/>
      </c>
      <c r="AK309" s="828" t="str">
        <f t="shared" ca="1" si="539"/>
        <v/>
      </c>
      <c r="AL309" s="828" t="str">
        <f t="shared" ca="1" si="540"/>
        <v/>
      </c>
      <c r="AM309" s="828" t="str">
        <f t="shared" ca="1" si="541"/>
        <v/>
      </c>
      <c r="AN309" s="828" t="str">
        <f t="shared" ca="1" si="542"/>
        <v/>
      </c>
      <c r="AO309" s="828" t="str">
        <f t="shared" ca="1" si="543"/>
        <v/>
      </c>
      <c r="AP309" s="828" t="str">
        <f t="shared" ca="1" si="544"/>
        <v/>
      </c>
      <c r="AQ309" s="828" t="str">
        <f t="shared" ca="1" si="545"/>
        <v/>
      </c>
      <c r="AR309" s="828" t="str">
        <f t="shared" ca="1" si="546"/>
        <v/>
      </c>
      <c r="AS309" s="828" t="str">
        <f t="shared" ca="1" si="547"/>
        <v/>
      </c>
      <c r="AT309" s="828" t="str">
        <f t="shared" ca="1" si="548"/>
        <v/>
      </c>
      <c r="AU309" s="828" t="str">
        <f t="shared" ca="1" si="549"/>
        <v/>
      </c>
      <c r="AV309" s="828" t="str">
        <f t="shared" ca="1" si="550"/>
        <v/>
      </c>
      <c r="AW309" s="828" t="str">
        <f t="shared" ca="1" si="551"/>
        <v/>
      </c>
      <c r="AX309" s="828" t="str">
        <f t="shared" ca="1" si="552"/>
        <v/>
      </c>
      <c r="AY309" s="828" t="str">
        <f t="shared" ca="1" si="553"/>
        <v/>
      </c>
      <c r="AZ309" s="828" t="str">
        <f t="shared" ca="1" si="554"/>
        <v/>
      </c>
      <c r="BA309" s="828" t="str">
        <f t="shared" ca="1" si="555"/>
        <v/>
      </c>
      <c r="BB309" s="828" t="str">
        <f t="shared" ca="1" si="556"/>
        <v/>
      </c>
      <c r="BC309" s="828" t="str">
        <f t="shared" ca="1" si="557"/>
        <v/>
      </c>
      <c r="BD309" s="828" t="str">
        <f t="shared" ca="1" si="558"/>
        <v/>
      </c>
      <c r="BE309" s="828" t="str">
        <f t="shared" ca="1" si="559"/>
        <v/>
      </c>
      <c r="BF309" s="828" t="str">
        <f t="shared" ca="1" si="560"/>
        <v/>
      </c>
      <c r="BG309" s="828" t="str">
        <f t="shared" ca="1" si="561"/>
        <v/>
      </c>
      <c r="BH309" s="828" t="str">
        <f t="shared" ca="1" si="562"/>
        <v/>
      </c>
      <c r="BI309" s="828" t="str">
        <f t="shared" ca="1" si="563"/>
        <v/>
      </c>
      <c r="BJ309" s="828" t="str">
        <f t="shared" ca="1" si="564"/>
        <v/>
      </c>
      <c r="BK309" s="828" t="str">
        <f t="shared" ca="1" si="565"/>
        <v/>
      </c>
      <c r="BL309" s="828" t="str">
        <f t="shared" ca="1" si="566"/>
        <v/>
      </c>
      <c r="BM309" s="828" t="str">
        <f t="shared" ca="1" si="567"/>
        <v/>
      </c>
      <c r="BN309" s="828" t="str">
        <f t="shared" ca="1" si="568"/>
        <v/>
      </c>
      <c r="BO309" s="828" t="str">
        <f t="shared" ca="1" si="569"/>
        <v/>
      </c>
      <c r="BP309" s="841"/>
    </row>
    <row r="310" spans="1:68" ht="20.100000000000001" customHeight="1">
      <c r="A310" s="945">
        <v>64</v>
      </c>
      <c r="B310" s="1870"/>
      <c r="C310" s="1872"/>
      <c r="D310" s="851" t="s">
        <v>4426</v>
      </c>
      <c r="E310" s="831" t="str">
        <f ca="1">E61</f>
        <v/>
      </c>
      <c r="F310" s="833"/>
      <c r="G310" s="826" t="s">
        <v>4196</v>
      </c>
      <c r="H310" s="827">
        <f t="shared" ca="1" si="570"/>
        <v>0</v>
      </c>
      <c r="I310" s="827">
        <f t="shared" ca="1" si="570"/>
        <v>0</v>
      </c>
      <c r="J310" s="827">
        <f t="shared" ca="1" si="570"/>
        <v>0</v>
      </c>
      <c r="K310" s="827">
        <f t="shared" ca="1" si="570"/>
        <v>0</v>
      </c>
      <c r="L310" s="828">
        <f t="shared" ca="1" si="523"/>
        <v>0</v>
      </c>
      <c r="M310" s="828">
        <f t="shared" ca="1" si="523"/>
        <v>0</v>
      </c>
      <c r="N310" s="828">
        <f t="shared" ca="1" si="523"/>
        <v>0</v>
      </c>
      <c r="O310" s="828">
        <f t="shared" ca="1" si="523"/>
        <v>0</v>
      </c>
      <c r="P310" s="828">
        <f ca="1">SUM(SUMIFS(OFFSET(貼付け_2024実績,$A310,11,1,199),OFFSET(貼付け_2024実績,4,9,1,199),{"横浜*","川崎*"}))</f>
        <v>0</v>
      </c>
      <c r="Q310" s="828">
        <f ca="1">SUM(SUMIFS(OFFSET(貼付け_2025実績,$A310,11,1,199),OFFSET(貼付け_2025実績,4,9,1,199),{"横浜*","川崎*"}))</f>
        <v>0</v>
      </c>
      <c r="R310" s="828">
        <f ca="1">SUM(SUMIFS(OFFSET(貼付け_2026実績,$A310,11,1,199),OFFSET(貼付け_2026実績,4,9,1,199),{"横浜*","川崎*"}))</f>
        <v>0</v>
      </c>
      <c r="S310" s="828">
        <f ca="1">SUM(SUMIFS(OFFSET(貼付け_2027実績,$A310,11,1,199),OFFSET(貼付け_2027実績,4,9,1,199),{"横浜*","川崎*"}))</f>
        <v>0</v>
      </c>
      <c r="T310" s="828">
        <f t="shared" ca="1" si="524"/>
        <v>0</v>
      </c>
      <c r="U310" s="828">
        <f t="shared" ca="1" si="524"/>
        <v>0</v>
      </c>
      <c r="V310" s="828">
        <f t="shared" ca="1" si="524"/>
        <v>0</v>
      </c>
      <c r="W310" s="828">
        <f t="shared" ca="1" si="524"/>
        <v>0</v>
      </c>
      <c r="X310" s="828">
        <f t="shared" ca="1" si="526"/>
        <v>0</v>
      </c>
      <c r="Y310" s="828">
        <f t="shared" ca="1" si="527"/>
        <v>0</v>
      </c>
      <c r="Z310" s="828">
        <f t="shared" ca="1" si="528"/>
        <v>0</v>
      </c>
      <c r="AA310" s="828">
        <f t="shared" ca="1" si="529"/>
        <v>0</v>
      </c>
      <c r="AB310" s="828" t="str">
        <f t="shared" ca="1" si="530"/>
        <v/>
      </c>
      <c r="AC310" s="828" t="str">
        <f t="shared" ca="1" si="531"/>
        <v/>
      </c>
      <c r="AD310" s="828" t="str">
        <f t="shared" ca="1" si="532"/>
        <v/>
      </c>
      <c r="AE310" s="828" t="str">
        <f t="shared" ca="1" si="533"/>
        <v/>
      </c>
      <c r="AF310" s="828" t="str">
        <f t="shared" ca="1" si="534"/>
        <v/>
      </c>
      <c r="AG310" s="828" t="str">
        <f t="shared" ca="1" si="535"/>
        <v/>
      </c>
      <c r="AH310" s="828" t="str">
        <f t="shared" ca="1" si="536"/>
        <v/>
      </c>
      <c r="AI310" s="828" t="str">
        <f t="shared" ca="1" si="537"/>
        <v/>
      </c>
      <c r="AJ310" s="828" t="str">
        <f t="shared" ca="1" si="538"/>
        <v/>
      </c>
      <c r="AK310" s="828" t="str">
        <f t="shared" ca="1" si="539"/>
        <v/>
      </c>
      <c r="AL310" s="828" t="str">
        <f t="shared" ca="1" si="540"/>
        <v/>
      </c>
      <c r="AM310" s="828" t="str">
        <f t="shared" ca="1" si="541"/>
        <v/>
      </c>
      <c r="AN310" s="828" t="str">
        <f t="shared" ca="1" si="542"/>
        <v/>
      </c>
      <c r="AO310" s="828" t="str">
        <f t="shared" ca="1" si="543"/>
        <v/>
      </c>
      <c r="AP310" s="828" t="str">
        <f t="shared" ca="1" si="544"/>
        <v/>
      </c>
      <c r="AQ310" s="828" t="str">
        <f t="shared" ca="1" si="545"/>
        <v/>
      </c>
      <c r="AR310" s="828" t="str">
        <f t="shared" ca="1" si="546"/>
        <v/>
      </c>
      <c r="AS310" s="828" t="str">
        <f t="shared" ca="1" si="547"/>
        <v/>
      </c>
      <c r="AT310" s="828" t="str">
        <f t="shared" ca="1" si="548"/>
        <v/>
      </c>
      <c r="AU310" s="828" t="str">
        <f t="shared" ca="1" si="549"/>
        <v/>
      </c>
      <c r="AV310" s="828" t="str">
        <f t="shared" ca="1" si="550"/>
        <v/>
      </c>
      <c r="AW310" s="828" t="str">
        <f t="shared" ca="1" si="551"/>
        <v/>
      </c>
      <c r="AX310" s="828" t="str">
        <f t="shared" ca="1" si="552"/>
        <v/>
      </c>
      <c r="AY310" s="828" t="str">
        <f t="shared" ca="1" si="553"/>
        <v/>
      </c>
      <c r="AZ310" s="828" t="str">
        <f t="shared" ca="1" si="554"/>
        <v/>
      </c>
      <c r="BA310" s="828" t="str">
        <f t="shared" ca="1" si="555"/>
        <v/>
      </c>
      <c r="BB310" s="828" t="str">
        <f t="shared" ca="1" si="556"/>
        <v/>
      </c>
      <c r="BC310" s="828" t="str">
        <f t="shared" ca="1" si="557"/>
        <v/>
      </c>
      <c r="BD310" s="828" t="str">
        <f t="shared" ca="1" si="558"/>
        <v/>
      </c>
      <c r="BE310" s="828" t="str">
        <f t="shared" ca="1" si="559"/>
        <v/>
      </c>
      <c r="BF310" s="828" t="str">
        <f t="shared" ca="1" si="560"/>
        <v/>
      </c>
      <c r="BG310" s="828" t="str">
        <f t="shared" ca="1" si="561"/>
        <v/>
      </c>
      <c r="BH310" s="828" t="str">
        <f t="shared" ca="1" si="562"/>
        <v/>
      </c>
      <c r="BI310" s="828" t="str">
        <f t="shared" ca="1" si="563"/>
        <v/>
      </c>
      <c r="BJ310" s="828" t="str">
        <f t="shared" ca="1" si="564"/>
        <v/>
      </c>
      <c r="BK310" s="828" t="str">
        <f t="shared" ca="1" si="565"/>
        <v/>
      </c>
      <c r="BL310" s="828" t="str">
        <f t="shared" ca="1" si="566"/>
        <v/>
      </c>
      <c r="BM310" s="828" t="str">
        <f t="shared" ca="1" si="567"/>
        <v/>
      </c>
      <c r="BN310" s="828" t="str">
        <f t="shared" ca="1" si="568"/>
        <v/>
      </c>
      <c r="BO310" s="828" t="str">
        <f t="shared" ca="1" si="569"/>
        <v/>
      </c>
      <c r="BP310" s="841"/>
    </row>
    <row r="311" spans="1:68" ht="20.100000000000001" customHeight="1">
      <c r="A311" s="945">
        <v>66</v>
      </c>
      <c r="B311" s="1870"/>
      <c r="C311" s="1872" t="s">
        <v>4427</v>
      </c>
      <c r="D311" s="852" t="s">
        <v>4428</v>
      </c>
      <c r="E311" s="824"/>
      <c r="F311" s="849"/>
      <c r="G311" s="826" t="s">
        <v>4196</v>
      </c>
      <c r="H311" s="897">
        <f t="shared" ca="1" si="570"/>
        <v>0</v>
      </c>
      <c r="I311" s="897">
        <f t="shared" ca="1" si="570"/>
        <v>0</v>
      </c>
      <c r="J311" s="897">
        <f t="shared" ca="1" si="570"/>
        <v>0</v>
      </c>
      <c r="K311" s="897">
        <f t="shared" ca="1" si="570"/>
        <v>0</v>
      </c>
      <c r="L311" s="828">
        <f t="shared" ca="1" si="523"/>
        <v>0</v>
      </c>
      <c r="M311" s="828">
        <f t="shared" ca="1" si="523"/>
        <v>0</v>
      </c>
      <c r="N311" s="828">
        <f t="shared" ca="1" si="523"/>
        <v>0</v>
      </c>
      <c r="O311" s="828">
        <f t="shared" ca="1" si="523"/>
        <v>0</v>
      </c>
      <c r="P311" s="828">
        <f ca="1">SUM(SUMIFS(OFFSET(貼付け_2024実績,$A311,11,1,199),OFFSET(貼付け_2024実績,4,9,1,199),{"横浜*","川崎*"}))</f>
        <v>0</v>
      </c>
      <c r="Q311" s="828">
        <f ca="1">SUM(SUMIFS(OFFSET(貼付け_2025実績,$A311,11,1,199),OFFSET(貼付け_2025実績,4,9,1,199),{"横浜*","川崎*"}))</f>
        <v>0</v>
      </c>
      <c r="R311" s="828">
        <f ca="1">SUM(SUMIFS(OFFSET(貼付け_2026実績,$A311,11,1,199),OFFSET(貼付け_2026実績,4,9,1,199),{"横浜*","川崎*"}))</f>
        <v>0</v>
      </c>
      <c r="S311" s="828">
        <f ca="1">SUM(SUMIFS(OFFSET(貼付け_2027実績,$A311,11,1,199),OFFSET(貼付け_2027実績,4,9,1,199),{"横浜*","川崎*"}))</f>
        <v>0</v>
      </c>
      <c r="T311" s="828">
        <f t="shared" ca="1" si="524"/>
        <v>0</v>
      </c>
      <c r="U311" s="828">
        <f t="shared" ca="1" si="524"/>
        <v>0</v>
      </c>
      <c r="V311" s="828">
        <f t="shared" ca="1" si="524"/>
        <v>0</v>
      </c>
      <c r="W311" s="828">
        <f t="shared" ca="1" si="524"/>
        <v>0</v>
      </c>
      <c r="X311" s="828">
        <f t="shared" ca="1" si="526"/>
        <v>0</v>
      </c>
      <c r="Y311" s="828">
        <f t="shared" ca="1" si="527"/>
        <v>0</v>
      </c>
      <c r="Z311" s="828">
        <f t="shared" ca="1" si="528"/>
        <v>0</v>
      </c>
      <c r="AA311" s="828">
        <f t="shared" ca="1" si="529"/>
        <v>0</v>
      </c>
      <c r="AB311" s="828" t="str">
        <f t="shared" ca="1" si="530"/>
        <v/>
      </c>
      <c r="AC311" s="828" t="str">
        <f t="shared" ca="1" si="531"/>
        <v/>
      </c>
      <c r="AD311" s="828" t="str">
        <f t="shared" ca="1" si="532"/>
        <v/>
      </c>
      <c r="AE311" s="828" t="str">
        <f t="shared" ca="1" si="533"/>
        <v/>
      </c>
      <c r="AF311" s="828" t="str">
        <f t="shared" ca="1" si="534"/>
        <v/>
      </c>
      <c r="AG311" s="828" t="str">
        <f t="shared" ca="1" si="535"/>
        <v/>
      </c>
      <c r="AH311" s="828" t="str">
        <f t="shared" ca="1" si="536"/>
        <v/>
      </c>
      <c r="AI311" s="828" t="str">
        <f t="shared" ca="1" si="537"/>
        <v/>
      </c>
      <c r="AJ311" s="828" t="str">
        <f t="shared" ca="1" si="538"/>
        <v/>
      </c>
      <c r="AK311" s="828" t="str">
        <f t="shared" ca="1" si="539"/>
        <v/>
      </c>
      <c r="AL311" s="828" t="str">
        <f t="shared" ca="1" si="540"/>
        <v/>
      </c>
      <c r="AM311" s="828" t="str">
        <f t="shared" ca="1" si="541"/>
        <v/>
      </c>
      <c r="AN311" s="828" t="str">
        <f t="shared" ca="1" si="542"/>
        <v/>
      </c>
      <c r="AO311" s="828" t="str">
        <f t="shared" ca="1" si="543"/>
        <v/>
      </c>
      <c r="AP311" s="828" t="str">
        <f t="shared" ca="1" si="544"/>
        <v/>
      </c>
      <c r="AQ311" s="828" t="str">
        <f t="shared" ca="1" si="545"/>
        <v/>
      </c>
      <c r="AR311" s="828" t="str">
        <f t="shared" ca="1" si="546"/>
        <v/>
      </c>
      <c r="AS311" s="828" t="str">
        <f t="shared" ca="1" si="547"/>
        <v/>
      </c>
      <c r="AT311" s="828" t="str">
        <f t="shared" ca="1" si="548"/>
        <v/>
      </c>
      <c r="AU311" s="828" t="str">
        <f t="shared" ca="1" si="549"/>
        <v/>
      </c>
      <c r="AV311" s="828" t="str">
        <f t="shared" ca="1" si="550"/>
        <v/>
      </c>
      <c r="AW311" s="828" t="str">
        <f t="shared" ca="1" si="551"/>
        <v/>
      </c>
      <c r="AX311" s="828" t="str">
        <f t="shared" ca="1" si="552"/>
        <v/>
      </c>
      <c r="AY311" s="828" t="str">
        <f t="shared" ca="1" si="553"/>
        <v/>
      </c>
      <c r="AZ311" s="828" t="str">
        <f t="shared" ca="1" si="554"/>
        <v/>
      </c>
      <c r="BA311" s="828" t="str">
        <f t="shared" ca="1" si="555"/>
        <v/>
      </c>
      <c r="BB311" s="828" t="str">
        <f t="shared" ca="1" si="556"/>
        <v/>
      </c>
      <c r="BC311" s="828" t="str">
        <f t="shared" ca="1" si="557"/>
        <v/>
      </c>
      <c r="BD311" s="828" t="str">
        <f t="shared" ca="1" si="558"/>
        <v/>
      </c>
      <c r="BE311" s="828" t="str">
        <f t="shared" ca="1" si="559"/>
        <v/>
      </c>
      <c r="BF311" s="828" t="str">
        <f t="shared" ca="1" si="560"/>
        <v/>
      </c>
      <c r="BG311" s="828" t="str">
        <f t="shared" ca="1" si="561"/>
        <v/>
      </c>
      <c r="BH311" s="828" t="str">
        <f t="shared" ca="1" si="562"/>
        <v/>
      </c>
      <c r="BI311" s="828" t="str">
        <f t="shared" ca="1" si="563"/>
        <v/>
      </c>
      <c r="BJ311" s="828" t="str">
        <f t="shared" ca="1" si="564"/>
        <v/>
      </c>
      <c r="BK311" s="828" t="str">
        <f t="shared" ca="1" si="565"/>
        <v/>
      </c>
      <c r="BL311" s="828" t="str">
        <f t="shared" ca="1" si="566"/>
        <v/>
      </c>
      <c r="BM311" s="828" t="str">
        <f t="shared" ca="1" si="567"/>
        <v/>
      </c>
      <c r="BN311" s="828" t="str">
        <f t="shared" ca="1" si="568"/>
        <v/>
      </c>
      <c r="BO311" s="828" t="str">
        <f t="shared" ca="1" si="569"/>
        <v/>
      </c>
      <c r="BP311" s="841"/>
    </row>
    <row r="312" spans="1:68" ht="20.100000000000001" customHeight="1">
      <c r="A312" s="945">
        <v>67</v>
      </c>
      <c r="B312" s="1870"/>
      <c r="C312" s="1872"/>
      <c r="D312" s="852" t="s">
        <v>4429</v>
      </c>
      <c r="E312" s="824"/>
      <c r="F312" s="849"/>
      <c r="G312" s="826" t="s">
        <v>4196</v>
      </c>
      <c r="H312" s="827">
        <f t="shared" ca="1" si="570"/>
        <v>0</v>
      </c>
      <c r="I312" s="827">
        <f t="shared" ca="1" si="570"/>
        <v>0</v>
      </c>
      <c r="J312" s="827">
        <f t="shared" ca="1" si="570"/>
        <v>0</v>
      </c>
      <c r="K312" s="827">
        <f t="shared" ca="1" si="570"/>
        <v>0</v>
      </c>
      <c r="L312" s="828">
        <f t="shared" ca="1" si="523"/>
        <v>0</v>
      </c>
      <c r="M312" s="828">
        <f t="shared" ca="1" si="523"/>
        <v>0</v>
      </c>
      <c r="N312" s="828">
        <f t="shared" ca="1" si="523"/>
        <v>0</v>
      </c>
      <c r="O312" s="828">
        <f t="shared" ca="1" si="523"/>
        <v>0</v>
      </c>
      <c r="P312" s="828">
        <f ca="1">SUM(SUMIFS(OFFSET(貼付け_2024実績,$A312,11,1,199),OFFSET(貼付け_2024実績,4,9,1,199),{"横浜*","川崎*"}))</f>
        <v>0</v>
      </c>
      <c r="Q312" s="828">
        <f ca="1">SUM(SUMIFS(OFFSET(貼付け_2025実績,$A312,11,1,199),OFFSET(貼付け_2025実績,4,9,1,199),{"横浜*","川崎*"}))</f>
        <v>0</v>
      </c>
      <c r="R312" s="828">
        <f ca="1">SUM(SUMIFS(OFFSET(貼付け_2026実績,$A312,11,1,199),OFFSET(貼付け_2026実績,4,9,1,199),{"横浜*","川崎*"}))</f>
        <v>0</v>
      </c>
      <c r="S312" s="828">
        <f ca="1">SUM(SUMIFS(OFFSET(貼付け_2027実績,$A312,11,1,199),OFFSET(貼付け_2027実績,4,9,1,199),{"横浜*","川崎*"}))</f>
        <v>0</v>
      </c>
      <c r="T312" s="828">
        <f t="shared" ca="1" si="524"/>
        <v>0</v>
      </c>
      <c r="U312" s="828">
        <f t="shared" ca="1" si="524"/>
        <v>0</v>
      </c>
      <c r="V312" s="828">
        <f t="shared" ca="1" si="524"/>
        <v>0</v>
      </c>
      <c r="W312" s="828">
        <f t="shared" ca="1" si="524"/>
        <v>0</v>
      </c>
      <c r="X312" s="828">
        <f t="shared" ca="1" si="526"/>
        <v>0</v>
      </c>
      <c r="Y312" s="828">
        <f t="shared" ca="1" si="527"/>
        <v>0</v>
      </c>
      <c r="Z312" s="828">
        <f t="shared" ca="1" si="528"/>
        <v>0</v>
      </c>
      <c r="AA312" s="828">
        <f t="shared" ca="1" si="529"/>
        <v>0</v>
      </c>
      <c r="AB312" s="828" t="str">
        <f t="shared" ca="1" si="530"/>
        <v/>
      </c>
      <c r="AC312" s="828" t="str">
        <f t="shared" ca="1" si="531"/>
        <v/>
      </c>
      <c r="AD312" s="828" t="str">
        <f t="shared" ca="1" si="532"/>
        <v/>
      </c>
      <c r="AE312" s="828" t="str">
        <f t="shared" ca="1" si="533"/>
        <v/>
      </c>
      <c r="AF312" s="828" t="str">
        <f t="shared" ca="1" si="534"/>
        <v/>
      </c>
      <c r="AG312" s="828" t="str">
        <f t="shared" ca="1" si="535"/>
        <v/>
      </c>
      <c r="AH312" s="828" t="str">
        <f t="shared" ca="1" si="536"/>
        <v/>
      </c>
      <c r="AI312" s="828" t="str">
        <f t="shared" ca="1" si="537"/>
        <v/>
      </c>
      <c r="AJ312" s="828" t="str">
        <f t="shared" ca="1" si="538"/>
        <v/>
      </c>
      <c r="AK312" s="828" t="str">
        <f t="shared" ca="1" si="539"/>
        <v/>
      </c>
      <c r="AL312" s="828" t="str">
        <f t="shared" ca="1" si="540"/>
        <v/>
      </c>
      <c r="AM312" s="828" t="str">
        <f t="shared" ca="1" si="541"/>
        <v/>
      </c>
      <c r="AN312" s="828" t="str">
        <f t="shared" ca="1" si="542"/>
        <v/>
      </c>
      <c r="AO312" s="828" t="str">
        <f t="shared" ca="1" si="543"/>
        <v/>
      </c>
      <c r="AP312" s="828" t="str">
        <f t="shared" ca="1" si="544"/>
        <v/>
      </c>
      <c r="AQ312" s="828" t="str">
        <f t="shared" ca="1" si="545"/>
        <v/>
      </c>
      <c r="AR312" s="828" t="str">
        <f t="shared" ca="1" si="546"/>
        <v/>
      </c>
      <c r="AS312" s="828" t="str">
        <f t="shared" ca="1" si="547"/>
        <v/>
      </c>
      <c r="AT312" s="828" t="str">
        <f t="shared" ca="1" si="548"/>
        <v/>
      </c>
      <c r="AU312" s="828" t="str">
        <f t="shared" ca="1" si="549"/>
        <v/>
      </c>
      <c r="AV312" s="828" t="str">
        <f t="shared" ca="1" si="550"/>
        <v/>
      </c>
      <c r="AW312" s="828" t="str">
        <f t="shared" ca="1" si="551"/>
        <v/>
      </c>
      <c r="AX312" s="828" t="str">
        <f t="shared" ca="1" si="552"/>
        <v/>
      </c>
      <c r="AY312" s="828" t="str">
        <f t="shared" ca="1" si="553"/>
        <v/>
      </c>
      <c r="AZ312" s="828" t="str">
        <f t="shared" ca="1" si="554"/>
        <v/>
      </c>
      <c r="BA312" s="828" t="str">
        <f t="shared" ca="1" si="555"/>
        <v/>
      </c>
      <c r="BB312" s="828" t="str">
        <f t="shared" ca="1" si="556"/>
        <v/>
      </c>
      <c r="BC312" s="828" t="str">
        <f t="shared" ca="1" si="557"/>
        <v/>
      </c>
      <c r="BD312" s="828" t="str">
        <f t="shared" ca="1" si="558"/>
        <v/>
      </c>
      <c r="BE312" s="828" t="str">
        <f t="shared" ca="1" si="559"/>
        <v/>
      </c>
      <c r="BF312" s="828" t="str">
        <f t="shared" ca="1" si="560"/>
        <v/>
      </c>
      <c r="BG312" s="828" t="str">
        <f t="shared" ca="1" si="561"/>
        <v/>
      </c>
      <c r="BH312" s="828" t="str">
        <f t="shared" ca="1" si="562"/>
        <v/>
      </c>
      <c r="BI312" s="828" t="str">
        <f t="shared" ca="1" si="563"/>
        <v/>
      </c>
      <c r="BJ312" s="828" t="str">
        <f t="shared" ca="1" si="564"/>
        <v/>
      </c>
      <c r="BK312" s="828" t="str">
        <f t="shared" ca="1" si="565"/>
        <v/>
      </c>
      <c r="BL312" s="828" t="str">
        <f t="shared" ca="1" si="566"/>
        <v/>
      </c>
      <c r="BM312" s="828" t="str">
        <f t="shared" ca="1" si="567"/>
        <v/>
      </c>
      <c r="BN312" s="828" t="str">
        <f t="shared" ca="1" si="568"/>
        <v/>
      </c>
      <c r="BO312" s="828" t="str">
        <f t="shared" ca="1" si="569"/>
        <v/>
      </c>
      <c r="BP312" s="841"/>
    </row>
    <row r="313" spans="1:68" ht="20.100000000000001" customHeight="1">
      <c r="A313" s="945">
        <v>68</v>
      </c>
      <c r="B313" s="1870"/>
      <c r="C313" s="1872"/>
      <c r="D313" s="852" t="s">
        <v>4430</v>
      </c>
      <c r="E313" s="824"/>
      <c r="F313" s="849"/>
      <c r="G313" s="826" t="s">
        <v>4196</v>
      </c>
      <c r="H313" s="897">
        <f t="shared" ca="1" si="570"/>
        <v>0</v>
      </c>
      <c r="I313" s="897">
        <f t="shared" ca="1" si="570"/>
        <v>0</v>
      </c>
      <c r="J313" s="897">
        <f t="shared" ca="1" si="570"/>
        <v>0</v>
      </c>
      <c r="K313" s="897">
        <f t="shared" ca="1" si="570"/>
        <v>0</v>
      </c>
      <c r="L313" s="828">
        <f t="shared" ca="1" si="523"/>
        <v>0</v>
      </c>
      <c r="M313" s="828">
        <f t="shared" ca="1" si="523"/>
        <v>0</v>
      </c>
      <c r="N313" s="828">
        <f t="shared" ca="1" si="523"/>
        <v>0</v>
      </c>
      <c r="O313" s="828">
        <f t="shared" ca="1" si="523"/>
        <v>0</v>
      </c>
      <c r="P313" s="828">
        <f ca="1">SUM(SUMIFS(OFFSET(貼付け_2024実績,$A313,11,1,199),OFFSET(貼付け_2024実績,4,9,1,199),{"横浜*","川崎*"}))</f>
        <v>0</v>
      </c>
      <c r="Q313" s="828">
        <f ca="1">SUM(SUMIFS(OFFSET(貼付け_2025実績,$A313,11,1,199),OFFSET(貼付け_2025実績,4,9,1,199),{"横浜*","川崎*"}))</f>
        <v>0</v>
      </c>
      <c r="R313" s="828">
        <f ca="1">SUM(SUMIFS(OFFSET(貼付け_2026実績,$A313,11,1,199),OFFSET(貼付け_2026実績,4,9,1,199),{"横浜*","川崎*"}))</f>
        <v>0</v>
      </c>
      <c r="S313" s="828">
        <f ca="1">SUM(SUMIFS(OFFSET(貼付け_2027実績,$A313,11,1,199),OFFSET(貼付け_2027実績,4,9,1,199),{"横浜*","川崎*"}))</f>
        <v>0</v>
      </c>
      <c r="T313" s="828">
        <f t="shared" ca="1" si="524"/>
        <v>0</v>
      </c>
      <c r="U313" s="828">
        <f t="shared" ca="1" si="524"/>
        <v>0</v>
      </c>
      <c r="V313" s="828">
        <f t="shared" ca="1" si="524"/>
        <v>0</v>
      </c>
      <c r="W313" s="828">
        <f t="shared" ca="1" si="524"/>
        <v>0</v>
      </c>
      <c r="X313" s="828">
        <f t="shared" ca="1" si="526"/>
        <v>0</v>
      </c>
      <c r="Y313" s="828">
        <f t="shared" ca="1" si="527"/>
        <v>0</v>
      </c>
      <c r="Z313" s="828">
        <f t="shared" ca="1" si="528"/>
        <v>0</v>
      </c>
      <c r="AA313" s="828">
        <f t="shared" ca="1" si="529"/>
        <v>0</v>
      </c>
      <c r="AB313" s="828" t="str">
        <f t="shared" ca="1" si="530"/>
        <v/>
      </c>
      <c r="AC313" s="828" t="str">
        <f t="shared" ca="1" si="531"/>
        <v/>
      </c>
      <c r="AD313" s="828" t="str">
        <f t="shared" ca="1" si="532"/>
        <v/>
      </c>
      <c r="AE313" s="828" t="str">
        <f t="shared" ca="1" si="533"/>
        <v/>
      </c>
      <c r="AF313" s="828" t="str">
        <f t="shared" ca="1" si="534"/>
        <v/>
      </c>
      <c r="AG313" s="828" t="str">
        <f t="shared" ca="1" si="535"/>
        <v/>
      </c>
      <c r="AH313" s="828" t="str">
        <f t="shared" ca="1" si="536"/>
        <v/>
      </c>
      <c r="AI313" s="828" t="str">
        <f t="shared" ca="1" si="537"/>
        <v/>
      </c>
      <c r="AJ313" s="828" t="str">
        <f t="shared" ca="1" si="538"/>
        <v/>
      </c>
      <c r="AK313" s="828" t="str">
        <f t="shared" ca="1" si="539"/>
        <v/>
      </c>
      <c r="AL313" s="828" t="str">
        <f t="shared" ca="1" si="540"/>
        <v/>
      </c>
      <c r="AM313" s="828" t="str">
        <f t="shared" ca="1" si="541"/>
        <v/>
      </c>
      <c r="AN313" s="828" t="str">
        <f t="shared" ca="1" si="542"/>
        <v/>
      </c>
      <c r="AO313" s="828" t="str">
        <f t="shared" ca="1" si="543"/>
        <v/>
      </c>
      <c r="AP313" s="828" t="str">
        <f t="shared" ca="1" si="544"/>
        <v/>
      </c>
      <c r="AQ313" s="828" t="str">
        <f t="shared" ca="1" si="545"/>
        <v/>
      </c>
      <c r="AR313" s="828" t="str">
        <f t="shared" ca="1" si="546"/>
        <v/>
      </c>
      <c r="AS313" s="828" t="str">
        <f t="shared" ca="1" si="547"/>
        <v/>
      </c>
      <c r="AT313" s="828" t="str">
        <f t="shared" ca="1" si="548"/>
        <v/>
      </c>
      <c r="AU313" s="828" t="str">
        <f t="shared" ca="1" si="549"/>
        <v/>
      </c>
      <c r="AV313" s="828" t="str">
        <f t="shared" ca="1" si="550"/>
        <v/>
      </c>
      <c r="AW313" s="828" t="str">
        <f t="shared" ca="1" si="551"/>
        <v/>
      </c>
      <c r="AX313" s="828" t="str">
        <f t="shared" ca="1" si="552"/>
        <v/>
      </c>
      <c r="AY313" s="828" t="str">
        <f t="shared" ca="1" si="553"/>
        <v/>
      </c>
      <c r="AZ313" s="828" t="str">
        <f t="shared" ca="1" si="554"/>
        <v/>
      </c>
      <c r="BA313" s="828" t="str">
        <f t="shared" ca="1" si="555"/>
        <v/>
      </c>
      <c r="BB313" s="828" t="str">
        <f t="shared" ca="1" si="556"/>
        <v/>
      </c>
      <c r="BC313" s="828" t="str">
        <f t="shared" ca="1" si="557"/>
        <v/>
      </c>
      <c r="BD313" s="828" t="str">
        <f t="shared" ca="1" si="558"/>
        <v/>
      </c>
      <c r="BE313" s="828" t="str">
        <f t="shared" ca="1" si="559"/>
        <v/>
      </c>
      <c r="BF313" s="828" t="str">
        <f t="shared" ca="1" si="560"/>
        <v/>
      </c>
      <c r="BG313" s="828" t="str">
        <f t="shared" ca="1" si="561"/>
        <v/>
      </c>
      <c r="BH313" s="828" t="str">
        <f t="shared" ca="1" si="562"/>
        <v/>
      </c>
      <c r="BI313" s="828" t="str">
        <f t="shared" ca="1" si="563"/>
        <v/>
      </c>
      <c r="BJ313" s="828" t="str">
        <f t="shared" ca="1" si="564"/>
        <v/>
      </c>
      <c r="BK313" s="828" t="str">
        <f t="shared" ca="1" si="565"/>
        <v/>
      </c>
      <c r="BL313" s="828" t="str">
        <f t="shared" ca="1" si="566"/>
        <v/>
      </c>
      <c r="BM313" s="828" t="str">
        <f t="shared" ca="1" si="567"/>
        <v/>
      </c>
      <c r="BN313" s="828" t="str">
        <f t="shared" ca="1" si="568"/>
        <v/>
      </c>
      <c r="BO313" s="828" t="str">
        <f t="shared" ca="1" si="569"/>
        <v/>
      </c>
      <c r="BP313" s="841"/>
    </row>
    <row r="314" spans="1:68" ht="20.100000000000001" customHeight="1">
      <c r="A314" s="945">
        <v>69</v>
      </c>
      <c r="B314" s="1870"/>
      <c r="C314" s="1872"/>
      <c r="D314" s="852" t="s">
        <v>4431</v>
      </c>
      <c r="E314" s="824"/>
      <c r="F314" s="849"/>
      <c r="G314" s="826" t="s">
        <v>4196</v>
      </c>
      <c r="H314" s="827">
        <f t="shared" ca="1" si="570"/>
        <v>0</v>
      </c>
      <c r="I314" s="827">
        <f t="shared" ca="1" si="570"/>
        <v>0</v>
      </c>
      <c r="J314" s="827">
        <f t="shared" ca="1" si="570"/>
        <v>0</v>
      </c>
      <c r="K314" s="827">
        <f t="shared" ca="1" si="570"/>
        <v>0</v>
      </c>
      <c r="L314" s="828">
        <f t="shared" ca="1" si="523"/>
        <v>0</v>
      </c>
      <c r="M314" s="828">
        <f t="shared" ca="1" si="523"/>
        <v>0</v>
      </c>
      <c r="N314" s="828">
        <f t="shared" ca="1" si="523"/>
        <v>0</v>
      </c>
      <c r="O314" s="828">
        <f t="shared" ca="1" si="523"/>
        <v>0</v>
      </c>
      <c r="P314" s="828">
        <f ca="1">SUM(SUMIFS(OFFSET(貼付け_2024実績,$A314,11,1,199),OFFSET(貼付け_2024実績,4,9,1,199),{"横浜*","川崎*"}))</f>
        <v>0</v>
      </c>
      <c r="Q314" s="828">
        <f ca="1">SUM(SUMIFS(OFFSET(貼付け_2025実績,$A314,11,1,199),OFFSET(貼付け_2025実績,4,9,1,199),{"横浜*","川崎*"}))</f>
        <v>0</v>
      </c>
      <c r="R314" s="828">
        <f ca="1">SUM(SUMIFS(OFFSET(貼付け_2026実績,$A314,11,1,199),OFFSET(貼付け_2026実績,4,9,1,199),{"横浜*","川崎*"}))</f>
        <v>0</v>
      </c>
      <c r="S314" s="828">
        <f ca="1">SUM(SUMIFS(OFFSET(貼付け_2027実績,$A314,11,1,199),OFFSET(貼付け_2027実績,4,9,1,199),{"横浜*","川崎*"}))</f>
        <v>0</v>
      </c>
      <c r="T314" s="828">
        <f t="shared" ca="1" si="524"/>
        <v>0</v>
      </c>
      <c r="U314" s="828">
        <f t="shared" ca="1" si="524"/>
        <v>0</v>
      </c>
      <c r="V314" s="828">
        <f t="shared" ca="1" si="524"/>
        <v>0</v>
      </c>
      <c r="W314" s="828">
        <f t="shared" ca="1" si="524"/>
        <v>0</v>
      </c>
      <c r="X314" s="828">
        <f t="shared" ca="1" si="526"/>
        <v>0</v>
      </c>
      <c r="Y314" s="828">
        <f t="shared" ca="1" si="527"/>
        <v>0</v>
      </c>
      <c r="Z314" s="828">
        <f t="shared" ca="1" si="528"/>
        <v>0</v>
      </c>
      <c r="AA314" s="828">
        <f t="shared" ca="1" si="529"/>
        <v>0</v>
      </c>
      <c r="AB314" s="828" t="str">
        <f t="shared" ca="1" si="530"/>
        <v/>
      </c>
      <c r="AC314" s="828" t="str">
        <f t="shared" ca="1" si="531"/>
        <v/>
      </c>
      <c r="AD314" s="828" t="str">
        <f t="shared" ca="1" si="532"/>
        <v/>
      </c>
      <c r="AE314" s="828" t="str">
        <f t="shared" ca="1" si="533"/>
        <v/>
      </c>
      <c r="AF314" s="828" t="str">
        <f t="shared" ca="1" si="534"/>
        <v/>
      </c>
      <c r="AG314" s="828" t="str">
        <f t="shared" ca="1" si="535"/>
        <v/>
      </c>
      <c r="AH314" s="828" t="str">
        <f t="shared" ca="1" si="536"/>
        <v/>
      </c>
      <c r="AI314" s="828" t="str">
        <f t="shared" ca="1" si="537"/>
        <v/>
      </c>
      <c r="AJ314" s="828" t="str">
        <f t="shared" ca="1" si="538"/>
        <v/>
      </c>
      <c r="AK314" s="828" t="str">
        <f t="shared" ca="1" si="539"/>
        <v/>
      </c>
      <c r="AL314" s="828" t="str">
        <f t="shared" ca="1" si="540"/>
        <v/>
      </c>
      <c r="AM314" s="828" t="str">
        <f t="shared" ca="1" si="541"/>
        <v/>
      </c>
      <c r="AN314" s="828" t="str">
        <f t="shared" ca="1" si="542"/>
        <v/>
      </c>
      <c r="AO314" s="828" t="str">
        <f t="shared" ca="1" si="543"/>
        <v/>
      </c>
      <c r="AP314" s="828" t="str">
        <f t="shared" ca="1" si="544"/>
        <v/>
      </c>
      <c r="AQ314" s="828" t="str">
        <f t="shared" ca="1" si="545"/>
        <v/>
      </c>
      <c r="AR314" s="828" t="str">
        <f t="shared" ca="1" si="546"/>
        <v/>
      </c>
      <c r="AS314" s="828" t="str">
        <f t="shared" ca="1" si="547"/>
        <v/>
      </c>
      <c r="AT314" s="828" t="str">
        <f t="shared" ca="1" si="548"/>
        <v/>
      </c>
      <c r="AU314" s="828" t="str">
        <f t="shared" ca="1" si="549"/>
        <v/>
      </c>
      <c r="AV314" s="828" t="str">
        <f t="shared" ca="1" si="550"/>
        <v/>
      </c>
      <c r="AW314" s="828" t="str">
        <f t="shared" ca="1" si="551"/>
        <v/>
      </c>
      <c r="AX314" s="828" t="str">
        <f t="shared" ca="1" si="552"/>
        <v/>
      </c>
      <c r="AY314" s="828" t="str">
        <f t="shared" ca="1" si="553"/>
        <v/>
      </c>
      <c r="AZ314" s="828" t="str">
        <f t="shared" ca="1" si="554"/>
        <v/>
      </c>
      <c r="BA314" s="828" t="str">
        <f t="shared" ca="1" si="555"/>
        <v/>
      </c>
      <c r="BB314" s="828" t="str">
        <f t="shared" ca="1" si="556"/>
        <v/>
      </c>
      <c r="BC314" s="828" t="str">
        <f t="shared" ca="1" si="557"/>
        <v/>
      </c>
      <c r="BD314" s="828" t="str">
        <f t="shared" ca="1" si="558"/>
        <v/>
      </c>
      <c r="BE314" s="828" t="str">
        <f t="shared" ca="1" si="559"/>
        <v/>
      </c>
      <c r="BF314" s="828" t="str">
        <f t="shared" ca="1" si="560"/>
        <v/>
      </c>
      <c r="BG314" s="828" t="str">
        <f t="shared" ca="1" si="561"/>
        <v/>
      </c>
      <c r="BH314" s="828" t="str">
        <f t="shared" ca="1" si="562"/>
        <v/>
      </c>
      <c r="BI314" s="828" t="str">
        <f t="shared" ca="1" si="563"/>
        <v/>
      </c>
      <c r="BJ314" s="828" t="str">
        <f t="shared" ca="1" si="564"/>
        <v/>
      </c>
      <c r="BK314" s="828" t="str">
        <f t="shared" ca="1" si="565"/>
        <v/>
      </c>
      <c r="BL314" s="828" t="str">
        <f t="shared" ca="1" si="566"/>
        <v/>
      </c>
      <c r="BM314" s="828" t="str">
        <f t="shared" ca="1" si="567"/>
        <v/>
      </c>
      <c r="BN314" s="828" t="str">
        <f t="shared" ca="1" si="568"/>
        <v/>
      </c>
      <c r="BO314" s="828" t="str">
        <f t="shared" ca="1" si="569"/>
        <v/>
      </c>
      <c r="BP314" s="841"/>
    </row>
    <row r="315" spans="1:68" ht="20.100000000000001" customHeight="1">
      <c r="A315" s="945">
        <v>70</v>
      </c>
      <c r="B315" s="1870"/>
      <c r="C315" s="1872"/>
      <c r="D315" s="853" t="s">
        <v>4432</v>
      </c>
      <c r="E315" s="831" t="str">
        <f ca="1">E66</f>
        <v/>
      </c>
      <c r="F315" s="833"/>
      <c r="G315" s="826" t="s">
        <v>4196</v>
      </c>
      <c r="H315" s="897">
        <f t="shared" ca="1" si="570"/>
        <v>0</v>
      </c>
      <c r="I315" s="897">
        <f t="shared" ca="1" si="570"/>
        <v>0</v>
      </c>
      <c r="J315" s="897">
        <f t="shared" ca="1" si="570"/>
        <v>0</v>
      </c>
      <c r="K315" s="897">
        <f t="shared" ca="1" si="570"/>
        <v>0</v>
      </c>
      <c r="L315" s="828">
        <f t="shared" ca="1" si="523"/>
        <v>0</v>
      </c>
      <c r="M315" s="828">
        <f t="shared" ca="1" si="523"/>
        <v>0</v>
      </c>
      <c r="N315" s="828">
        <f t="shared" ca="1" si="523"/>
        <v>0</v>
      </c>
      <c r="O315" s="828">
        <f t="shared" ca="1" si="523"/>
        <v>0</v>
      </c>
      <c r="P315" s="828">
        <f ca="1">SUM(SUMIFS(OFFSET(貼付け_2024実績,$A315,11,1,199),OFFSET(貼付け_2024実績,4,9,1,199),{"横浜*","川崎*"}))</f>
        <v>0</v>
      </c>
      <c r="Q315" s="828">
        <f ca="1">SUM(SUMIFS(OFFSET(貼付け_2025実績,$A315,11,1,199),OFFSET(貼付け_2025実績,4,9,1,199),{"横浜*","川崎*"}))</f>
        <v>0</v>
      </c>
      <c r="R315" s="828">
        <f ca="1">SUM(SUMIFS(OFFSET(貼付け_2026実績,$A315,11,1,199),OFFSET(貼付け_2026実績,4,9,1,199),{"横浜*","川崎*"}))</f>
        <v>0</v>
      </c>
      <c r="S315" s="828">
        <f ca="1">SUM(SUMIFS(OFFSET(貼付け_2027実績,$A315,11,1,199),OFFSET(貼付け_2027実績,4,9,1,199),{"横浜*","川崎*"}))</f>
        <v>0</v>
      </c>
      <c r="T315" s="828">
        <f t="shared" ca="1" si="524"/>
        <v>0</v>
      </c>
      <c r="U315" s="828">
        <f t="shared" ca="1" si="524"/>
        <v>0</v>
      </c>
      <c r="V315" s="828">
        <f t="shared" ca="1" si="524"/>
        <v>0</v>
      </c>
      <c r="W315" s="828">
        <f t="shared" ca="1" si="524"/>
        <v>0</v>
      </c>
      <c r="X315" s="828">
        <f t="shared" ca="1" si="526"/>
        <v>0</v>
      </c>
      <c r="Y315" s="828">
        <f t="shared" ca="1" si="527"/>
        <v>0</v>
      </c>
      <c r="Z315" s="828">
        <f t="shared" ca="1" si="528"/>
        <v>0</v>
      </c>
      <c r="AA315" s="828">
        <f t="shared" ca="1" si="529"/>
        <v>0</v>
      </c>
      <c r="AB315" s="828" t="str">
        <f t="shared" ca="1" si="530"/>
        <v/>
      </c>
      <c r="AC315" s="828" t="str">
        <f t="shared" ca="1" si="531"/>
        <v/>
      </c>
      <c r="AD315" s="828" t="str">
        <f t="shared" ca="1" si="532"/>
        <v/>
      </c>
      <c r="AE315" s="828" t="str">
        <f t="shared" ca="1" si="533"/>
        <v/>
      </c>
      <c r="AF315" s="828" t="str">
        <f t="shared" ca="1" si="534"/>
        <v/>
      </c>
      <c r="AG315" s="828" t="str">
        <f t="shared" ca="1" si="535"/>
        <v/>
      </c>
      <c r="AH315" s="828" t="str">
        <f t="shared" ca="1" si="536"/>
        <v/>
      </c>
      <c r="AI315" s="828" t="str">
        <f t="shared" ca="1" si="537"/>
        <v/>
      </c>
      <c r="AJ315" s="828" t="str">
        <f t="shared" ca="1" si="538"/>
        <v/>
      </c>
      <c r="AK315" s="828" t="str">
        <f t="shared" ca="1" si="539"/>
        <v/>
      </c>
      <c r="AL315" s="828" t="str">
        <f t="shared" ca="1" si="540"/>
        <v/>
      </c>
      <c r="AM315" s="828" t="str">
        <f t="shared" ca="1" si="541"/>
        <v/>
      </c>
      <c r="AN315" s="828" t="str">
        <f t="shared" ca="1" si="542"/>
        <v/>
      </c>
      <c r="AO315" s="828" t="str">
        <f t="shared" ca="1" si="543"/>
        <v/>
      </c>
      <c r="AP315" s="828" t="str">
        <f t="shared" ca="1" si="544"/>
        <v/>
      </c>
      <c r="AQ315" s="828" t="str">
        <f t="shared" ca="1" si="545"/>
        <v/>
      </c>
      <c r="AR315" s="828" t="str">
        <f t="shared" ca="1" si="546"/>
        <v/>
      </c>
      <c r="AS315" s="828" t="str">
        <f t="shared" ca="1" si="547"/>
        <v/>
      </c>
      <c r="AT315" s="828" t="str">
        <f t="shared" ca="1" si="548"/>
        <v/>
      </c>
      <c r="AU315" s="828" t="str">
        <f t="shared" ca="1" si="549"/>
        <v/>
      </c>
      <c r="AV315" s="828" t="str">
        <f t="shared" ca="1" si="550"/>
        <v/>
      </c>
      <c r="AW315" s="828" t="str">
        <f t="shared" ca="1" si="551"/>
        <v/>
      </c>
      <c r="AX315" s="828" t="str">
        <f t="shared" ca="1" si="552"/>
        <v/>
      </c>
      <c r="AY315" s="828" t="str">
        <f t="shared" ca="1" si="553"/>
        <v/>
      </c>
      <c r="AZ315" s="828" t="str">
        <f t="shared" ca="1" si="554"/>
        <v/>
      </c>
      <c r="BA315" s="828" t="str">
        <f t="shared" ca="1" si="555"/>
        <v/>
      </c>
      <c r="BB315" s="828" t="str">
        <f t="shared" ca="1" si="556"/>
        <v/>
      </c>
      <c r="BC315" s="828" t="str">
        <f t="shared" ca="1" si="557"/>
        <v/>
      </c>
      <c r="BD315" s="828" t="str">
        <f t="shared" ca="1" si="558"/>
        <v/>
      </c>
      <c r="BE315" s="828" t="str">
        <f t="shared" ca="1" si="559"/>
        <v/>
      </c>
      <c r="BF315" s="828" t="str">
        <f t="shared" ca="1" si="560"/>
        <v/>
      </c>
      <c r="BG315" s="828" t="str">
        <f t="shared" ca="1" si="561"/>
        <v/>
      </c>
      <c r="BH315" s="828" t="str">
        <f t="shared" ca="1" si="562"/>
        <v/>
      </c>
      <c r="BI315" s="828" t="str">
        <f t="shared" ca="1" si="563"/>
        <v/>
      </c>
      <c r="BJ315" s="828" t="str">
        <f t="shared" ca="1" si="564"/>
        <v/>
      </c>
      <c r="BK315" s="828" t="str">
        <f t="shared" ca="1" si="565"/>
        <v/>
      </c>
      <c r="BL315" s="828" t="str">
        <f t="shared" ca="1" si="566"/>
        <v/>
      </c>
      <c r="BM315" s="828" t="str">
        <f t="shared" ca="1" si="567"/>
        <v/>
      </c>
      <c r="BN315" s="828" t="str">
        <f t="shared" ca="1" si="568"/>
        <v/>
      </c>
      <c r="BO315" s="828" t="str">
        <f t="shared" ca="1" si="569"/>
        <v/>
      </c>
      <c r="BP315" s="841"/>
    </row>
    <row r="316" spans="1:68" ht="20.100000000000001" customHeight="1">
      <c r="A316" s="945">
        <v>71</v>
      </c>
      <c r="B316" s="1870"/>
      <c r="C316" s="1872"/>
      <c r="D316" s="853" t="s">
        <v>4433</v>
      </c>
      <c r="E316" s="831" t="str">
        <f ca="1">E67</f>
        <v/>
      </c>
      <c r="F316" s="833"/>
      <c r="G316" s="826" t="s">
        <v>4196</v>
      </c>
      <c r="H316" s="827">
        <f t="shared" ca="1" si="570"/>
        <v>0</v>
      </c>
      <c r="I316" s="827">
        <f t="shared" ca="1" si="570"/>
        <v>0</v>
      </c>
      <c r="J316" s="827">
        <f t="shared" ca="1" si="570"/>
        <v>0</v>
      </c>
      <c r="K316" s="827">
        <f t="shared" ca="1" si="570"/>
        <v>0</v>
      </c>
      <c r="L316" s="828">
        <f t="shared" ca="1" si="523"/>
        <v>0</v>
      </c>
      <c r="M316" s="828">
        <f t="shared" ca="1" si="523"/>
        <v>0</v>
      </c>
      <c r="N316" s="828">
        <f t="shared" ca="1" si="523"/>
        <v>0</v>
      </c>
      <c r="O316" s="828">
        <f t="shared" ca="1" si="523"/>
        <v>0</v>
      </c>
      <c r="P316" s="828">
        <f ca="1">SUM(SUMIFS(OFFSET(貼付け_2024実績,$A316,11,1,199),OFFSET(貼付け_2024実績,4,9,1,199),{"横浜*","川崎*"}))</f>
        <v>0</v>
      </c>
      <c r="Q316" s="828">
        <f ca="1">SUM(SUMIFS(OFFSET(貼付け_2025実績,$A316,11,1,199),OFFSET(貼付け_2025実績,4,9,1,199),{"横浜*","川崎*"}))</f>
        <v>0</v>
      </c>
      <c r="R316" s="828">
        <f ca="1">SUM(SUMIFS(OFFSET(貼付け_2026実績,$A316,11,1,199),OFFSET(貼付け_2026実績,4,9,1,199),{"横浜*","川崎*"}))</f>
        <v>0</v>
      </c>
      <c r="S316" s="828">
        <f ca="1">SUM(SUMIFS(OFFSET(貼付け_2027実績,$A316,11,1,199),OFFSET(貼付け_2027実績,4,9,1,199),{"横浜*","川崎*"}))</f>
        <v>0</v>
      </c>
      <c r="T316" s="828">
        <f t="shared" ca="1" si="524"/>
        <v>0</v>
      </c>
      <c r="U316" s="828">
        <f t="shared" ca="1" si="524"/>
        <v>0</v>
      </c>
      <c r="V316" s="828">
        <f t="shared" ca="1" si="524"/>
        <v>0</v>
      </c>
      <c r="W316" s="828">
        <f t="shared" ca="1" si="524"/>
        <v>0</v>
      </c>
      <c r="X316" s="828">
        <f t="shared" ca="1" si="526"/>
        <v>0</v>
      </c>
      <c r="Y316" s="828">
        <f t="shared" ca="1" si="527"/>
        <v>0</v>
      </c>
      <c r="Z316" s="828">
        <f t="shared" ca="1" si="528"/>
        <v>0</v>
      </c>
      <c r="AA316" s="828">
        <f t="shared" ca="1" si="529"/>
        <v>0</v>
      </c>
      <c r="AB316" s="828" t="str">
        <f t="shared" ca="1" si="530"/>
        <v/>
      </c>
      <c r="AC316" s="828" t="str">
        <f t="shared" ca="1" si="531"/>
        <v/>
      </c>
      <c r="AD316" s="828" t="str">
        <f t="shared" ca="1" si="532"/>
        <v/>
      </c>
      <c r="AE316" s="828" t="str">
        <f t="shared" ca="1" si="533"/>
        <v/>
      </c>
      <c r="AF316" s="828" t="str">
        <f t="shared" ca="1" si="534"/>
        <v/>
      </c>
      <c r="AG316" s="828" t="str">
        <f t="shared" ca="1" si="535"/>
        <v/>
      </c>
      <c r="AH316" s="828" t="str">
        <f t="shared" ca="1" si="536"/>
        <v/>
      </c>
      <c r="AI316" s="828" t="str">
        <f t="shared" ca="1" si="537"/>
        <v/>
      </c>
      <c r="AJ316" s="828" t="str">
        <f t="shared" ca="1" si="538"/>
        <v/>
      </c>
      <c r="AK316" s="828" t="str">
        <f t="shared" ca="1" si="539"/>
        <v/>
      </c>
      <c r="AL316" s="828" t="str">
        <f t="shared" ca="1" si="540"/>
        <v/>
      </c>
      <c r="AM316" s="828" t="str">
        <f t="shared" ca="1" si="541"/>
        <v/>
      </c>
      <c r="AN316" s="828" t="str">
        <f t="shared" ca="1" si="542"/>
        <v/>
      </c>
      <c r="AO316" s="828" t="str">
        <f t="shared" ca="1" si="543"/>
        <v/>
      </c>
      <c r="AP316" s="828" t="str">
        <f t="shared" ca="1" si="544"/>
        <v/>
      </c>
      <c r="AQ316" s="828" t="str">
        <f t="shared" ca="1" si="545"/>
        <v/>
      </c>
      <c r="AR316" s="828" t="str">
        <f t="shared" ca="1" si="546"/>
        <v/>
      </c>
      <c r="AS316" s="828" t="str">
        <f t="shared" ca="1" si="547"/>
        <v/>
      </c>
      <c r="AT316" s="828" t="str">
        <f t="shared" ca="1" si="548"/>
        <v/>
      </c>
      <c r="AU316" s="828" t="str">
        <f t="shared" ca="1" si="549"/>
        <v/>
      </c>
      <c r="AV316" s="828" t="str">
        <f t="shared" ca="1" si="550"/>
        <v/>
      </c>
      <c r="AW316" s="828" t="str">
        <f t="shared" ca="1" si="551"/>
        <v/>
      </c>
      <c r="AX316" s="828" t="str">
        <f t="shared" ca="1" si="552"/>
        <v/>
      </c>
      <c r="AY316" s="828" t="str">
        <f t="shared" ca="1" si="553"/>
        <v/>
      </c>
      <c r="AZ316" s="828" t="str">
        <f t="shared" ca="1" si="554"/>
        <v/>
      </c>
      <c r="BA316" s="828" t="str">
        <f t="shared" ca="1" si="555"/>
        <v/>
      </c>
      <c r="BB316" s="828" t="str">
        <f t="shared" ca="1" si="556"/>
        <v/>
      </c>
      <c r="BC316" s="828" t="str">
        <f t="shared" ca="1" si="557"/>
        <v/>
      </c>
      <c r="BD316" s="828" t="str">
        <f t="shared" ca="1" si="558"/>
        <v/>
      </c>
      <c r="BE316" s="828" t="str">
        <f t="shared" ca="1" si="559"/>
        <v/>
      </c>
      <c r="BF316" s="828" t="str">
        <f t="shared" ca="1" si="560"/>
        <v/>
      </c>
      <c r="BG316" s="828" t="str">
        <f t="shared" ca="1" si="561"/>
        <v/>
      </c>
      <c r="BH316" s="828" t="str">
        <f t="shared" ca="1" si="562"/>
        <v/>
      </c>
      <c r="BI316" s="828" t="str">
        <f t="shared" ca="1" si="563"/>
        <v/>
      </c>
      <c r="BJ316" s="828" t="str">
        <f t="shared" ca="1" si="564"/>
        <v/>
      </c>
      <c r="BK316" s="828" t="str">
        <f t="shared" ca="1" si="565"/>
        <v/>
      </c>
      <c r="BL316" s="828" t="str">
        <f t="shared" ca="1" si="566"/>
        <v/>
      </c>
      <c r="BM316" s="828" t="str">
        <f t="shared" ca="1" si="567"/>
        <v/>
      </c>
      <c r="BN316" s="828" t="str">
        <f t="shared" ca="1" si="568"/>
        <v/>
      </c>
      <c r="BO316" s="828" t="str">
        <f t="shared" ca="1" si="569"/>
        <v/>
      </c>
      <c r="BP316" s="841"/>
    </row>
    <row r="317" spans="1:68" ht="20.100000000000001" customHeight="1">
      <c r="A317" s="823"/>
      <c r="B317" s="1869" t="s">
        <v>4434</v>
      </c>
      <c r="C317" s="933" t="s">
        <v>4435</v>
      </c>
      <c r="D317" s="934"/>
      <c r="E317" s="829"/>
      <c r="F317" s="849"/>
      <c r="G317" s="826" t="s">
        <v>4594</v>
      </c>
      <c r="H317" s="946"/>
      <c r="I317" s="946"/>
      <c r="J317" s="946"/>
      <c r="K317" s="946"/>
      <c r="L317" s="947"/>
      <c r="M317" s="947"/>
      <c r="N317" s="947"/>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841"/>
    </row>
    <row r="318" spans="1:68" ht="20.100000000000001" customHeight="1">
      <c r="A318" s="823"/>
      <c r="B318" s="1870"/>
      <c r="C318" s="1873" t="s">
        <v>4436</v>
      </c>
      <c r="D318" s="851" t="s">
        <v>4437</v>
      </c>
      <c r="E318" s="824"/>
      <c r="F318" s="849"/>
      <c r="G318" s="826" t="s">
        <v>4594</v>
      </c>
      <c r="H318" s="946"/>
      <c r="I318" s="946"/>
      <c r="J318" s="946"/>
      <c r="K318" s="946"/>
      <c r="L318" s="947"/>
      <c r="M318" s="947"/>
      <c r="N318" s="947"/>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841"/>
    </row>
    <row r="319" spans="1:68" ht="20.100000000000001" customHeight="1">
      <c r="A319" s="823"/>
      <c r="B319" s="1870"/>
      <c r="C319" s="1901"/>
      <c r="D319" s="853" t="s">
        <v>4438</v>
      </c>
      <c r="E319" s="824"/>
      <c r="F319" s="849"/>
      <c r="G319" s="826" t="s">
        <v>4594</v>
      </c>
      <c r="H319" s="946"/>
      <c r="I319" s="946"/>
      <c r="J319" s="946"/>
      <c r="K319" s="946"/>
      <c r="L319" s="947"/>
      <c r="M319" s="947"/>
      <c r="N319" s="947"/>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841"/>
    </row>
    <row r="320" spans="1:68" ht="20.100000000000001" customHeight="1">
      <c r="A320" s="823"/>
      <c r="B320" s="1870"/>
      <c r="C320" s="1901"/>
      <c r="D320" s="853" t="s">
        <v>4250</v>
      </c>
      <c r="E320" s="831" t="str">
        <f ca="1">E71</f>
        <v/>
      </c>
      <c r="F320" s="833"/>
      <c r="G320" s="826" t="s">
        <v>4594</v>
      </c>
      <c r="H320" s="946"/>
      <c r="I320" s="946"/>
      <c r="J320" s="946"/>
      <c r="K320" s="946"/>
      <c r="L320" s="947"/>
      <c r="M320" s="947"/>
      <c r="N320" s="947"/>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841"/>
    </row>
    <row r="321" spans="1:68" ht="20.100000000000001" customHeight="1">
      <c r="A321" s="823"/>
      <c r="B321" s="1870"/>
      <c r="C321" s="1902"/>
      <c r="D321" s="944" t="s">
        <v>4251</v>
      </c>
      <c r="E321" s="831" t="str">
        <f ca="1">E73</f>
        <v/>
      </c>
      <c r="F321" s="833"/>
      <c r="G321" s="826" t="s">
        <v>4594</v>
      </c>
      <c r="H321" s="946"/>
      <c r="I321" s="946"/>
      <c r="J321" s="946"/>
      <c r="K321" s="946"/>
      <c r="L321" s="947"/>
      <c r="M321" s="947"/>
      <c r="N321" s="947"/>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841"/>
    </row>
    <row r="322" spans="1:68" ht="20.100000000000001" customHeight="1">
      <c r="A322" s="823">
        <v>83</v>
      </c>
      <c r="B322" s="1870"/>
      <c r="C322" s="1873" t="s">
        <v>4439</v>
      </c>
      <c r="D322" s="853" t="s">
        <v>4440</v>
      </c>
      <c r="E322" s="824"/>
      <c r="F322" s="875"/>
      <c r="G322" s="826" t="s">
        <v>4594</v>
      </c>
      <c r="H322" s="948">
        <f ca="1">H75</f>
        <v>3.6</v>
      </c>
      <c r="I322" s="948">
        <f ca="1">I75</f>
        <v>3.6</v>
      </c>
      <c r="J322" s="948">
        <f ca="1">J75</f>
        <v>3.6</v>
      </c>
      <c r="K322" s="948">
        <f ca="1">K75</f>
        <v>3.6</v>
      </c>
      <c r="L322" s="828">
        <f t="shared" ref="L322:O322" ca="1" si="571">P322+T322</f>
        <v>0</v>
      </c>
      <c r="M322" s="828">
        <f t="shared" ca="1" si="571"/>
        <v>0</v>
      </c>
      <c r="N322" s="828">
        <f t="shared" ca="1" si="571"/>
        <v>0</v>
      </c>
      <c r="O322" s="828">
        <f t="shared" ca="1" si="571"/>
        <v>0</v>
      </c>
      <c r="P322" s="828">
        <f ca="1">SUM(SUMIFS(OFFSET(貼付け_2024実績,$A322,11,1,199),OFFSET(貼付け_2024実績,4,9,1,199),{"横浜*","川崎*"}))</f>
        <v>0</v>
      </c>
      <c r="Q322" s="828">
        <f ca="1">SUM(SUMIFS(OFFSET(貼付け_2025実績,$A322,11,1,199),OFFSET(貼付け_2025実績,4,9,1,199),{"横浜*","川崎*"}))</f>
        <v>0</v>
      </c>
      <c r="R322" s="828">
        <f ca="1">SUM(SUMIFS(OFFSET(貼付け_2026実績,$A322,11,1,199),OFFSET(貼付け_2026実績,4,9,1,199),{"横浜*","川崎*"}))</f>
        <v>0</v>
      </c>
      <c r="S322" s="828">
        <f ca="1">SUM(SUMIFS(OFFSET(貼付け_2027実績,$A322,11,1,199),OFFSET(貼付け_2027実績,4,9,1,199),{"横浜*","川崎*"}))</f>
        <v>0</v>
      </c>
      <c r="T322" s="828">
        <f t="shared" ref="T322:W322" ca="1" si="572">SUM(X322,AB322,AF322,AJ322,AN322,AR322,AV322,AZ322,BD322,BH322,BL322)</f>
        <v>0</v>
      </c>
      <c r="U322" s="828">
        <f t="shared" ca="1" si="572"/>
        <v>0</v>
      </c>
      <c r="V322" s="828">
        <f t="shared" ca="1" si="572"/>
        <v>0</v>
      </c>
      <c r="W322" s="828">
        <f t="shared" ca="1" si="572"/>
        <v>0</v>
      </c>
      <c r="X322" s="828">
        <f ca="1">SUMIFS(OFFSET(貼付け_2024実績,$A322,11,1,199),OFFSET(貼付け_2024実績,4,9,1,199),"県域*")</f>
        <v>0</v>
      </c>
      <c r="Y322" s="828">
        <f ca="1">SUMIFS(OFFSET(貼付け_2025実績,$A322,11,1,199),OFFSET(貼付け_2025実績,4,9,1,199),"県域*")</f>
        <v>0</v>
      </c>
      <c r="Z322" s="828">
        <f ca="1">SUMIFS(OFFSET(貼付け_2026実績,$A322,11,1,199),OFFSET(貼付け_2026実績,4,9,1,199),"県域*")</f>
        <v>0</v>
      </c>
      <c r="AA322" s="828">
        <f ca="1">SUMIFS(OFFSET(貼付け_2027実績,$A322,11,1,199),OFFSET(貼付け_2027実績,4,9,1,199),"県域*")</f>
        <v>0</v>
      </c>
      <c r="AB322" s="828" t="str">
        <f ca="1">IFERROR(OFFSET(貼付け_2024実績,$A322,AB$1+2),"")</f>
        <v/>
      </c>
      <c r="AC322" s="828" t="str">
        <f ca="1">IFERROR(OFFSET(貼付け_2025実績,$A322,AC$1+2),"")</f>
        <v/>
      </c>
      <c r="AD322" s="828" t="str">
        <f ca="1">IFERROR(OFFSET(貼付け_2026実績,$A322,AD$1+2),"")</f>
        <v/>
      </c>
      <c r="AE322" s="828" t="str">
        <f ca="1">IFERROR(OFFSET(貼付け_2027実績,$A322,AE$1+2),"")</f>
        <v/>
      </c>
      <c r="AF322" s="828" t="str">
        <f ca="1">IFERROR(OFFSET(貼付け_2024実績,$A322,AF$1+2),"")</f>
        <v/>
      </c>
      <c r="AG322" s="828" t="str">
        <f ca="1">IFERROR(OFFSET(貼付け_2025実績,$A322,AG$1+2),"")</f>
        <v/>
      </c>
      <c r="AH322" s="828" t="str">
        <f ca="1">IFERROR(OFFSET(貼付け_2026実績,$A322,AH$1+2),"")</f>
        <v/>
      </c>
      <c r="AI322" s="828" t="str">
        <f ca="1">IFERROR(OFFSET(貼付け_2027実績,$A322,AI$1+2),"")</f>
        <v/>
      </c>
      <c r="AJ322" s="828" t="str">
        <f ca="1">IFERROR(OFFSET(貼付け_2024実績,$A322,AJ$1+2),"")</f>
        <v/>
      </c>
      <c r="AK322" s="828" t="str">
        <f ca="1">IFERROR(OFFSET(貼付け_2025実績,$A322,AK$1+2),"")</f>
        <v/>
      </c>
      <c r="AL322" s="828" t="str">
        <f ca="1">IFERROR(OFFSET(貼付け_2026実績,$A322,AL$1+2),"")</f>
        <v/>
      </c>
      <c r="AM322" s="828" t="str">
        <f ca="1">IFERROR(OFFSET(貼付け_2027実績,$A322,AM$1+2),"")</f>
        <v/>
      </c>
      <c r="AN322" s="828" t="str">
        <f ca="1">IFERROR(OFFSET(貼付け_2024実績,$A322,AN$1+2),"")</f>
        <v/>
      </c>
      <c r="AO322" s="828" t="str">
        <f ca="1">IFERROR(OFFSET(貼付け_2025実績,$A322,AO$1+2),"")</f>
        <v/>
      </c>
      <c r="AP322" s="828" t="str">
        <f ca="1">IFERROR(OFFSET(貼付け_2026実績,$A322,AP$1+2),"")</f>
        <v/>
      </c>
      <c r="AQ322" s="828" t="str">
        <f ca="1">IFERROR(OFFSET(貼付け_2027実績,$A322,AQ$1+2),"")</f>
        <v/>
      </c>
      <c r="AR322" s="828" t="str">
        <f ca="1">IFERROR(OFFSET(貼付け_2024実績,$A322,AR$1+2),"")</f>
        <v/>
      </c>
      <c r="AS322" s="828" t="str">
        <f ca="1">IFERROR(OFFSET(貼付け_2025実績,$A322,AS$1+2),"")</f>
        <v/>
      </c>
      <c r="AT322" s="828" t="str">
        <f ca="1">IFERROR(OFFSET(貼付け_2026実績,$A322,AT$1+2),"")</f>
        <v/>
      </c>
      <c r="AU322" s="828" t="str">
        <f ca="1">IFERROR(OFFSET(貼付け_2027実績,$A322,AU$1+2),"")</f>
        <v/>
      </c>
      <c r="AV322" s="828" t="str">
        <f ca="1">IFERROR(OFFSET(貼付け_2024実績,$A322,AV$1+2),"")</f>
        <v/>
      </c>
      <c r="AW322" s="828" t="str">
        <f ca="1">IFERROR(OFFSET(貼付け_2025実績,$A322,AW$1+2),"")</f>
        <v/>
      </c>
      <c r="AX322" s="828" t="str">
        <f ca="1">IFERROR(OFFSET(貼付け_2026実績,$A322,AX$1+2),"")</f>
        <v/>
      </c>
      <c r="AY322" s="828" t="str">
        <f ca="1">IFERROR(OFFSET(貼付け_2027実績,$A322,AY$1+2),"")</f>
        <v/>
      </c>
      <c r="AZ322" s="828" t="str">
        <f ca="1">IFERROR(OFFSET(貼付け_2024実績,$A322,AZ$1+2),"")</f>
        <v/>
      </c>
      <c r="BA322" s="828" t="str">
        <f ca="1">IFERROR(OFFSET(貼付け_2025実績,$A322,BA$1+2),"")</f>
        <v/>
      </c>
      <c r="BB322" s="828" t="str">
        <f ca="1">IFERROR(OFFSET(貼付け_2026実績,$A322,BB$1+2),"")</f>
        <v/>
      </c>
      <c r="BC322" s="828" t="str">
        <f ca="1">IFERROR(OFFSET(貼付け_2027実績,$A322,BC$1+2),"")</f>
        <v/>
      </c>
      <c r="BD322" s="828" t="str">
        <f ca="1">IFERROR(OFFSET(貼付け_2024実績,$A322,BD$1+2),"")</f>
        <v/>
      </c>
      <c r="BE322" s="828" t="str">
        <f ca="1">IFERROR(OFFSET(貼付け_2025実績,$A322,BE$1+2),"")</f>
        <v/>
      </c>
      <c r="BF322" s="828" t="str">
        <f ca="1">IFERROR(OFFSET(貼付け_2026実績,$A322,BF$1+2),"")</f>
        <v/>
      </c>
      <c r="BG322" s="828" t="str">
        <f ca="1">IFERROR(OFFSET(貼付け_2027実績,$A322,BG$1+2),"")</f>
        <v/>
      </c>
      <c r="BH322" s="828" t="str">
        <f ca="1">IFERROR(OFFSET(貼付け_2024実績,$A322,BH$1+2),"")</f>
        <v/>
      </c>
      <c r="BI322" s="828" t="str">
        <f ca="1">IFERROR(OFFSET(貼付け_2025実績,$A322,BI$1+2),"")</f>
        <v/>
      </c>
      <c r="BJ322" s="828" t="str">
        <f ca="1">IFERROR(OFFSET(貼付け_2026実績,$A322,BJ$1+2),"")</f>
        <v/>
      </c>
      <c r="BK322" s="828" t="str">
        <f ca="1">IFERROR(OFFSET(貼付け_2027実績,$A322,BK$1+2),"")</f>
        <v/>
      </c>
      <c r="BL322" s="828" t="str">
        <f ca="1">IFERROR(OFFSET(貼付け_2024実績,$A322,BL$1+2),"")</f>
        <v/>
      </c>
      <c r="BM322" s="828" t="str">
        <f ca="1">IFERROR(OFFSET(貼付け_2025実績,$A322,BM$1+2),"")</f>
        <v/>
      </c>
      <c r="BN322" s="828" t="str">
        <f ca="1">IFERROR(OFFSET(貼付け_2026実績,$A322,BN$1+2),"")</f>
        <v/>
      </c>
      <c r="BO322" s="828" t="str">
        <f ca="1">IFERROR(OFFSET(貼付け_2027実績,$A322,BO$1+2),"")</f>
        <v/>
      </c>
      <c r="BP322" s="841"/>
    </row>
    <row r="323" spans="1:68" ht="20.100000000000001" customHeight="1">
      <c r="A323" s="823">
        <v>84</v>
      </c>
      <c r="B323" s="1870"/>
      <c r="C323" s="1901"/>
      <c r="D323" s="853" t="s">
        <v>4441</v>
      </c>
      <c r="E323" s="824"/>
      <c r="F323" s="875"/>
      <c r="G323" s="826" t="s">
        <v>4216</v>
      </c>
      <c r="H323" s="946"/>
      <c r="I323" s="946"/>
      <c r="J323" s="946"/>
      <c r="K323" s="946"/>
      <c r="L323" s="947"/>
      <c r="M323" s="947"/>
      <c r="N323" s="947"/>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841"/>
    </row>
    <row r="324" spans="1:68" ht="20.100000000000001" customHeight="1">
      <c r="A324" s="823">
        <v>85</v>
      </c>
      <c r="B324" s="1870"/>
      <c r="C324" s="1901"/>
      <c r="D324" s="853" t="s">
        <v>4442</v>
      </c>
      <c r="E324" s="824"/>
      <c r="F324" s="875"/>
      <c r="G324" s="826" t="s">
        <v>4594</v>
      </c>
      <c r="H324" s="948">
        <f ca="1">H77</f>
        <v>3.6</v>
      </c>
      <c r="I324" s="948">
        <f ca="1">I77</f>
        <v>3.6</v>
      </c>
      <c r="J324" s="948">
        <f ca="1">J77</f>
        <v>3.6</v>
      </c>
      <c r="K324" s="948">
        <f ca="1">K77</f>
        <v>3.6</v>
      </c>
      <c r="L324" s="828">
        <f t="shared" ref="L324:O324" ca="1" si="573">P324+T324</f>
        <v>0</v>
      </c>
      <c r="M324" s="828">
        <f t="shared" ca="1" si="573"/>
        <v>0</v>
      </c>
      <c r="N324" s="828">
        <f t="shared" ca="1" si="573"/>
        <v>0</v>
      </c>
      <c r="O324" s="828">
        <f t="shared" ca="1" si="573"/>
        <v>0</v>
      </c>
      <c r="P324" s="828">
        <f ca="1">SUM(SUMIFS(OFFSET(貼付け_2024実績,$A324,11,1,199),OFFSET(貼付け_2024実績,4,9,1,199),{"横浜*","川崎*"}))</f>
        <v>0</v>
      </c>
      <c r="Q324" s="828">
        <f ca="1">SUM(SUMIFS(OFFSET(貼付け_2025実績,$A324,11,1,199),OFFSET(貼付け_2025実績,4,9,1,199),{"横浜*","川崎*"}))</f>
        <v>0</v>
      </c>
      <c r="R324" s="828">
        <f ca="1">SUM(SUMIFS(OFFSET(貼付け_2026実績,$A324,11,1,199),OFFSET(貼付け_2026実績,4,9,1,199),{"横浜*","川崎*"}))</f>
        <v>0</v>
      </c>
      <c r="S324" s="828">
        <f ca="1">SUM(SUMIFS(OFFSET(貼付け_2027実績,$A324,11,1,199),OFFSET(貼付け_2027実績,4,9,1,199),{"横浜*","川崎*"}))</f>
        <v>0</v>
      </c>
      <c r="T324" s="828">
        <f t="shared" ref="T324:W324" ca="1" si="574">SUM(X324,AB324,AF324,AJ324,AN324,AR324,AV324,AZ324,BD324,BH324,BL324)</f>
        <v>0</v>
      </c>
      <c r="U324" s="828">
        <f t="shared" ca="1" si="574"/>
        <v>0</v>
      </c>
      <c r="V324" s="828">
        <f t="shared" ca="1" si="574"/>
        <v>0</v>
      </c>
      <c r="W324" s="828">
        <f t="shared" ca="1" si="574"/>
        <v>0</v>
      </c>
      <c r="X324" s="828">
        <f ca="1">SUMIFS(OFFSET(貼付け_2024実績,$A324,11,1,199),OFFSET(貼付け_2024実績,4,9,1,199),"県域*")</f>
        <v>0</v>
      </c>
      <c r="Y324" s="828">
        <f ca="1">SUMIFS(OFFSET(貼付け_2025実績,$A324,11,1,199),OFFSET(貼付け_2025実績,4,9,1,199),"県域*")</f>
        <v>0</v>
      </c>
      <c r="Z324" s="828">
        <f ca="1">SUMIFS(OFFSET(貼付け_2026実績,$A324,11,1,199),OFFSET(貼付け_2026実績,4,9,1,199),"県域*")</f>
        <v>0</v>
      </c>
      <c r="AA324" s="828">
        <f ca="1">SUMIFS(OFFSET(貼付け_2027実績,$A324,11,1,199),OFFSET(貼付け_2027実績,4,9,1,199),"県域*")</f>
        <v>0</v>
      </c>
      <c r="AB324" s="828" t="str">
        <f ca="1">IFERROR(OFFSET(貼付け_2024実績,$A324,AB$1+2),"")</f>
        <v/>
      </c>
      <c r="AC324" s="828" t="str">
        <f ca="1">IFERROR(OFFSET(貼付け_2025実績,$A324,AC$1+2),"")</f>
        <v/>
      </c>
      <c r="AD324" s="828" t="str">
        <f ca="1">IFERROR(OFFSET(貼付け_2026実績,$A324,AD$1+2),"")</f>
        <v/>
      </c>
      <c r="AE324" s="828" t="str">
        <f ca="1">IFERROR(OFFSET(貼付け_2027実績,$A324,AE$1+2),"")</f>
        <v/>
      </c>
      <c r="AF324" s="828" t="str">
        <f ca="1">IFERROR(OFFSET(貼付け_2024実績,$A324,AF$1+2),"")</f>
        <v/>
      </c>
      <c r="AG324" s="828" t="str">
        <f ca="1">IFERROR(OFFSET(貼付け_2025実績,$A324,AG$1+2),"")</f>
        <v/>
      </c>
      <c r="AH324" s="828" t="str">
        <f ca="1">IFERROR(OFFSET(貼付け_2026実績,$A324,AH$1+2),"")</f>
        <v/>
      </c>
      <c r="AI324" s="828" t="str">
        <f ca="1">IFERROR(OFFSET(貼付け_2027実績,$A324,AI$1+2),"")</f>
        <v/>
      </c>
      <c r="AJ324" s="828" t="str">
        <f ca="1">IFERROR(OFFSET(貼付け_2024実績,$A324,AJ$1+2),"")</f>
        <v/>
      </c>
      <c r="AK324" s="828" t="str">
        <f ca="1">IFERROR(OFFSET(貼付け_2025実績,$A324,AK$1+2),"")</f>
        <v/>
      </c>
      <c r="AL324" s="828" t="str">
        <f ca="1">IFERROR(OFFSET(貼付け_2026実績,$A324,AL$1+2),"")</f>
        <v/>
      </c>
      <c r="AM324" s="828" t="str">
        <f ca="1">IFERROR(OFFSET(貼付け_2027実績,$A324,AM$1+2),"")</f>
        <v/>
      </c>
      <c r="AN324" s="828" t="str">
        <f ca="1">IFERROR(OFFSET(貼付け_2024実績,$A324,AN$1+2),"")</f>
        <v/>
      </c>
      <c r="AO324" s="828" t="str">
        <f ca="1">IFERROR(OFFSET(貼付け_2025実績,$A324,AO$1+2),"")</f>
        <v/>
      </c>
      <c r="AP324" s="828" t="str">
        <f ca="1">IFERROR(OFFSET(貼付け_2026実績,$A324,AP$1+2),"")</f>
        <v/>
      </c>
      <c r="AQ324" s="828" t="str">
        <f ca="1">IFERROR(OFFSET(貼付け_2027実績,$A324,AQ$1+2),"")</f>
        <v/>
      </c>
      <c r="AR324" s="828" t="str">
        <f ca="1">IFERROR(OFFSET(貼付け_2024実績,$A324,AR$1+2),"")</f>
        <v/>
      </c>
      <c r="AS324" s="828" t="str">
        <f ca="1">IFERROR(OFFSET(貼付け_2025実績,$A324,AS$1+2),"")</f>
        <v/>
      </c>
      <c r="AT324" s="828" t="str">
        <f ca="1">IFERROR(OFFSET(貼付け_2026実績,$A324,AT$1+2),"")</f>
        <v/>
      </c>
      <c r="AU324" s="828" t="str">
        <f ca="1">IFERROR(OFFSET(貼付け_2027実績,$A324,AU$1+2),"")</f>
        <v/>
      </c>
      <c r="AV324" s="828" t="str">
        <f ca="1">IFERROR(OFFSET(貼付け_2024実績,$A324,AV$1+2),"")</f>
        <v/>
      </c>
      <c r="AW324" s="828" t="str">
        <f ca="1">IFERROR(OFFSET(貼付け_2025実績,$A324,AW$1+2),"")</f>
        <v/>
      </c>
      <c r="AX324" s="828" t="str">
        <f ca="1">IFERROR(OFFSET(貼付け_2026実績,$A324,AX$1+2),"")</f>
        <v/>
      </c>
      <c r="AY324" s="828" t="str">
        <f ca="1">IFERROR(OFFSET(貼付け_2027実績,$A324,AY$1+2),"")</f>
        <v/>
      </c>
      <c r="AZ324" s="828" t="str">
        <f ca="1">IFERROR(OFFSET(貼付け_2024実績,$A324,AZ$1+2),"")</f>
        <v/>
      </c>
      <c r="BA324" s="828" t="str">
        <f ca="1">IFERROR(OFFSET(貼付け_2025実績,$A324,BA$1+2),"")</f>
        <v/>
      </c>
      <c r="BB324" s="828" t="str">
        <f ca="1">IFERROR(OFFSET(貼付け_2026実績,$A324,BB$1+2),"")</f>
        <v/>
      </c>
      <c r="BC324" s="828" t="str">
        <f ca="1">IFERROR(OFFSET(貼付け_2027実績,$A324,BC$1+2),"")</f>
        <v/>
      </c>
      <c r="BD324" s="828" t="str">
        <f ca="1">IFERROR(OFFSET(貼付け_2024実績,$A324,BD$1+2),"")</f>
        <v/>
      </c>
      <c r="BE324" s="828" t="str">
        <f ca="1">IFERROR(OFFSET(貼付け_2025実績,$A324,BE$1+2),"")</f>
        <v/>
      </c>
      <c r="BF324" s="828" t="str">
        <f ca="1">IFERROR(OFFSET(貼付け_2026実績,$A324,BF$1+2),"")</f>
        <v/>
      </c>
      <c r="BG324" s="828" t="str">
        <f ca="1">IFERROR(OFFSET(貼付け_2027実績,$A324,BG$1+2),"")</f>
        <v/>
      </c>
      <c r="BH324" s="828" t="str">
        <f ca="1">IFERROR(OFFSET(貼付け_2024実績,$A324,BH$1+2),"")</f>
        <v/>
      </c>
      <c r="BI324" s="828" t="str">
        <f ca="1">IFERROR(OFFSET(貼付け_2025実績,$A324,BI$1+2),"")</f>
        <v/>
      </c>
      <c r="BJ324" s="828" t="str">
        <f ca="1">IFERROR(OFFSET(貼付け_2026実績,$A324,BJ$1+2),"")</f>
        <v/>
      </c>
      <c r="BK324" s="828" t="str">
        <f ca="1">IFERROR(OFFSET(貼付け_2027実績,$A324,BK$1+2),"")</f>
        <v/>
      </c>
      <c r="BL324" s="828" t="str">
        <f ca="1">IFERROR(OFFSET(貼付け_2024実績,$A324,BL$1+2),"")</f>
        <v/>
      </c>
      <c r="BM324" s="828" t="str">
        <f ca="1">IFERROR(OFFSET(貼付け_2025実績,$A324,BM$1+2),"")</f>
        <v/>
      </c>
      <c r="BN324" s="828" t="str">
        <f ca="1">IFERROR(OFFSET(貼付け_2026実績,$A324,BN$1+2),"")</f>
        <v/>
      </c>
      <c r="BO324" s="828" t="str">
        <f ca="1">IFERROR(OFFSET(貼付け_2027実績,$A324,BO$1+2),"")</f>
        <v/>
      </c>
      <c r="BP324" s="841"/>
    </row>
    <row r="325" spans="1:68" ht="20.100000000000001" customHeight="1">
      <c r="A325" s="823">
        <v>86</v>
      </c>
      <c r="B325" s="1870"/>
      <c r="C325" s="1901"/>
      <c r="D325" s="853" t="s">
        <v>4443</v>
      </c>
      <c r="E325" s="824"/>
      <c r="F325" s="875"/>
      <c r="G325" s="826" t="s">
        <v>4216</v>
      </c>
      <c r="H325" s="946"/>
      <c r="I325" s="946"/>
      <c r="J325" s="946"/>
      <c r="K325" s="946"/>
      <c r="L325" s="947"/>
      <c r="M325" s="947"/>
      <c r="N325" s="947"/>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841"/>
    </row>
    <row r="326" spans="1:68" ht="20.100000000000001" customHeight="1">
      <c r="A326" s="823">
        <v>87</v>
      </c>
      <c r="B326" s="1870"/>
      <c r="C326" s="1901"/>
      <c r="D326" s="853" t="s">
        <v>4444</v>
      </c>
      <c r="E326" s="824"/>
      <c r="F326" s="875"/>
      <c r="G326" s="826" t="s">
        <v>4594</v>
      </c>
      <c r="H326" s="948">
        <f ca="1">H79</f>
        <v>3.6</v>
      </c>
      <c r="I326" s="948">
        <f ca="1">I79</f>
        <v>3.6</v>
      </c>
      <c r="J326" s="948">
        <f ca="1">J79</f>
        <v>3.6</v>
      </c>
      <c r="K326" s="948">
        <f ca="1">K79</f>
        <v>3.6</v>
      </c>
      <c r="L326" s="828">
        <f t="shared" ref="L326:O326" ca="1" si="575">P326+T326</f>
        <v>0</v>
      </c>
      <c r="M326" s="828">
        <f t="shared" ca="1" si="575"/>
        <v>0</v>
      </c>
      <c r="N326" s="828">
        <f t="shared" ca="1" si="575"/>
        <v>0</v>
      </c>
      <c r="O326" s="828">
        <f t="shared" ca="1" si="575"/>
        <v>0</v>
      </c>
      <c r="P326" s="828">
        <f ca="1">SUM(SUMIFS(OFFSET(貼付け_2024実績,$A326,11,1,199),OFFSET(貼付け_2024実績,4,9,1,199),{"横浜*","川崎*"}))</f>
        <v>0</v>
      </c>
      <c r="Q326" s="828">
        <f ca="1">SUM(SUMIFS(OFFSET(貼付け_2025実績,$A326,11,1,199),OFFSET(貼付け_2025実績,4,9,1,199),{"横浜*","川崎*"}))</f>
        <v>0</v>
      </c>
      <c r="R326" s="828">
        <f ca="1">SUM(SUMIFS(OFFSET(貼付け_2026実績,$A326,11,1,199),OFFSET(貼付け_2026実績,4,9,1,199),{"横浜*","川崎*"}))</f>
        <v>0</v>
      </c>
      <c r="S326" s="828">
        <f ca="1">SUM(SUMIFS(OFFSET(貼付け_2027実績,$A326,11,1,199),OFFSET(貼付け_2027実績,4,9,1,199),{"横浜*","川崎*"}))</f>
        <v>0</v>
      </c>
      <c r="T326" s="828">
        <f t="shared" ref="T326:W326" ca="1" si="576">SUM(X326,AB326,AF326,AJ326,AN326,AR326,AV326,AZ326,BD326,BH326,BL326)</f>
        <v>0</v>
      </c>
      <c r="U326" s="828">
        <f t="shared" ca="1" si="576"/>
        <v>0</v>
      </c>
      <c r="V326" s="828">
        <f t="shared" ca="1" si="576"/>
        <v>0</v>
      </c>
      <c r="W326" s="828">
        <f t="shared" ca="1" si="576"/>
        <v>0</v>
      </c>
      <c r="X326" s="828">
        <f ca="1">SUMIFS(OFFSET(貼付け_2024実績,$A326,11,1,199),OFFSET(貼付け_2024実績,4,9,1,199),"県域*")</f>
        <v>0</v>
      </c>
      <c r="Y326" s="828">
        <f ca="1">SUMIFS(OFFSET(貼付け_2025実績,$A326,11,1,199),OFFSET(貼付け_2025実績,4,9,1,199),"県域*")</f>
        <v>0</v>
      </c>
      <c r="Z326" s="828">
        <f ca="1">SUMIFS(OFFSET(貼付け_2026実績,$A326,11,1,199),OFFSET(貼付け_2026実績,4,9,1,199),"県域*")</f>
        <v>0</v>
      </c>
      <c r="AA326" s="828">
        <f ca="1">SUMIFS(OFFSET(貼付け_2027実績,$A326,11,1,199),OFFSET(貼付け_2027実績,4,9,1,199),"県域*")</f>
        <v>0</v>
      </c>
      <c r="AB326" s="828" t="str">
        <f ca="1">IFERROR(OFFSET(貼付け_2024実績,$A326,AB$1+2),"")</f>
        <v/>
      </c>
      <c r="AC326" s="828" t="str">
        <f ca="1">IFERROR(OFFSET(貼付け_2025実績,$A326,AC$1+2),"")</f>
        <v/>
      </c>
      <c r="AD326" s="828" t="str">
        <f ca="1">IFERROR(OFFSET(貼付け_2026実績,$A326,AD$1+2),"")</f>
        <v/>
      </c>
      <c r="AE326" s="828" t="str">
        <f ca="1">IFERROR(OFFSET(貼付け_2027実績,$A326,AE$1+2),"")</f>
        <v/>
      </c>
      <c r="AF326" s="828" t="str">
        <f ca="1">IFERROR(OFFSET(貼付け_2024実績,$A326,AF$1+2),"")</f>
        <v/>
      </c>
      <c r="AG326" s="828" t="str">
        <f ca="1">IFERROR(OFFSET(貼付け_2025実績,$A326,AG$1+2),"")</f>
        <v/>
      </c>
      <c r="AH326" s="828" t="str">
        <f ca="1">IFERROR(OFFSET(貼付け_2026実績,$A326,AH$1+2),"")</f>
        <v/>
      </c>
      <c r="AI326" s="828" t="str">
        <f ca="1">IFERROR(OFFSET(貼付け_2027実績,$A326,AI$1+2),"")</f>
        <v/>
      </c>
      <c r="AJ326" s="828" t="str">
        <f ca="1">IFERROR(OFFSET(貼付け_2024実績,$A326,AJ$1+2),"")</f>
        <v/>
      </c>
      <c r="AK326" s="828" t="str">
        <f ca="1">IFERROR(OFFSET(貼付け_2025実績,$A326,AK$1+2),"")</f>
        <v/>
      </c>
      <c r="AL326" s="828" t="str">
        <f ca="1">IFERROR(OFFSET(貼付け_2026実績,$A326,AL$1+2),"")</f>
        <v/>
      </c>
      <c r="AM326" s="828" t="str">
        <f ca="1">IFERROR(OFFSET(貼付け_2027実績,$A326,AM$1+2),"")</f>
        <v/>
      </c>
      <c r="AN326" s="828" t="str">
        <f ca="1">IFERROR(OFFSET(貼付け_2024実績,$A326,AN$1+2),"")</f>
        <v/>
      </c>
      <c r="AO326" s="828" t="str">
        <f ca="1">IFERROR(OFFSET(貼付け_2025実績,$A326,AO$1+2),"")</f>
        <v/>
      </c>
      <c r="AP326" s="828" t="str">
        <f ca="1">IFERROR(OFFSET(貼付け_2026実績,$A326,AP$1+2),"")</f>
        <v/>
      </c>
      <c r="AQ326" s="828" t="str">
        <f ca="1">IFERROR(OFFSET(貼付け_2027実績,$A326,AQ$1+2),"")</f>
        <v/>
      </c>
      <c r="AR326" s="828" t="str">
        <f ca="1">IFERROR(OFFSET(貼付け_2024実績,$A326,AR$1+2),"")</f>
        <v/>
      </c>
      <c r="AS326" s="828" t="str">
        <f ca="1">IFERROR(OFFSET(貼付け_2025実績,$A326,AS$1+2),"")</f>
        <v/>
      </c>
      <c r="AT326" s="828" t="str">
        <f ca="1">IFERROR(OFFSET(貼付け_2026実績,$A326,AT$1+2),"")</f>
        <v/>
      </c>
      <c r="AU326" s="828" t="str">
        <f ca="1">IFERROR(OFFSET(貼付け_2027実績,$A326,AU$1+2),"")</f>
        <v/>
      </c>
      <c r="AV326" s="828" t="str">
        <f ca="1">IFERROR(OFFSET(貼付け_2024実績,$A326,AV$1+2),"")</f>
        <v/>
      </c>
      <c r="AW326" s="828" t="str">
        <f ca="1">IFERROR(OFFSET(貼付け_2025実績,$A326,AW$1+2),"")</f>
        <v/>
      </c>
      <c r="AX326" s="828" t="str">
        <f ca="1">IFERROR(OFFSET(貼付け_2026実績,$A326,AX$1+2),"")</f>
        <v/>
      </c>
      <c r="AY326" s="828" t="str">
        <f ca="1">IFERROR(OFFSET(貼付け_2027実績,$A326,AY$1+2),"")</f>
        <v/>
      </c>
      <c r="AZ326" s="828" t="str">
        <f ca="1">IFERROR(OFFSET(貼付け_2024実績,$A326,AZ$1+2),"")</f>
        <v/>
      </c>
      <c r="BA326" s="828" t="str">
        <f ca="1">IFERROR(OFFSET(貼付け_2025実績,$A326,BA$1+2),"")</f>
        <v/>
      </c>
      <c r="BB326" s="828" t="str">
        <f ca="1">IFERROR(OFFSET(貼付け_2026実績,$A326,BB$1+2),"")</f>
        <v/>
      </c>
      <c r="BC326" s="828" t="str">
        <f ca="1">IFERROR(OFFSET(貼付け_2027実績,$A326,BC$1+2),"")</f>
        <v/>
      </c>
      <c r="BD326" s="828" t="str">
        <f ca="1">IFERROR(OFFSET(貼付け_2024実績,$A326,BD$1+2),"")</f>
        <v/>
      </c>
      <c r="BE326" s="828" t="str">
        <f ca="1">IFERROR(OFFSET(貼付け_2025実績,$A326,BE$1+2),"")</f>
        <v/>
      </c>
      <c r="BF326" s="828" t="str">
        <f ca="1">IFERROR(OFFSET(貼付け_2026実績,$A326,BF$1+2),"")</f>
        <v/>
      </c>
      <c r="BG326" s="828" t="str">
        <f ca="1">IFERROR(OFFSET(貼付け_2027実績,$A326,BG$1+2),"")</f>
        <v/>
      </c>
      <c r="BH326" s="828" t="str">
        <f ca="1">IFERROR(OFFSET(貼付け_2024実績,$A326,BH$1+2),"")</f>
        <v/>
      </c>
      <c r="BI326" s="828" t="str">
        <f ca="1">IFERROR(OFFSET(貼付け_2025実績,$A326,BI$1+2),"")</f>
        <v/>
      </c>
      <c r="BJ326" s="828" t="str">
        <f ca="1">IFERROR(OFFSET(貼付け_2026実績,$A326,BJ$1+2),"")</f>
        <v/>
      </c>
      <c r="BK326" s="828" t="str">
        <f ca="1">IFERROR(OFFSET(貼付け_2027実績,$A326,BK$1+2),"")</f>
        <v/>
      </c>
      <c r="BL326" s="828" t="str">
        <f ca="1">IFERROR(OFFSET(貼付け_2024実績,$A326,BL$1+2),"")</f>
        <v/>
      </c>
      <c r="BM326" s="828" t="str">
        <f ca="1">IFERROR(OFFSET(貼付け_2025実績,$A326,BM$1+2),"")</f>
        <v/>
      </c>
      <c r="BN326" s="828" t="str">
        <f ca="1">IFERROR(OFFSET(貼付け_2026実績,$A326,BN$1+2),"")</f>
        <v/>
      </c>
      <c r="BO326" s="828" t="str">
        <f ca="1">IFERROR(OFFSET(貼付け_2027実績,$A326,BO$1+2),"")</f>
        <v/>
      </c>
      <c r="BP326" s="841"/>
    </row>
    <row r="327" spans="1:68" ht="20.100000000000001" customHeight="1">
      <c r="A327" s="823">
        <v>88</v>
      </c>
      <c r="B327" s="1870"/>
      <c r="C327" s="1901"/>
      <c r="D327" s="853" t="s">
        <v>4445</v>
      </c>
      <c r="E327" s="824"/>
      <c r="F327" s="875"/>
      <c r="G327" s="826" t="s">
        <v>4216</v>
      </c>
      <c r="H327" s="946"/>
      <c r="I327" s="946"/>
      <c r="J327" s="946"/>
      <c r="K327" s="946"/>
      <c r="L327" s="947"/>
      <c r="M327" s="947"/>
      <c r="N327" s="947"/>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841"/>
    </row>
    <row r="328" spans="1:68" ht="20.100000000000001" customHeight="1">
      <c r="A328" s="823">
        <v>89</v>
      </c>
      <c r="B328" s="1870"/>
      <c r="C328" s="1901"/>
      <c r="D328" s="853" t="s">
        <v>4446</v>
      </c>
      <c r="E328" s="824"/>
      <c r="F328" s="875"/>
      <c r="G328" s="826" t="s">
        <v>4594</v>
      </c>
      <c r="H328" s="948">
        <f ca="1">H81</f>
        <v>3.6</v>
      </c>
      <c r="I328" s="948">
        <f ca="1">I81</f>
        <v>3.6</v>
      </c>
      <c r="J328" s="948">
        <f ca="1">J81</f>
        <v>3.6</v>
      </c>
      <c r="K328" s="948">
        <f ca="1">K81</f>
        <v>3.6</v>
      </c>
      <c r="L328" s="828">
        <f t="shared" ref="L328:O328" ca="1" si="577">P328+T328</f>
        <v>0</v>
      </c>
      <c r="M328" s="828">
        <f t="shared" ca="1" si="577"/>
        <v>0</v>
      </c>
      <c r="N328" s="828">
        <f t="shared" ca="1" si="577"/>
        <v>0</v>
      </c>
      <c r="O328" s="828">
        <f t="shared" ca="1" si="577"/>
        <v>0</v>
      </c>
      <c r="P328" s="828">
        <f ca="1">SUM(SUMIFS(OFFSET(貼付け_2024実績,$A328,11,1,199),OFFSET(貼付け_2024実績,4,9,1,199),{"横浜*","川崎*"}))</f>
        <v>0</v>
      </c>
      <c r="Q328" s="828">
        <f ca="1">SUM(SUMIFS(OFFSET(貼付け_2025実績,$A328,11,1,199),OFFSET(貼付け_2025実績,4,9,1,199),{"横浜*","川崎*"}))</f>
        <v>0</v>
      </c>
      <c r="R328" s="828">
        <f ca="1">SUM(SUMIFS(OFFSET(貼付け_2026実績,$A328,11,1,199),OFFSET(貼付け_2026実績,4,9,1,199),{"横浜*","川崎*"}))</f>
        <v>0</v>
      </c>
      <c r="S328" s="828">
        <f ca="1">SUM(SUMIFS(OFFSET(貼付け_2027実績,$A328,11,1,199),OFFSET(貼付け_2027実績,4,9,1,199),{"横浜*","川崎*"}))</f>
        <v>0</v>
      </c>
      <c r="T328" s="828">
        <f t="shared" ref="T328:W328" ca="1" si="578">SUM(X328,AB328,AF328,AJ328,AN328,AR328,AV328,AZ328,BD328,BH328,BL328)</f>
        <v>0</v>
      </c>
      <c r="U328" s="828">
        <f t="shared" ca="1" si="578"/>
        <v>0</v>
      </c>
      <c r="V328" s="828">
        <f t="shared" ca="1" si="578"/>
        <v>0</v>
      </c>
      <c r="W328" s="828">
        <f t="shared" ca="1" si="578"/>
        <v>0</v>
      </c>
      <c r="X328" s="828">
        <f ca="1">SUMIFS(OFFSET(貼付け_2024実績,$A328,11,1,199),OFFSET(貼付け_2024実績,4,9,1,199),"県域*")</f>
        <v>0</v>
      </c>
      <c r="Y328" s="828">
        <f ca="1">SUMIFS(OFFSET(貼付け_2025実績,$A328,11,1,199),OFFSET(貼付け_2025実績,4,9,1,199),"県域*")</f>
        <v>0</v>
      </c>
      <c r="Z328" s="828">
        <f ca="1">SUMIFS(OFFSET(貼付け_2026実績,$A328,11,1,199),OFFSET(貼付け_2026実績,4,9,1,199),"県域*")</f>
        <v>0</v>
      </c>
      <c r="AA328" s="828">
        <f ca="1">SUMIFS(OFFSET(貼付け_2027実績,$A328,11,1,199),OFFSET(貼付け_2027実績,4,9,1,199),"県域*")</f>
        <v>0</v>
      </c>
      <c r="AB328" s="828" t="str">
        <f ca="1">IFERROR(OFFSET(貼付け_2024実績,$A328,AB$1+2),"")</f>
        <v/>
      </c>
      <c r="AC328" s="828" t="str">
        <f ca="1">IFERROR(OFFSET(貼付け_2025実績,$A328,AC$1+2),"")</f>
        <v/>
      </c>
      <c r="AD328" s="828" t="str">
        <f ca="1">IFERROR(OFFSET(貼付け_2026実績,$A328,AD$1+2),"")</f>
        <v/>
      </c>
      <c r="AE328" s="828" t="str">
        <f ca="1">IFERROR(OFFSET(貼付け_2027実績,$A328,AE$1+2),"")</f>
        <v/>
      </c>
      <c r="AF328" s="828" t="str">
        <f ca="1">IFERROR(OFFSET(貼付け_2024実績,$A328,AF$1+2),"")</f>
        <v/>
      </c>
      <c r="AG328" s="828" t="str">
        <f ca="1">IFERROR(OFFSET(貼付け_2025実績,$A328,AG$1+2),"")</f>
        <v/>
      </c>
      <c r="AH328" s="828" t="str">
        <f ca="1">IFERROR(OFFSET(貼付け_2026実績,$A328,AH$1+2),"")</f>
        <v/>
      </c>
      <c r="AI328" s="828" t="str">
        <f ca="1">IFERROR(OFFSET(貼付け_2027実績,$A328,AI$1+2),"")</f>
        <v/>
      </c>
      <c r="AJ328" s="828" t="str">
        <f ca="1">IFERROR(OFFSET(貼付け_2024実績,$A328,AJ$1+2),"")</f>
        <v/>
      </c>
      <c r="AK328" s="828" t="str">
        <f ca="1">IFERROR(OFFSET(貼付け_2025実績,$A328,AK$1+2),"")</f>
        <v/>
      </c>
      <c r="AL328" s="828" t="str">
        <f ca="1">IFERROR(OFFSET(貼付け_2026実績,$A328,AL$1+2),"")</f>
        <v/>
      </c>
      <c r="AM328" s="828" t="str">
        <f ca="1">IFERROR(OFFSET(貼付け_2027実績,$A328,AM$1+2),"")</f>
        <v/>
      </c>
      <c r="AN328" s="828" t="str">
        <f ca="1">IFERROR(OFFSET(貼付け_2024実績,$A328,AN$1+2),"")</f>
        <v/>
      </c>
      <c r="AO328" s="828" t="str">
        <f ca="1">IFERROR(OFFSET(貼付け_2025実績,$A328,AO$1+2),"")</f>
        <v/>
      </c>
      <c r="AP328" s="828" t="str">
        <f ca="1">IFERROR(OFFSET(貼付け_2026実績,$A328,AP$1+2),"")</f>
        <v/>
      </c>
      <c r="AQ328" s="828" t="str">
        <f ca="1">IFERROR(OFFSET(貼付け_2027実績,$A328,AQ$1+2),"")</f>
        <v/>
      </c>
      <c r="AR328" s="828" t="str">
        <f ca="1">IFERROR(OFFSET(貼付け_2024実績,$A328,AR$1+2),"")</f>
        <v/>
      </c>
      <c r="AS328" s="828" t="str">
        <f ca="1">IFERROR(OFFSET(貼付け_2025実績,$A328,AS$1+2),"")</f>
        <v/>
      </c>
      <c r="AT328" s="828" t="str">
        <f ca="1">IFERROR(OFFSET(貼付け_2026実績,$A328,AT$1+2),"")</f>
        <v/>
      </c>
      <c r="AU328" s="828" t="str">
        <f ca="1">IFERROR(OFFSET(貼付け_2027実績,$A328,AU$1+2),"")</f>
        <v/>
      </c>
      <c r="AV328" s="828" t="str">
        <f ca="1">IFERROR(OFFSET(貼付け_2024実績,$A328,AV$1+2),"")</f>
        <v/>
      </c>
      <c r="AW328" s="828" t="str">
        <f ca="1">IFERROR(OFFSET(貼付け_2025実績,$A328,AW$1+2),"")</f>
        <v/>
      </c>
      <c r="AX328" s="828" t="str">
        <f ca="1">IFERROR(OFFSET(貼付け_2026実績,$A328,AX$1+2),"")</f>
        <v/>
      </c>
      <c r="AY328" s="828" t="str">
        <f ca="1">IFERROR(OFFSET(貼付け_2027実績,$A328,AY$1+2),"")</f>
        <v/>
      </c>
      <c r="AZ328" s="828" t="str">
        <f ca="1">IFERROR(OFFSET(貼付け_2024実績,$A328,AZ$1+2),"")</f>
        <v/>
      </c>
      <c r="BA328" s="828" t="str">
        <f ca="1">IFERROR(OFFSET(貼付け_2025実績,$A328,BA$1+2),"")</f>
        <v/>
      </c>
      <c r="BB328" s="828" t="str">
        <f ca="1">IFERROR(OFFSET(貼付け_2026実績,$A328,BB$1+2),"")</f>
        <v/>
      </c>
      <c r="BC328" s="828" t="str">
        <f ca="1">IFERROR(OFFSET(貼付け_2027実績,$A328,BC$1+2),"")</f>
        <v/>
      </c>
      <c r="BD328" s="828" t="str">
        <f ca="1">IFERROR(OFFSET(貼付け_2024実績,$A328,BD$1+2),"")</f>
        <v/>
      </c>
      <c r="BE328" s="828" t="str">
        <f ca="1">IFERROR(OFFSET(貼付け_2025実績,$A328,BE$1+2),"")</f>
        <v/>
      </c>
      <c r="BF328" s="828" t="str">
        <f ca="1">IFERROR(OFFSET(貼付け_2026実績,$A328,BF$1+2),"")</f>
        <v/>
      </c>
      <c r="BG328" s="828" t="str">
        <f ca="1">IFERROR(OFFSET(貼付け_2027実績,$A328,BG$1+2),"")</f>
        <v/>
      </c>
      <c r="BH328" s="828" t="str">
        <f ca="1">IFERROR(OFFSET(貼付け_2024実績,$A328,BH$1+2),"")</f>
        <v/>
      </c>
      <c r="BI328" s="828" t="str">
        <f ca="1">IFERROR(OFFSET(貼付け_2025実績,$A328,BI$1+2),"")</f>
        <v/>
      </c>
      <c r="BJ328" s="828" t="str">
        <f ca="1">IFERROR(OFFSET(貼付け_2026実績,$A328,BJ$1+2),"")</f>
        <v/>
      </c>
      <c r="BK328" s="828" t="str">
        <f ca="1">IFERROR(OFFSET(貼付け_2027実績,$A328,BK$1+2),"")</f>
        <v/>
      </c>
      <c r="BL328" s="828" t="str">
        <f ca="1">IFERROR(OFFSET(貼付け_2024実績,$A328,BL$1+2),"")</f>
        <v/>
      </c>
      <c r="BM328" s="828" t="str">
        <f ca="1">IFERROR(OFFSET(貼付け_2025実績,$A328,BM$1+2),"")</f>
        <v/>
      </c>
      <c r="BN328" s="828" t="str">
        <f ca="1">IFERROR(OFFSET(貼付け_2026実績,$A328,BN$1+2),"")</f>
        <v/>
      </c>
      <c r="BO328" s="828" t="str">
        <f ca="1">IFERROR(OFFSET(貼付け_2027実績,$A328,BO$1+2),"")</f>
        <v/>
      </c>
      <c r="BP328" s="841"/>
    </row>
    <row r="329" spans="1:68" ht="20.100000000000001" customHeight="1">
      <c r="A329" s="823">
        <v>90</v>
      </c>
      <c r="B329" s="1870"/>
      <c r="C329" s="1901"/>
      <c r="D329" s="853" t="s">
        <v>4447</v>
      </c>
      <c r="E329" s="824"/>
      <c r="F329" s="875"/>
      <c r="G329" s="826" t="s">
        <v>4216</v>
      </c>
      <c r="H329" s="946"/>
      <c r="I329" s="946"/>
      <c r="J329" s="946"/>
      <c r="K329" s="946"/>
      <c r="L329" s="947"/>
      <c r="M329" s="947"/>
      <c r="N329" s="947"/>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841"/>
    </row>
    <row r="330" spans="1:68" ht="20.100000000000001" customHeight="1">
      <c r="A330" s="823">
        <v>91</v>
      </c>
      <c r="B330" s="1870"/>
      <c r="C330" s="1901"/>
      <c r="D330" s="1904" t="s">
        <v>4448</v>
      </c>
      <c r="E330" s="877" t="str">
        <f ca="1">E83</f>
        <v/>
      </c>
      <c r="F330" s="878"/>
      <c r="G330" s="826" t="s">
        <v>4594</v>
      </c>
      <c r="H330" s="948">
        <f ca="1">H83</f>
        <v>0</v>
      </c>
      <c r="I330" s="948">
        <f ca="1">I83</f>
        <v>0</v>
      </c>
      <c r="J330" s="948">
        <f ca="1">J83</f>
        <v>0</v>
      </c>
      <c r="K330" s="948">
        <f ca="1">K83</f>
        <v>0</v>
      </c>
      <c r="L330" s="828">
        <f t="shared" ref="L330:O330" ca="1" si="579">P330+T330</f>
        <v>0</v>
      </c>
      <c r="M330" s="828">
        <f t="shared" ca="1" si="579"/>
        <v>0</v>
      </c>
      <c r="N330" s="828">
        <f t="shared" ca="1" si="579"/>
        <v>0</v>
      </c>
      <c r="O330" s="828">
        <f t="shared" ca="1" si="579"/>
        <v>0</v>
      </c>
      <c r="P330" s="828">
        <f ca="1">SUM(SUMIFS(OFFSET(貼付け_2024実績,$A330,11,1,199),OFFSET(貼付け_2024実績,4,9,1,199),{"横浜*","川崎*"}))</f>
        <v>0</v>
      </c>
      <c r="Q330" s="828">
        <f ca="1">SUM(SUMIFS(OFFSET(貼付け_2025実績,$A330,11,1,199),OFFSET(貼付け_2025実績,4,9,1,199),{"横浜*","川崎*"}))</f>
        <v>0</v>
      </c>
      <c r="R330" s="828">
        <f ca="1">SUM(SUMIFS(OFFSET(貼付け_2026実績,$A330,11,1,199),OFFSET(貼付け_2026実績,4,9,1,199),{"横浜*","川崎*"}))</f>
        <v>0</v>
      </c>
      <c r="S330" s="828">
        <f ca="1">SUM(SUMIFS(OFFSET(貼付け_2027実績,$A330,11,1,199),OFFSET(貼付け_2027実績,4,9,1,199),{"横浜*","川崎*"}))</f>
        <v>0</v>
      </c>
      <c r="T330" s="828">
        <f t="shared" ref="T330:W330" ca="1" si="580">SUM(X330,AB330,AF330,AJ330,AN330,AR330,AV330,AZ330,BD330,BH330,BL330)</f>
        <v>0</v>
      </c>
      <c r="U330" s="828">
        <f t="shared" ca="1" si="580"/>
        <v>0</v>
      </c>
      <c r="V330" s="828">
        <f t="shared" ca="1" si="580"/>
        <v>0</v>
      </c>
      <c r="W330" s="828">
        <f t="shared" ca="1" si="580"/>
        <v>0</v>
      </c>
      <c r="X330" s="828">
        <f ca="1">SUMIFS(OFFSET(貼付け_2024実績,$A330,11,1,199),OFFSET(貼付け_2024実績,4,9,1,199),"県域*")</f>
        <v>0</v>
      </c>
      <c r="Y330" s="828">
        <f ca="1">SUMIFS(OFFSET(貼付け_2025実績,$A330,11,1,199),OFFSET(貼付け_2025実績,4,9,1,199),"県域*")</f>
        <v>0</v>
      </c>
      <c r="Z330" s="828">
        <f ca="1">SUMIFS(OFFSET(貼付け_2026実績,$A330,11,1,199),OFFSET(貼付け_2026実績,4,9,1,199),"県域*")</f>
        <v>0</v>
      </c>
      <c r="AA330" s="828">
        <f ca="1">SUMIFS(OFFSET(貼付け_2027実績,$A330,11,1,199),OFFSET(貼付け_2027実績,4,9,1,199),"県域*")</f>
        <v>0</v>
      </c>
      <c r="AB330" s="828" t="str">
        <f ca="1">IFERROR(OFFSET(貼付け_2024実績,$A330,AB$1+2),"")</f>
        <v/>
      </c>
      <c r="AC330" s="828" t="str">
        <f ca="1">IFERROR(OFFSET(貼付け_2025実績,$A330,AC$1+2),"")</f>
        <v/>
      </c>
      <c r="AD330" s="828" t="str">
        <f ca="1">IFERROR(OFFSET(貼付け_2026実績,$A330,AD$1+2),"")</f>
        <v/>
      </c>
      <c r="AE330" s="828" t="str">
        <f ca="1">IFERROR(OFFSET(貼付け_2027実績,$A330,AE$1+2),"")</f>
        <v/>
      </c>
      <c r="AF330" s="828" t="str">
        <f ca="1">IFERROR(OFFSET(貼付け_2024実績,$A330,AF$1+2),"")</f>
        <v/>
      </c>
      <c r="AG330" s="828" t="str">
        <f ca="1">IFERROR(OFFSET(貼付け_2025実績,$A330,AG$1+2),"")</f>
        <v/>
      </c>
      <c r="AH330" s="828" t="str">
        <f ca="1">IFERROR(OFFSET(貼付け_2026実績,$A330,AH$1+2),"")</f>
        <v/>
      </c>
      <c r="AI330" s="828" t="str">
        <f ca="1">IFERROR(OFFSET(貼付け_2027実績,$A330,AI$1+2),"")</f>
        <v/>
      </c>
      <c r="AJ330" s="828" t="str">
        <f ca="1">IFERROR(OFFSET(貼付け_2024実績,$A330,AJ$1+2),"")</f>
        <v/>
      </c>
      <c r="AK330" s="828" t="str">
        <f ca="1">IFERROR(OFFSET(貼付け_2025実績,$A330,AK$1+2),"")</f>
        <v/>
      </c>
      <c r="AL330" s="828" t="str">
        <f ca="1">IFERROR(OFFSET(貼付け_2026実績,$A330,AL$1+2),"")</f>
        <v/>
      </c>
      <c r="AM330" s="828" t="str">
        <f ca="1">IFERROR(OFFSET(貼付け_2027実績,$A330,AM$1+2),"")</f>
        <v/>
      </c>
      <c r="AN330" s="828" t="str">
        <f ca="1">IFERROR(OFFSET(貼付け_2024実績,$A330,AN$1+2),"")</f>
        <v/>
      </c>
      <c r="AO330" s="828" t="str">
        <f ca="1">IFERROR(OFFSET(貼付け_2025実績,$A330,AO$1+2),"")</f>
        <v/>
      </c>
      <c r="AP330" s="828" t="str">
        <f ca="1">IFERROR(OFFSET(貼付け_2026実績,$A330,AP$1+2),"")</f>
        <v/>
      </c>
      <c r="AQ330" s="828" t="str">
        <f ca="1">IFERROR(OFFSET(貼付け_2027実績,$A330,AQ$1+2),"")</f>
        <v/>
      </c>
      <c r="AR330" s="828" t="str">
        <f ca="1">IFERROR(OFFSET(貼付け_2024実績,$A330,AR$1+2),"")</f>
        <v/>
      </c>
      <c r="AS330" s="828" t="str">
        <f ca="1">IFERROR(OFFSET(貼付け_2025実績,$A330,AS$1+2),"")</f>
        <v/>
      </c>
      <c r="AT330" s="828" t="str">
        <f ca="1">IFERROR(OFFSET(貼付け_2026実績,$A330,AT$1+2),"")</f>
        <v/>
      </c>
      <c r="AU330" s="828" t="str">
        <f ca="1">IFERROR(OFFSET(貼付け_2027実績,$A330,AU$1+2),"")</f>
        <v/>
      </c>
      <c r="AV330" s="828" t="str">
        <f ca="1">IFERROR(OFFSET(貼付け_2024実績,$A330,AV$1+2),"")</f>
        <v/>
      </c>
      <c r="AW330" s="828" t="str">
        <f ca="1">IFERROR(OFFSET(貼付け_2025実績,$A330,AW$1+2),"")</f>
        <v/>
      </c>
      <c r="AX330" s="828" t="str">
        <f ca="1">IFERROR(OFFSET(貼付け_2026実績,$A330,AX$1+2),"")</f>
        <v/>
      </c>
      <c r="AY330" s="828" t="str">
        <f ca="1">IFERROR(OFFSET(貼付け_2027実績,$A330,AY$1+2),"")</f>
        <v/>
      </c>
      <c r="AZ330" s="828" t="str">
        <f ca="1">IFERROR(OFFSET(貼付け_2024実績,$A330,AZ$1+2),"")</f>
        <v/>
      </c>
      <c r="BA330" s="828" t="str">
        <f ca="1">IFERROR(OFFSET(貼付け_2025実績,$A330,BA$1+2),"")</f>
        <v/>
      </c>
      <c r="BB330" s="828" t="str">
        <f ca="1">IFERROR(OFFSET(貼付け_2026実績,$A330,BB$1+2),"")</f>
        <v/>
      </c>
      <c r="BC330" s="828" t="str">
        <f ca="1">IFERROR(OFFSET(貼付け_2027実績,$A330,BC$1+2),"")</f>
        <v/>
      </c>
      <c r="BD330" s="828" t="str">
        <f ca="1">IFERROR(OFFSET(貼付け_2024実績,$A330,BD$1+2),"")</f>
        <v/>
      </c>
      <c r="BE330" s="828" t="str">
        <f ca="1">IFERROR(OFFSET(貼付け_2025実績,$A330,BE$1+2),"")</f>
        <v/>
      </c>
      <c r="BF330" s="828" t="str">
        <f ca="1">IFERROR(OFFSET(貼付け_2026実績,$A330,BF$1+2),"")</f>
        <v/>
      </c>
      <c r="BG330" s="828" t="str">
        <f ca="1">IFERROR(OFFSET(貼付け_2027実績,$A330,BG$1+2),"")</f>
        <v/>
      </c>
      <c r="BH330" s="828" t="str">
        <f ca="1">IFERROR(OFFSET(貼付け_2024実績,$A330,BH$1+2),"")</f>
        <v/>
      </c>
      <c r="BI330" s="828" t="str">
        <f ca="1">IFERROR(OFFSET(貼付け_2025実績,$A330,BI$1+2),"")</f>
        <v/>
      </c>
      <c r="BJ330" s="828" t="str">
        <f ca="1">IFERROR(OFFSET(貼付け_2026実績,$A330,BJ$1+2),"")</f>
        <v/>
      </c>
      <c r="BK330" s="828" t="str">
        <f ca="1">IFERROR(OFFSET(貼付け_2027実績,$A330,BK$1+2),"")</f>
        <v/>
      </c>
      <c r="BL330" s="828" t="str">
        <f ca="1">IFERROR(OFFSET(貼付け_2024実績,$A330,BL$1+2),"")</f>
        <v/>
      </c>
      <c r="BM330" s="828" t="str">
        <f ca="1">IFERROR(OFFSET(貼付け_2025実績,$A330,BM$1+2),"")</f>
        <v/>
      </c>
      <c r="BN330" s="828" t="str">
        <f ca="1">IFERROR(OFFSET(貼付け_2026実績,$A330,BN$1+2),"")</f>
        <v/>
      </c>
      <c r="BO330" s="828" t="str">
        <f ca="1">IFERROR(OFFSET(貼付け_2027実績,$A330,BO$1+2),"")</f>
        <v/>
      </c>
      <c r="BP330" s="841"/>
    </row>
    <row r="331" spans="1:68" ht="20.100000000000001" customHeight="1">
      <c r="A331" s="823">
        <v>92</v>
      </c>
      <c r="B331" s="1870"/>
      <c r="C331" s="1901"/>
      <c r="D331" s="1905"/>
      <c r="E331" s="879"/>
      <c r="F331" s="880"/>
      <c r="G331" s="826" t="s">
        <v>4216</v>
      </c>
      <c r="H331" s="946"/>
      <c r="I331" s="946"/>
      <c r="J331" s="946"/>
      <c r="K331" s="946"/>
      <c r="L331" s="947"/>
      <c r="M331" s="947"/>
      <c r="N331" s="947"/>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841"/>
    </row>
    <row r="332" spans="1:68" ht="20.100000000000001" customHeight="1">
      <c r="A332" s="823">
        <v>93</v>
      </c>
      <c r="B332" s="1870"/>
      <c r="C332" s="1901"/>
      <c r="D332" s="1904" t="s">
        <v>4449</v>
      </c>
      <c r="E332" s="877" t="str">
        <f ca="1">E85</f>
        <v/>
      </c>
      <c r="F332" s="878"/>
      <c r="G332" s="826" t="s">
        <v>4594</v>
      </c>
      <c r="H332" s="948">
        <f ca="1">H85</f>
        <v>0</v>
      </c>
      <c r="I332" s="948">
        <f ca="1">I85</f>
        <v>0</v>
      </c>
      <c r="J332" s="948">
        <f ca="1">J85</f>
        <v>0</v>
      </c>
      <c r="K332" s="948">
        <f ca="1">K85</f>
        <v>0</v>
      </c>
      <c r="L332" s="828">
        <f t="shared" ref="L332:O332" ca="1" si="581">P332+T332</f>
        <v>0</v>
      </c>
      <c r="M332" s="828">
        <f t="shared" ca="1" si="581"/>
        <v>0</v>
      </c>
      <c r="N332" s="828">
        <f t="shared" ca="1" si="581"/>
        <v>0</v>
      </c>
      <c r="O332" s="828">
        <f t="shared" ca="1" si="581"/>
        <v>0</v>
      </c>
      <c r="P332" s="828">
        <f ca="1">SUM(SUMIFS(OFFSET(貼付け_2024実績,$A332,11,1,199),OFFSET(貼付け_2024実績,4,9,1,199),{"横浜*","川崎*"}))</f>
        <v>0</v>
      </c>
      <c r="Q332" s="828">
        <f ca="1">SUM(SUMIFS(OFFSET(貼付け_2025実績,$A332,11,1,199),OFFSET(貼付け_2025実績,4,9,1,199),{"横浜*","川崎*"}))</f>
        <v>0</v>
      </c>
      <c r="R332" s="828">
        <f ca="1">SUM(SUMIFS(OFFSET(貼付け_2026実績,$A332,11,1,199),OFFSET(貼付け_2026実績,4,9,1,199),{"横浜*","川崎*"}))</f>
        <v>0</v>
      </c>
      <c r="S332" s="828">
        <f ca="1">SUM(SUMIFS(OFFSET(貼付け_2027実績,$A332,11,1,199),OFFSET(貼付け_2027実績,4,9,1,199),{"横浜*","川崎*"}))</f>
        <v>0</v>
      </c>
      <c r="T332" s="828">
        <f t="shared" ref="T332:W332" ca="1" si="582">SUM(X332,AB332,AF332,AJ332,AN332,AR332,AV332,AZ332,BD332,BH332,BL332)</f>
        <v>0</v>
      </c>
      <c r="U332" s="828">
        <f t="shared" ca="1" si="582"/>
        <v>0</v>
      </c>
      <c r="V332" s="828">
        <f t="shared" ca="1" si="582"/>
        <v>0</v>
      </c>
      <c r="W332" s="828">
        <f t="shared" ca="1" si="582"/>
        <v>0</v>
      </c>
      <c r="X332" s="828">
        <f ca="1">SUMIFS(OFFSET(貼付け_2024実績,$A332,11,1,199),OFFSET(貼付け_2024実績,4,9,1,199),"県域*")</f>
        <v>0</v>
      </c>
      <c r="Y332" s="828">
        <f ca="1">SUMIFS(OFFSET(貼付け_2025実績,$A332,11,1,199),OFFSET(貼付け_2025実績,4,9,1,199),"県域*")</f>
        <v>0</v>
      </c>
      <c r="Z332" s="828">
        <f ca="1">SUMIFS(OFFSET(貼付け_2026実績,$A332,11,1,199),OFFSET(貼付け_2026実績,4,9,1,199),"県域*")</f>
        <v>0</v>
      </c>
      <c r="AA332" s="828">
        <f ca="1">SUMIFS(OFFSET(貼付け_2027実績,$A332,11,1,199),OFFSET(貼付け_2027実績,4,9,1,199),"県域*")</f>
        <v>0</v>
      </c>
      <c r="AB332" s="828" t="str">
        <f ca="1">IFERROR(OFFSET(貼付け_2024実績,$A332,AB$1+2),"")</f>
        <v/>
      </c>
      <c r="AC332" s="828" t="str">
        <f ca="1">IFERROR(OFFSET(貼付け_2025実績,$A332,AC$1+2),"")</f>
        <v/>
      </c>
      <c r="AD332" s="828" t="str">
        <f ca="1">IFERROR(OFFSET(貼付け_2026実績,$A332,AD$1+2),"")</f>
        <v/>
      </c>
      <c r="AE332" s="828" t="str">
        <f ca="1">IFERROR(OFFSET(貼付け_2027実績,$A332,AE$1+2),"")</f>
        <v/>
      </c>
      <c r="AF332" s="828" t="str">
        <f ca="1">IFERROR(OFFSET(貼付け_2024実績,$A332,AF$1+2),"")</f>
        <v/>
      </c>
      <c r="AG332" s="828" t="str">
        <f ca="1">IFERROR(OFFSET(貼付け_2025実績,$A332,AG$1+2),"")</f>
        <v/>
      </c>
      <c r="AH332" s="828" t="str">
        <f ca="1">IFERROR(OFFSET(貼付け_2026実績,$A332,AH$1+2),"")</f>
        <v/>
      </c>
      <c r="AI332" s="828" t="str">
        <f ca="1">IFERROR(OFFSET(貼付け_2027実績,$A332,AI$1+2),"")</f>
        <v/>
      </c>
      <c r="AJ332" s="828" t="str">
        <f ca="1">IFERROR(OFFSET(貼付け_2024実績,$A332,AJ$1+2),"")</f>
        <v/>
      </c>
      <c r="AK332" s="828" t="str">
        <f ca="1">IFERROR(OFFSET(貼付け_2025実績,$A332,AK$1+2),"")</f>
        <v/>
      </c>
      <c r="AL332" s="828" t="str">
        <f ca="1">IFERROR(OFFSET(貼付け_2026実績,$A332,AL$1+2),"")</f>
        <v/>
      </c>
      <c r="AM332" s="828" t="str">
        <f ca="1">IFERROR(OFFSET(貼付け_2027実績,$A332,AM$1+2),"")</f>
        <v/>
      </c>
      <c r="AN332" s="828" t="str">
        <f ca="1">IFERROR(OFFSET(貼付け_2024実績,$A332,AN$1+2),"")</f>
        <v/>
      </c>
      <c r="AO332" s="828" t="str">
        <f ca="1">IFERROR(OFFSET(貼付け_2025実績,$A332,AO$1+2),"")</f>
        <v/>
      </c>
      <c r="AP332" s="828" t="str">
        <f ca="1">IFERROR(OFFSET(貼付け_2026実績,$A332,AP$1+2),"")</f>
        <v/>
      </c>
      <c r="AQ332" s="828" t="str">
        <f ca="1">IFERROR(OFFSET(貼付け_2027実績,$A332,AQ$1+2),"")</f>
        <v/>
      </c>
      <c r="AR332" s="828" t="str">
        <f ca="1">IFERROR(OFFSET(貼付け_2024実績,$A332,AR$1+2),"")</f>
        <v/>
      </c>
      <c r="AS332" s="828" t="str">
        <f ca="1">IFERROR(OFFSET(貼付け_2025実績,$A332,AS$1+2),"")</f>
        <v/>
      </c>
      <c r="AT332" s="828" t="str">
        <f ca="1">IFERROR(OFFSET(貼付け_2026実績,$A332,AT$1+2),"")</f>
        <v/>
      </c>
      <c r="AU332" s="828" t="str">
        <f ca="1">IFERROR(OFFSET(貼付け_2027実績,$A332,AU$1+2),"")</f>
        <v/>
      </c>
      <c r="AV332" s="828" t="str">
        <f ca="1">IFERROR(OFFSET(貼付け_2024実績,$A332,AV$1+2),"")</f>
        <v/>
      </c>
      <c r="AW332" s="828" t="str">
        <f ca="1">IFERROR(OFFSET(貼付け_2025実績,$A332,AW$1+2),"")</f>
        <v/>
      </c>
      <c r="AX332" s="828" t="str">
        <f ca="1">IFERROR(OFFSET(貼付け_2026実績,$A332,AX$1+2),"")</f>
        <v/>
      </c>
      <c r="AY332" s="828" t="str">
        <f ca="1">IFERROR(OFFSET(貼付け_2027実績,$A332,AY$1+2),"")</f>
        <v/>
      </c>
      <c r="AZ332" s="828" t="str">
        <f ca="1">IFERROR(OFFSET(貼付け_2024実績,$A332,AZ$1+2),"")</f>
        <v/>
      </c>
      <c r="BA332" s="828" t="str">
        <f ca="1">IFERROR(OFFSET(貼付け_2025実績,$A332,BA$1+2),"")</f>
        <v/>
      </c>
      <c r="BB332" s="828" t="str">
        <f ca="1">IFERROR(OFFSET(貼付け_2026実績,$A332,BB$1+2),"")</f>
        <v/>
      </c>
      <c r="BC332" s="828" t="str">
        <f ca="1">IFERROR(OFFSET(貼付け_2027実績,$A332,BC$1+2),"")</f>
        <v/>
      </c>
      <c r="BD332" s="828" t="str">
        <f ca="1">IFERROR(OFFSET(貼付け_2024実績,$A332,BD$1+2),"")</f>
        <v/>
      </c>
      <c r="BE332" s="828" t="str">
        <f ca="1">IFERROR(OFFSET(貼付け_2025実績,$A332,BE$1+2),"")</f>
        <v/>
      </c>
      <c r="BF332" s="828" t="str">
        <f ca="1">IFERROR(OFFSET(貼付け_2026実績,$A332,BF$1+2),"")</f>
        <v/>
      </c>
      <c r="BG332" s="828" t="str">
        <f ca="1">IFERROR(OFFSET(貼付け_2027実績,$A332,BG$1+2),"")</f>
        <v/>
      </c>
      <c r="BH332" s="828" t="str">
        <f ca="1">IFERROR(OFFSET(貼付け_2024実績,$A332,BH$1+2),"")</f>
        <v/>
      </c>
      <c r="BI332" s="828" t="str">
        <f ca="1">IFERROR(OFFSET(貼付け_2025実績,$A332,BI$1+2),"")</f>
        <v/>
      </c>
      <c r="BJ332" s="828" t="str">
        <f ca="1">IFERROR(OFFSET(貼付け_2026実績,$A332,BJ$1+2),"")</f>
        <v/>
      </c>
      <c r="BK332" s="828" t="str">
        <f ca="1">IFERROR(OFFSET(貼付け_2027実績,$A332,BK$1+2),"")</f>
        <v/>
      </c>
      <c r="BL332" s="828" t="str">
        <f ca="1">IFERROR(OFFSET(貼付け_2024実績,$A332,BL$1+2),"")</f>
        <v/>
      </c>
      <c r="BM332" s="828" t="str">
        <f ca="1">IFERROR(OFFSET(貼付け_2025実績,$A332,BM$1+2),"")</f>
        <v/>
      </c>
      <c r="BN332" s="828" t="str">
        <f ca="1">IFERROR(OFFSET(貼付け_2026実績,$A332,BN$1+2),"")</f>
        <v/>
      </c>
      <c r="BO332" s="828" t="str">
        <f ca="1">IFERROR(OFFSET(貼付け_2027実績,$A332,BO$1+2),"")</f>
        <v/>
      </c>
      <c r="BP332" s="841"/>
    </row>
    <row r="333" spans="1:68" ht="20.100000000000001" customHeight="1">
      <c r="A333" s="823">
        <v>94</v>
      </c>
      <c r="B333" s="1870"/>
      <c r="C333" s="1901"/>
      <c r="D333" s="1905"/>
      <c r="E333" s="879"/>
      <c r="F333" s="880"/>
      <c r="G333" s="826" t="s">
        <v>4216</v>
      </c>
      <c r="H333" s="946"/>
      <c r="I333" s="946"/>
      <c r="J333" s="946"/>
      <c r="K333" s="946"/>
      <c r="L333" s="947"/>
      <c r="M333" s="947"/>
      <c r="N333" s="947"/>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841"/>
    </row>
    <row r="334" spans="1:68" ht="20.100000000000001" customHeight="1">
      <c r="A334" s="823">
        <v>95</v>
      </c>
      <c r="B334" s="1870"/>
      <c r="C334" s="1901"/>
      <c r="D334" s="853" t="s">
        <v>4254</v>
      </c>
      <c r="E334" s="831" t="str">
        <f ca="1">E87</f>
        <v/>
      </c>
      <c r="F334" s="825" t="s">
        <v>4660</v>
      </c>
      <c r="G334" s="826" t="s">
        <v>4594</v>
      </c>
      <c r="H334" s="948">
        <f t="shared" ref="H334:K336" ca="1" si="583">H87</f>
        <v>8.64</v>
      </c>
      <c r="I334" s="897">
        <f t="shared" ca="1" si="583"/>
        <v>8.64</v>
      </c>
      <c r="J334" s="897">
        <f t="shared" ca="1" si="583"/>
        <v>8.64</v>
      </c>
      <c r="K334" s="897">
        <f t="shared" ca="1" si="583"/>
        <v>8.64</v>
      </c>
      <c r="L334" s="828">
        <f t="shared" ref="L334:O337" ca="1" si="584">P334+T334</f>
        <v>0</v>
      </c>
      <c r="M334" s="828">
        <f t="shared" ca="1" si="584"/>
        <v>0</v>
      </c>
      <c r="N334" s="828">
        <f t="shared" ca="1" si="584"/>
        <v>0</v>
      </c>
      <c r="O334" s="828">
        <f t="shared" ca="1" si="584"/>
        <v>0</v>
      </c>
      <c r="P334" s="828">
        <f ca="1">SUM(SUMIFS(OFFSET(貼付け_2024実績,$A334,11,1,199),OFFSET(貼付け_2024実績,4,9,1,199),{"横浜*","川崎*"}))</f>
        <v>0</v>
      </c>
      <c r="Q334" s="828">
        <f ca="1">SUM(SUMIFS(OFFSET(貼付け_2025実績,$A334,11,1,199),OFFSET(貼付け_2025実績,4,9,1,199),{"横浜*","川崎*"}))</f>
        <v>0</v>
      </c>
      <c r="R334" s="828">
        <f ca="1">SUM(SUMIFS(OFFSET(貼付け_2026実績,$A334,11,1,199),OFFSET(貼付け_2026実績,4,9,1,199),{"横浜*","川崎*"}))</f>
        <v>0</v>
      </c>
      <c r="S334" s="828">
        <f ca="1">SUM(SUMIFS(OFFSET(貼付け_2027実績,$A334,11,1,199),OFFSET(貼付け_2027実績,4,9,1,199),{"横浜*","川崎*"}))</f>
        <v>0</v>
      </c>
      <c r="T334" s="828">
        <f t="shared" ref="T334:W337" ca="1" si="585">SUM(X334,AB334,AF334,AJ334,AN334,AR334,AV334,AZ334,BD334,BH334,BL334)</f>
        <v>0</v>
      </c>
      <c r="U334" s="828">
        <f t="shared" ca="1" si="585"/>
        <v>0</v>
      </c>
      <c r="V334" s="828">
        <f t="shared" ca="1" si="585"/>
        <v>0</v>
      </c>
      <c r="W334" s="828">
        <f t="shared" ca="1" si="585"/>
        <v>0</v>
      </c>
      <c r="X334" s="828">
        <f ca="1">SUMIFS(OFFSET(貼付け_2024実績,$A334,11,1,199),OFFSET(貼付け_2024実績,4,9,1,199),"県域*")</f>
        <v>0</v>
      </c>
      <c r="Y334" s="828">
        <f ca="1">SUMIFS(OFFSET(貼付け_2025実績,$A334,11,1,199),OFFSET(貼付け_2025実績,4,9,1,199),"県域*")</f>
        <v>0</v>
      </c>
      <c r="Z334" s="828">
        <f ca="1">SUMIFS(OFFSET(貼付け_2026実績,$A334,11,1,199),OFFSET(貼付け_2026実績,4,9,1,199),"県域*")</f>
        <v>0</v>
      </c>
      <c r="AA334" s="828">
        <f ca="1">SUMIFS(OFFSET(貼付け_2027実績,$A334,11,1,199),OFFSET(貼付け_2027実績,4,9,1,199),"県域*")</f>
        <v>0</v>
      </c>
      <c r="AB334" s="828" t="str">
        <f ca="1">IFERROR(OFFSET(貼付け_2024実績,$A334,AB$1+2),"")</f>
        <v/>
      </c>
      <c r="AC334" s="828" t="str">
        <f ca="1">IFERROR(OFFSET(貼付け_2025実績,$A334,AC$1+2),"")</f>
        <v/>
      </c>
      <c r="AD334" s="828" t="str">
        <f ca="1">IFERROR(OFFSET(貼付け_2026実績,$A334,AD$1+2),"")</f>
        <v/>
      </c>
      <c r="AE334" s="828" t="str">
        <f ca="1">IFERROR(OFFSET(貼付け_2027実績,$A334,AE$1+2),"")</f>
        <v/>
      </c>
      <c r="AF334" s="828" t="str">
        <f ca="1">IFERROR(OFFSET(貼付け_2024実績,$A334,AF$1+2),"")</f>
        <v/>
      </c>
      <c r="AG334" s="828" t="str">
        <f ca="1">IFERROR(OFFSET(貼付け_2025実績,$A334,AG$1+2),"")</f>
        <v/>
      </c>
      <c r="AH334" s="828" t="str">
        <f ca="1">IFERROR(OFFSET(貼付け_2026実績,$A334,AH$1+2),"")</f>
        <v/>
      </c>
      <c r="AI334" s="828" t="str">
        <f ca="1">IFERROR(OFFSET(貼付け_2027実績,$A334,AI$1+2),"")</f>
        <v/>
      </c>
      <c r="AJ334" s="828" t="str">
        <f ca="1">IFERROR(OFFSET(貼付け_2024実績,$A334,AJ$1+2),"")</f>
        <v/>
      </c>
      <c r="AK334" s="828" t="str">
        <f ca="1">IFERROR(OFFSET(貼付け_2025実績,$A334,AK$1+2),"")</f>
        <v/>
      </c>
      <c r="AL334" s="828" t="str">
        <f ca="1">IFERROR(OFFSET(貼付け_2026実績,$A334,AL$1+2),"")</f>
        <v/>
      </c>
      <c r="AM334" s="828" t="str">
        <f ca="1">IFERROR(OFFSET(貼付け_2027実績,$A334,AM$1+2),"")</f>
        <v/>
      </c>
      <c r="AN334" s="828" t="str">
        <f ca="1">IFERROR(OFFSET(貼付け_2024実績,$A334,AN$1+2),"")</f>
        <v/>
      </c>
      <c r="AO334" s="828" t="str">
        <f ca="1">IFERROR(OFFSET(貼付け_2025実績,$A334,AO$1+2),"")</f>
        <v/>
      </c>
      <c r="AP334" s="828" t="str">
        <f ca="1">IFERROR(OFFSET(貼付け_2026実績,$A334,AP$1+2),"")</f>
        <v/>
      </c>
      <c r="AQ334" s="828" t="str">
        <f ca="1">IFERROR(OFFSET(貼付け_2027実績,$A334,AQ$1+2),"")</f>
        <v/>
      </c>
      <c r="AR334" s="828" t="str">
        <f ca="1">IFERROR(OFFSET(貼付け_2024実績,$A334,AR$1+2),"")</f>
        <v/>
      </c>
      <c r="AS334" s="828" t="str">
        <f ca="1">IFERROR(OFFSET(貼付け_2025実績,$A334,AS$1+2),"")</f>
        <v/>
      </c>
      <c r="AT334" s="828" t="str">
        <f ca="1">IFERROR(OFFSET(貼付け_2026実績,$A334,AT$1+2),"")</f>
        <v/>
      </c>
      <c r="AU334" s="828" t="str">
        <f ca="1">IFERROR(OFFSET(貼付け_2027実績,$A334,AU$1+2),"")</f>
        <v/>
      </c>
      <c r="AV334" s="828" t="str">
        <f ca="1">IFERROR(OFFSET(貼付け_2024実績,$A334,AV$1+2),"")</f>
        <v/>
      </c>
      <c r="AW334" s="828" t="str">
        <f ca="1">IFERROR(OFFSET(貼付け_2025実績,$A334,AW$1+2),"")</f>
        <v/>
      </c>
      <c r="AX334" s="828" t="str">
        <f ca="1">IFERROR(OFFSET(貼付け_2026実績,$A334,AX$1+2),"")</f>
        <v/>
      </c>
      <c r="AY334" s="828" t="str">
        <f ca="1">IFERROR(OFFSET(貼付け_2027実績,$A334,AY$1+2),"")</f>
        <v/>
      </c>
      <c r="AZ334" s="828" t="str">
        <f ca="1">IFERROR(OFFSET(貼付け_2024実績,$A334,AZ$1+2),"")</f>
        <v/>
      </c>
      <c r="BA334" s="828" t="str">
        <f ca="1">IFERROR(OFFSET(貼付け_2025実績,$A334,BA$1+2),"")</f>
        <v/>
      </c>
      <c r="BB334" s="828" t="str">
        <f ca="1">IFERROR(OFFSET(貼付け_2026実績,$A334,BB$1+2),"")</f>
        <v/>
      </c>
      <c r="BC334" s="828" t="str">
        <f ca="1">IFERROR(OFFSET(貼付け_2027実績,$A334,BC$1+2),"")</f>
        <v/>
      </c>
      <c r="BD334" s="828" t="str">
        <f ca="1">IFERROR(OFFSET(貼付け_2024実績,$A334,BD$1+2),"")</f>
        <v/>
      </c>
      <c r="BE334" s="828" t="str">
        <f ca="1">IFERROR(OFFSET(貼付け_2025実績,$A334,BE$1+2),"")</f>
        <v/>
      </c>
      <c r="BF334" s="828" t="str">
        <f ca="1">IFERROR(OFFSET(貼付け_2026実績,$A334,BF$1+2),"")</f>
        <v/>
      </c>
      <c r="BG334" s="828" t="str">
        <f ca="1">IFERROR(OFFSET(貼付け_2027実績,$A334,BG$1+2),"")</f>
        <v/>
      </c>
      <c r="BH334" s="828" t="str">
        <f ca="1">IFERROR(OFFSET(貼付け_2024実績,$A334,BH$1+2),"")</f>
        <v/>
      </c>
      <c r="BI334" s="828" t="str">
        <f ca="1">IFERROR(OFFSET(貼付け_2025実績,$A334,BI$1+2),"")</f>
        <v/>
      </c>
      <c r="BJ334" s="828" t="str">
        <f ca="1">IFERROR(OFFSET(貼付け_2026実績,$A334,BJ$1+2),"")</f>
        <v/>
      </c>
      <c r="BK334" s="828" t="str">
        <f ca="1">IFERROR(OFFSET(貼付け_2027実績,$A334,BK$1+2),"")</f>
        <v/>
      </c>
      <c r="BL334" s="828" t="str">
        <f ca="1">IFERROR(OFFSET(貼付け_2024実績,$A334,BL$1+2),"")</f>
        <v/>
      </c>
      <c r="BM334" s="828" t="str">
        <f ca="1">IFERROR(OFFSET(貼付け_2025実績,$A334,BM$1+2),"")</f>
        <v/>
      </c>
      <c r="BN334" s="828" t="str">
        <f ca="1">IFERROR(OFFSET(貼付け_2026実績,$A334,BN$1+2),"")</f>
        <v/>
      </c>
      <c r="BO334" s="828" t="str">
        <f ca="1">IFERROR(OFFSET(貼付け_2027実績,$A334,BO$1+2),"")</f>
        <v/>
      </c>
      <c r="BP334" s="841"/>
    </row>
    <row r="335" spans="1:68" ht="20.100000000000001" customHeight="1">
      <c r="A335" s="823">
        <v>96</v>
      </c>
      <c r="B335" s="1870"/>
      <c r="C335" s="1901"/>
      <c r="D335" s="853" t="s">
        <v>4255</v>
      </c>
      <c r="E335" s="831" t="str">
        <f ca="1">E88</f>
        <v/>
      </c>
      <c r="F335" s="881" t="s">
        <v>4661</v>
      </c>
      <c r="G335" s="826" t="s">
        <v>4594</v>
      </c>
      <c r="H335" s="948">
        <f t="shared" ca="1" si="583"/>
        <v>8.64</v>
      </c>
      <c r="I335" s="897">
        <f t="shared" ca="1" si="583"/>
        <v>8.64</v>
      </c>
      <c r="J335" s="897">
        <f t="shared" ca="1" si="583"/>
        <v>8.64</v>
      </c>
      <c r="K335" s="897">
        <f t="shared" ca="1" si="583"/>
        <v>8.64</v>
      </c>
      <c r="L335" s="828">
        <f t="shared" ca="1" si="584"/>
        <v>0</v>
      </c>
      <c r="M335" s="828">
        <f t="shared" ca="1" si="584"/>
        <v>0</v>
      </c>
      <c r="N335" s="828">
        <f t="shared" ca="1" si="584"/>
        <v>0</v>
      </c>
      <c r="O335" s="828">
        <f t="shared" ca="1" si="584"/>
        <v>0</v>
      </c>
      <c r="P335" s="828">
        <f ca="1">SUM(SUMIFS(OFFSET(貼付け_2024実績,$A335,11,1,199),OFFSET(貼付け_2024実績,4,9,1,199),{"横浜*","川崎*"}))</f>
        <v>0</v>
      </c>
      <c r="Q335" s="828">
        <f ca="1">SUM(SUMIFS(OFFSET(貼付け_2025実績,$A335,11,1,199),OFFSET(貼付け_2025実績,4,9,1,199),{"横浜*","川崎*"}))</f>
        <v>0</v>
      </c>
      <c r="R335" s="828">
        <f ca="1">SUM(SUMIFS(OFFSET(貼付け_2026実績,$A335,11,1,199),OFFSET(貼付け_2026実績,4,9,1,199),{"横浜*","川崎*"}))</f>
        <v>0</v>
      </c>
      <c r="S335" s="828">
        <f ca="1">SUM(SUMIFS(OFFSET(貼付け_2027実績,$A335,11,1,199),OFFSET(貼付け_2027実績,4,9,1,199),{"横浜*","川崎*"}))</f>
        <v>0</v>
      </c>
      <c r="T335" s="828">
        <f t="shared" ca="1" si="585"/>
        <v>0</v>
      </c>
      <c r="U335" s="828">
        <f t="shared" ca="1" si="585"/>
        <v>0</v>
      </c>
      <c r="V335" s="828">
        <f t="shared" ca="1" si="585"/>
        <v>0</v>
      </c>
      <c r="W335" s="828">
        <f t="shared" ca="1" si="585"/>
        <v>0</v>
      </c>
      <c r="X335" s="828">
        <f ca="1">SUMIFS(OFFSET(貼付け_2024実績,$A335,11,1,199),OFFSET(貼付け_2024実績,4,9,1,199),"県域*")</f>
        <v>0</v>
      </c>
      <c r="Y335" s="828">
        <f ca="1">SUMIFS(OFFSET(貼付け_2025実績,$A335,11,1,199),OFFSET(貼付け_2025実績,4,9,1,199),"県域*")</f>
        <v>0</v>
      </c>
      <c r="Z335" s="828">
        <f ca="1">SUMIFS(OFFSET(貼付け_2026実績,$A335,11,1,199),OFFSET(貼付け_2026実績,4,9,1,199),"県域*")</f>
        <v>0</v>
      </c>
      <c r="AA335" s="828">
        <f ca="1">SUMIFS(OFFSET(貼付け_2027実績,$A335,11,1,199),OFFSET(貼付け_2027実績,4,9,1,199),"県域*")</f>
        <v>0</v>
      </c>
      <c r="AB335" s="828" t="str">
        <f ca="1">IFERROR(OFFSET(貼付け_2024実績,$A335,AB$1+2),"")</f>
        <v/>
      </c>
      <c r="AC335" s="828" t="str">
        <f ca="1">IFERROR(OFFSET(貼付け_2025実績,$A335,AC$1+2),"")</f>
        <v/>
      </c>
      <c r="AD335" s="828" t="str">
        <f ca="1">IFERROR(OFFSET(貼付け_2026実績,$A335,AD$1+2),"")</f>
        <v/>
      </c>
      <c r="AE335" s="828" t="str">
        <f ca="1">IFERROR(OFFSET(貼付け_2027実績,$A335,AE$1+2),"")</f>
        <v/>
      </c>
      <c r="AF335" s="828" t="str">
        <f ca="1">IFERROR(OFFSET(貼付け_2024実績,$A335,AF$1+2),"")</f>
        <v/>
      </c>
      <c r="AG335" s="828" t="str">
        <f ca="1">IFERROR(OFFSET(貼付け_2025実績,$A335,AG$1+2),"")</f>
        <v/>
      </c>
      <c r="AH335" s="828" t="str">
        <f ca="1">IFERROR(OFFSET(貼付け_2026実績,$A335,AH$1+2),"")</f>
        <v/>
      </c>
      <c r="AI335" s="828" t="str">
        <f ca="1">IFERROR(OFFSET(貼付け_2027実績,$A335,AI$1+2),"")</f>
        <v/>
      </c>
      <c r="AJ335" s="828" t="str">
        <f ca="1">IFERROR(OFFSET(貼付け_2024実績,$A335,AJ$1+2),"")</f>
        <v/>
      </c>
      <c r="AK335" s="828" t="str">
        <f ca="1">IFERROR(OFFSET(貼付け_2025実績,$A335,AK$1+2),"")</f>
        <v/>
      </c>
      <c r="AL335" s="828" t="str">
        <f ca="1">IFERROR(OFFSET(貼付け_2026実績,$A335,AL$1+2),"")</f>
        <v/>
      </c>
      <c r="AM335" s="828" t="str">
        <f ca="1">IFERROR(OFFSET(貼付け_2027実績,$A335,AM$1+2),"")</f>
        <v/>
      </c>
      <c r="AN335" s="828" t="str">
        <f ca="1">IFERROR(OFFSET(貼付け_2024実績,$A335,AN$1+2),"")</f>
        <v/>
      </c>
      <c r="AO335" s="828" t="str">
        <f ca="1">IFERROR(OFFSET(貼付け_2025実績,$A335,AO$1+2),"")</f>
        <v/>
      </c>
      <c r="AP335" s="828" t="str">
        <f ca="1">IFERROR(OFFSET(貼付け_2026実績,$A335,AP$1+2),"")</f>
        <v/>
      </c>
      <c r="AQ335" s="828" t="str">
        <f ca="1">IFERROR(OFFSET(貼付け_2027実績,$A335,AQ$1+2),"")</f>
        <v/>
      </c>
      <c r="AR335" s="828" t="str">
        <f ca="1">IFERROR(OFFSET(貼付け_2024実績,$A335,AR$1+2),"")</f>
        <v/>
      </c>
      <c r="AS335" s="828" t="str">
        <f ca="1">IFERROR(OFFSET(貼付け_2025実績,$A335,AS$1+2),"")</f>
        <v/>
      </c>
      <c r="AT335" s="828" t="str">
        <f ca="1">IFERROR(OFFSET(貼付け_2026実績,$A335,AT$1+2),"")</f>
        <v/>
      </c>
      <c r="AU335" s="828" t="str">
        <f ca="1">IFERROR(OFFSET(貼付け_2027実績,$A335,AU$1+2),"")</f>
        <v/>
      </c>
      <c r="AV335" s="828" t="str">
        <f ca="1">IFERROR(OFFSET(貼付け_2024実績,$A335,AV$1+2),"")</f>
        <v/>
      </c>
      <c r="AW335" s="828" t="str">
        <f ca="1">IFERROR(OFFSET(貼付け_2025実績,$A335,AW$1+2),"")</f>
        <v/>
      </c>
      <c r="AX335" s="828" t="str">
        <f ca="1">IFERROR(OFFSET(貼付け_2026実績,$A335,AX$1+2),"")</f>
        <v/>
      </c>
      <c r="AY335" s="828" t="str">
        <f ca="1">IFERROR(OFFSET(貼付け_2027実績,$A335,AY$1+2),"")</f>
        <v/>
      </c>
      <c r="AZ335" s="828" t="str">
        <f ca="1">IFERROR(OFFSET(貼付け_2024実績,$A335,AZ$1+2),"")</f>
        <v/>
      </c>
      <c r="BA335" s="828" t="str">
        <f ca="1">IFERROR(OFFSET(貼付け_2025実績,$A335,BA$1+2),"")</f>
        <v/>
      </c>
      <c r="BB335" s="828" t="str">
        <f ca="1">IFERROR(OFFSET(貼付け_2026実績,$A335,BB$1+2),"")</f>
        <v/>
      </c>
      <c r="BC335" s="828" t="str">
        <f ca="1">IFERROR(OFFSET(貼付け_2027実績,$A335,BC$1+2),"")</f>
        <v/>
      </c>
      <c r="BD335" s="828" t="str">
        <f ca="1">IFERROR(OFFSET(貼付け_2024実績,$A335,BD$1+2),"")</f>
        <v/>
      </c>
      <c r="BE335" s="828" t="str">
        <f ca="1">IFERROR(OFFSET(貼付け_2025実績,$A335,BE$1+2),"")</f>
        <v/>
      </c>
      <c r="BF335" s="828" t="str">
        <f ca="1">IFERROR(OFFSET(貼付け_2026実績,$A335,BF$1+2),"")</f>
        <v/>
      </c>
      <c r="BG335" s="828" t="str">
        <f ca="1">IFERROR(OFFSET(貼付け_2027実績,$A335,BG$1+2),"")</f>
        <v/>
      </c>
      <c r="BH335" s="828" t="str">
        <f ca="1">IFERROR(OFFSET(貼付け_2024実績,$A335,BH$1+2),"")</f>
        <v/>
      </c>
      <c r="BI335" s="828" t="str">
        <f ca="1">IFERROR(OFFSET(貼付け_2025実績,$A335,BI$1+2),"")</f>
        <v/>
      </c>
      <c r="BJ335" s="828" t="str">
        <f ca="1">IFERROR(OFFSET(貼付け_2026実績,$A335,BJ$1+2),"")</f>
        <v/>
      </c>
      <c r="BK335" s="828" t="str">
        <f ca="1">IFERROR(OFFSET(貼付け_2027実績,$A335,BK$1+2),"")</f>
        <v/>
      </c>
      <c r="BL335" s="828" t="str">
        <f ca="1">IFERROR(OFFSET(貼付け_2024実績,$A335,BL$1+2),"")</f>
        <v/>
      </c>
      <c r="BM335" s="828" t="str">
        <f ca="1">IFERROR(OFFSET(貼付け_2025実績,$A335,BM$1+2),"")</f>
        <v/>
      </c>
      <c r="BN335" s="828" t="str">
        <f ca="1">IFERROR(OFFSET(貼付け_2026実績,$A335,BN$1+2),"")</f>
        <v/>
      </c>
      <c r="BO335" s="828" t="str">
        <f ca="1">IFERROR(OFFSET(貼付け_2027実績,$A335,BO$1+2),"")</f>
        <v/>
      </c>
      <c r="BP335" s="841"/>
    </row>
    <row r="336" spans="1:68" ht="20.100000000000001" customHeight="1">
      <c r="A336" s="823">
        <v>97</v>
      </c>
      <c r="B336" s="1870"/>
      <c r="C336" s="1901"/>
      <c r="D336" s="853" t="s">
        <v>4256</v>
      </c>
      <c r="E336" s="831" t="str">
        <f ca="1">E89</f>
        <v/>
      </c>
      <c r="F336" s="881" t="s">
        <v>4662</v>
      </c>
      <c r="G336" s="826" t="s">
        <v>4594</v>
      </c>
      <c r="H336" s="948">
        <f t="shared" ca="1" si="583"/>
        <v>8.64</v>
      </c>
      <c r="I336" s="897">
        <f t="shared" ca="1" si="583"/>
        <v>8.64</v>
      </c>
      <c r="J336" s="897">
        <f t="shared" ca="1" si="583"/>
        <v>8.64</v>
      </c>
      <c r="K336" s="897">
        <f t="shared" ca="1" si="583"/>
        <v>8.64</v>
      </c>
      <c r="L336" s="828">
        <f t="shared" ca="1" si="584"/>
        <v>0</v>
      </c>
      <c r="M336" s="828">
        <f t="shared" ca="1" si="584"/>
        <v>0</v>
      </c>
      <c r="N336" s="828">
        <f t="shared" ca="1" si="584"/>
        <v>0</v>
      </c>
      <c r="O336" s="828">
        <f t="shared" ca="1" si="584"/>
        <v>0</v>
      </c>
      <c r="P336" s="828">
        <f ca="1">SUM(SUMIFS(OFFSET(貼付け_2024実績,$A336,11,1,199),OFFSET(貼付け_2024実績,4,9,1,199),{"横浜*","川崎*"}))</f>
        <v>0</v>
      </c>
      <c r="Q336" s="828">
        <f ca="1">SUM(SUMIFS(OFFSET(貼付け_2025実績,$A336,11,1,199),OFFSET(貼付け_2025実績,4,9,1,199),{"横浜*","川崎*"}))</f>
        <v>0</v>
      </c>
      <c r="R336" s="828">
        <f ca="1">SUM(SUMIFS(OFFSET(貼付け_2026実績,$A336,11,1,199),OFFSET(貼付け_2026実績,4,9,1,199),{"横浜*","川崎*"}))</f>
        <v>0</v>
      </c>
      <c r="S336" s="828">
        <f ca="1">SUM(SUMIFS(OFFSET(貼付け_2027実績,$A336,11,1,199),OFFSET(貼付け_2027実績,4,9,1,199),{"横浜*","川崎*"}))</f>
        <v>0</v>
      </c>
      <c r="T336" s="828">
        <f t="shared" ca="1" si="585"/>
        <v>0</v>
      </c>
      <c r="U336" s="828">
        <f t="shared" ca="1" si="585"/>
        <v>0</v>
      </c>
      <c r="V336" s="828">
        <f t="shared" ca="1" si="585"/>
        <v>0</v>
      </c>
      <c r="W336" s="828">
        <f t="shared" ca="1" si="585"/>
        <v>0</v>
      </c>
      <c r="X336" s="828">
        <f ca="1">SUMIFS(OFFSET(貼付け_2024実績,$A336,11,1,199),OFFSET(貼付け_2024実績,4,9,1,199),"県域*")</f>
        <v>0</v>
      </c>
      <c r="Y336" s="828">
        <f ca="1">SUMIFS(OFFSET(貼付け_2025実績,$A336,11,1,199),OFFSET(貼付け_2025実績,4,9,1,199),"県域*")</f>
        <v>0</v>
      </c>
      <c r="Z336" s="828">
        <f ca="1">SUMIFS(OFFSET(貼付け_2026実績,$A336,11,1,199),OFFSET(貼付け_2026実績,4,9,1,199),"県域*")</f>
        <v>0</v>
      </c>
      <c r="AA336" s="828">
        <f ca="1">SUMIFS(OFFSET(貼付け_2027実績,$A336,11,1,199),OFFSET(貼付け_2027実績,4,9,1,199),"県域*")</f>
        <v>0</v>
      </c>
      <c r="AB336" s="828" t="str">
        <f ca="1">IFERROR(OFFSET(貼付け_2024実績,$A336,AB$1+2),"")</f>
        <v/>
      </c>
      <c r="AC336" s="828" t="str">
        <f ca="1">IFERROR(OFFSET(貼付け_2025実績,$A336,AC$1+2),"")</f>
        <v/>
      </c>
      <c r="AD336" s="828" t="str">
        <f ca="1">IFERROR(OFFSET(貼付け_2026実績,$A336,AD$1+2),"")</f>
        <v/>
      </c>
      <c r="AE336" s="828" t="str">
        <f ca="1">IFERROR(OFFSET(貼付け_2027実績,$A336,AE$1+2),"")</f>
        <v/>
      </c>
      <c r="AF336" s="828" t="str">
        <f ca="1">IFERROR(OFFSET(貼付け_2024実績,$A336,AF$1+2),"")</f>
        <v/>
      </c>
      <c r="AG336" s="828" t="str">
        <f ca="1">IFERROR(OFFSET(貼付け_2025実績,$A336,AG$1+2),"")</f>
        <v/>
      </c>
      <c r="AH336" s="828" t="str">
        <f ca="1">IFERROR(OFFSET(貼付け_2026実績,$A336,AH$1+2),"")</f>
        <v/>
      </c>
      <c r="AI336" s="828" t="str">
        <f ca="1">IFERROR(OFFSET(貼付け_2027実績,$A336,AI$1+2),"")</f>
        <v/>
      </c>
      <c r="AJ336" s="828" t="str">
        <f ca="1">IFERROR(OFFSET(貼付け_2024実績,$A336,AJ$1+2),"")</f>
        <v/>
      </c>
      <c r="AK336" s="828" t="str">
        <f ca="1">IFERROR(OFFSET(貼付け_2025実績,$A336,AK$1+2),"")</f>
        <v/>
      </c>
      <c r="AL336" s="828" t="str">
        <f ca="1">IFERROR(OFFSET(貼付け_2026実績,$A336,AL$1+2),"")</f>
        <v/>
      </c>
      <c r="AM336" s="828" t="str">
        <f ca="1">IFERROR(OFFSET(貼付け_2027実績,$A336,AM$1+2),"")</f>
        <v/>
      </c>
      <c r="AN336" s="828" t="str">
        <f ca="1">IFERROR(OFFSET(貼付け_2024実績,$A336,AN$1+2),"")</f>
        <v/>
      </c>
      <c r="AO336" s="828" t="str">
        <f ca="1">IFERROR(OFFSET(貼付け_2025実績,$A336,AO$1+2),"")</f>
        <v/>
      </c>
      <c r="AP336" s="828" t="str">
        <f ca="1">IFERROR(OFFSET(貼付け_2026実績,$A336,AP$1+2),"")</f>
        <v/>
      </c>
      <c r="AQ336" s="828" t="str">
        <f ca="1">IFERROR(OFFSET(貼付け_2027実績,$A336,AQ$1+2),"")</f>
        <v/>
      </c>
      <c r="AR336" s="828" t="str">
        <f ca="1">IFERROR(OFFSET(貼付け_2024実績,$A336,AR$1+2),"")</f>
        <v/>
      </c>
      <c r="AS336" s="828" t="str">
        <f ca="1">IFERROR(OFFSET(貼付け_2025実績,$A336,AS$1+2),"")</f>
        <v/>
      </c>
      <c r="AT336" s="828" t="str">
        <f ca="1">IFERROR(OFFSET(貼付け_2026実績,$A336,AT$1+2),"")</f>
        <v/>
      </c>
      <c r="AU336" s="828" t="str">
        <f ca="1">IFERROR(OFFSET(貼付け_2027実績,$A336,AU$1+2),"")</f>
        <v/>
      </c>
      <c r="AV336" s="828" t="str">
        <f ca="1">IFERROR(OFFSET(貼付け_2024実績,$A336,AV$1+2),"")</f>
        <v/>
      </c>
      <c r="AW336" s="828" t="str">
        <f ca="1">IFERROR(OFFSET(貼付け_2025実績,$A336,AW$1+2),"")</f>
        <v/>
      </c>
      <c r="AX336" s="828" t="str">
        <f ca="1">IFERROR(OFFSET(貼付け_2026実績,$A336,AX$1+2),"")</f>
        <v/>
      </c>
      <c r="AY336" s="828" t="str">
        <f ca="1">IFERROR(OFFSET(貼付け_2027実績,$A336,AY$1+2),"")</f>
        <v/>
      </c>
      <c r="AZ336" s="828" t="str">
        <f ca="1">IFERROR(OFFSET(貼付け_2024実績,$A336,AZ$1+2),"")</f>
        <v/>
      </c>
      <c r="BA336" s="828" t="str">
        <f ca="1">IFERROR(OFFSET(貼付け_2025実績,$A336,BA$1+2),"")</f>
        <v/>
      </c>
      <c r="BB336" s="828" t="str">
        <f ca="1">IFERROR(OFFSET(貼付け_2026実績,$A336,BB$1+2),"")</f>
        <v/>
      </c>
      <c r="BC336" s="828" t="str">
        <f ca="1">IFERROR(OFFSET(貼付け_2027実績,$A336,BC$1+2),"")</f>
        <v/>
      </c>
      <c r="BD336" s="828" t="str">
        <f ca="1">IFERROR(OFFSET(貼付け_2024実績,$A336,BD$1+2),"")</f>
        <v/>
      </c>
      <c r="BE336" s="828" t="str">
        <f ca="1">IFERROR(OFFSET(貼付け_2025実績,$A336,BE$1+2),"")</f>
        <v/>
      </c>
      <c r="BF336" s="828" t="str">
        <f ca="1">IFERROR(OFFSET(貼付け_2026実績,$A336,BF$1+2),"")</f>
        <v/>
      </c>
      <c r="BG336" s="828" t="str">
        <f ca="1">IFERROR(OFFSET(貼付け_2027実績,$A336,BG$1+2),"")</f>
        <v/>
      </c>
      <c r="BH336" s="828" t="str">
        <f ca="1">IFERROR(OFFSET(貼付け_2024実績,$A336,BH$1+2),"")</f>
        <v/>
      </c>
      <c r="BI336" s="828" t="str">
        <f ca="1">IFERROR(OFFSET(貼付け_2025実績,$A336,BI$1+2),"")</f>
        <v/>
      </c>
      <c r="BJ336" s="828" t="str">
        <f ca="1">IFERROR(OFFSET(貼付け_2026実績,$A336,BJ$1+2),"")</f>
        <v/>
      </c>
      <c r="BK336" s="828" t="str">
        <f ca="1">IFERROR(OFFSET(貼付け_2027実績,$A336,BK$1+2),"")</f>
        <v/>
      </c>
      <c r="BL336" s="828" t="str">
        <f ca="1">IFERROR(OFFSET(貼付け_2024実績,$A336,BL$1+2),"")</f>
        <v/>
      </c>
      <c r="BM336" s="828" t="str">
        <f ca="1">IFERROR(OFFSET(貼付け_2025実績,$A336,BM$1+2),"")</f>
        <v/>
      </c>
      <c r="BN336" s="828" t="str">
        <f ca="1">IFERROR(OFFSET(貼付け_2026実績,$A336,BN$1+2),"")</f>
        <v/>
      </c>
      <c r="BO336" s="828" t="str">
        <f ca="1">IFERROR(OFFSET(貼付け_2027実績,$A336,BO$1+2),"")</f>
        <v/>
      </c>
      <c r="BP336" s="841"/>
    </row>
    <row r="337" spans="1:68" ht="20.100000000000001" customHeight="1">
      <c r="A337" s="823">
        <v>98</v>
      </c>
      <c r="B337" s="1903"/>
      <c r="C337" s="1902"/>
      <c r="D337" s="853" t="s">
        <v>4257</v>
      </c>
      <c r="E337" s="831" t="str">
        <f ca="1">E90</f>
        <v/>
      </c>
      <c r="F337" s="881" t="s">
        <v>4663</v>
      </c>
      <c r="G337" s="826" t="s">
        <v>4594</v>
      </c>
      <c r="H337" s="948">
        <f ca="1">H90</f>
        <v>8.64</v>
      </c>
      <c r="I337" s="897">
        <f ca="1">I90</f>
        <v>8.64</v>
      </c>
      <c r="J337" s="897">
        <f ca="1">J90</f>
        <v>8.64</v>
      </c>
      <c r="K337" s="897">
        <f ca="1">K90</f>
        <v>8.64</v>
      </c>
      <c r="L337" s="828">
        <f t="shared" ca="1" si="584"/>
        <v>0</v>
      </c>
      <c r="M337" s="828">
        <f t="shared" ca="1" si="584"/>
        <v>0</v>
      </c>
      <c r="N337" s="828">
        <f t="shared" ca="1" si="584"/>
        <v>0</v>
      </c>
      <c r="O337" s="828">
        <f t="shared" ca="1" si="584"/>
        <v>0</v>
      </c>
      <c r="P337" s="828">
        <f ca="1">SUM(SUMIFS(OFFSET(貼付け_2024実績,$A337,11,1,199),OFFSET(貼付け_2024実績,4,9,1,199),{"横浜*","川崎*"}))</f>
        <v>0</v>
      </c>
      <c r="Q337" s="828">
        <f ca="1">SUM(SUMIFS(OFFSET(貼付け_2025実績,$A337,11,1,199),OFFSET(貼付け_2025実績,4,9,1,199),{"横浜*","川崎*"}))</f>
        <v>0</v>
      </c>
      <c r="R337" s="828">
        <f ca="1">SUM(SUMIFS(OFFSET(貼付け_2026実績,$A337,11,1,199),OFFSET(貼付け_2026実績,4,9,1,199),{"横浜*","川崎*"}))</f>
        <v>0</v>
      </c>
      <c r="S337" s="828">
        <f ca="1">SUM(SUMIFS(OFFSET(貼付け_2027実績,$A337,11,1,199),OFFSET(貼付け_2027実績,4,9,1,199),{"横浜*","川崎*"}))</f>
        <v>0</v>
      </c>
      <c r="T337" s="828">
        <f t="shared" ca="1" si="585"/>
        <v>0</v>
      </c>
      <c r="U337" s="828">
        <f t="shared" ca="1" si="585"/>
        <v>0</v>
      </c>
      <c r="V337" s="828">
        <f t="shared" ca="1" si="585"/>
        <v>0</v>
      </c>
      <c r="W337" s="828">
        <f t="shared" ca="1" si="585"/>
        <v>0</v>
      </c>
      <c r="X337" s="828">
        <f ca="1">SUMIFS(OFFSET(貼付け_2024実績,$A337,11,1,199),OFFSET(貼付け_2024実績,4,9,1,199),"県域*")</f>
        <v>0</v>
      </c>
      <c r="Y337" s="828">
        <f ca="1">SUMIFS(OFFSET(貼付け_2025実績,$A337,11,1,199),OFFSET(貼付け_2025実績,4,9,1,199),"県域*")</f>
        <v>0</v>
      </c>
      <c r="Z337" s="828">
        <f ca="1">SUMIFS(OFFSET(貼付け_2026実績,$A337,11,1,199),OFFSET(貼付け_2026実績,4,9,1,199),"県域*")</f>
        <v>0</v>
      </c>
      <c r="AA337" s="828">
        <f ca="1">SUMIFS(OFFSET(貼付け_2027実績,$A337,11,1,199),OFFSET(貼付け_2027実績,4,9,1,199),"県域*")</f>
        <v>0</v>
      </c>
      <c r="AB337" s="828" t="str">
        <f ca="1">IFERROR(OFFSET(貼付け_2024実績,$A337,AB$1+2),"")</f>
        <v/>
      </c>
      <c r="AC337" s="828" t="str">
        <f ca="1">IFERROR(OFFSET(貼付け_2025実績,$A337,AC$1+2),"")</f>
        <v/>
      </c>
      <c r="AD337" s="828" t="str">
        <f ca="1">IFERROR(OFFSET(貼付け_2026実績,$A337,AD$1+2),"")</f>
        <v/>
      </c>
      <c r="AE337" s="828" t="str">
        <f ca="1">IFERROR(OFFSET(貼付け_2027実績,$A337,AE$1+2),"")</f>
        <v/>
      </c>
      <c r="AF337" s="828" t="str">
        <f ca="1">IFERROR(OFFSET(貼付け_2024実績,$A337,AF$1+2),"")</f>
        <v/>
      </c>
      <c r="AG337" s="828" t="str">
        <f ca="1">IFERROR(OFFSET(貼付け_2025実績,$A337,AG$1+2),"")</f>
        <v/>
      </c>
      <c r="AH337" s="828" t="str">
        <f ca="1">IFERROR(OFFSET(貼付け_2026実績,$A337,AH$1+2),"")</f>
        <v/>
      </c>
      <c r="AI337" s="828" t="str">
        <f ca="1">IFERROR(OFFSET(貼付け_2027実績,$A337,AI$1+2),"")</f>
        <v/>
      </c>
      <c r="AJ337" s="828" t="str">
        <f ca="1">IFERROR(OFFSET(貼付け_2024実績,$A337,AJ$1+2),"")</f>
        <v/>
      </c>
      <c r="AK337" s="828" t="str">
        <f ca="1">IFERROR(OFFSET(貼付け_2025実績,$A337,AK$1+2),"")</f>
        <v/>
      </c>
      <c r="AL337" s="828" t="str">
        <f ca="1">IFERROR(OFFSET(貼付け_2026実績,$A337,AL$1+2),"")</f>
        <v/>
      </c>
      <c r="AM337" s="828" t="str">
        <f ca="1">IFERROR(OFFSET(貼付け_2027実績,$A337,AM$1+2),"")</f>
        <v/>
      </c>
      <c r="AN337" s="828" t="str">
        <f ca="1">IFERROR(OFFSET(貼付け_2024実績,$A337,AN$1+2),"")</f>
        <v/>
      </c>
      <c r="AO337" s="828" t="str">
        <f ca="1">IFERROR(OFFSET(貼付け_2025実績,$A337,AO$1+2),"")</f>
        <v/>
      </c>
      <c r="AP337" s="828" t="str">
        <f ca="1">IFERROR(OFFSET(貼付け_2026実績,$A337,AP$1+2),"")</f>
        <v/>
      </c>
      <c r="AQ337" s="828" t="str">
        <f ca="1">IFERROR(OFFSET(貼付け_2027実績,$A337,AQ$1+2),"")</f>
        <v/>
      </c>
      <c r="AR337" s="828" t="str">
        <f ca="1">IFERROR(OFFSET(貼付け_2024実績,$A337,AR$1+2),"")</f>
        <v/>
      </c>
      <c r="AS337" s="828" t="str">
        <f ca="1">IFERROR(OFFSET(貼付け_2025実績,$A337,AS$1+2),"")</f>
        <v/>
      </c>
      <c r="AT337" s="828" t="str">
        <f ca="1">IFERROR(OFFSET(貼付け_2026実績,$A337,AT$1+2),"")</f>
        <v/>
      </c>
      <c r="AU337" s="828" t="str">
        <f ca="1">IFERROR(OFFSET(貼付け_2027実績,$A337,AU$1+2),"")</f>
        <v/>
      </c>
      <c r="AV337" s="828" t="str">
        <f ca="1">IFERROR(OFFSET(貼付け_2024実績,$A337,AV$1+2),"")</f>
        <v/>
      </c>
      <c r="AW337" s="828" t="str">
        <f ca="1">IFERROR(OFFSET(貼付け_2025実績,$A337,AW$1+2),"")</f>
        <v/>
      </c>
      <c r="AX337" s="828" t="str">
        <f ca="1">IFERROR(OFFSET(貼付け_2026実績,$A337,AX$1+2),"")</f>
        <v/>
      </c>
      <c r="AY337" s="828" t="str">
        <f ca="1">IFERROR(OFFSET(貼付け_2027実績,$A337,AY$1+2),"")</f>
        <v/>
      </c>
      <c r="AZ337" s="828" t="str">
        <f ca="1">IFERROR(OFFSET(貼付け_2024実績,$A337,AZ$1+2),"")</f>
        <v/>
      </c>
      <c r="BA337" s="828" t="str">
        <f ca="1">IFERROR(OFFSET(貼付け_2025実績,$A337,BA$1+2),"")</f>
        <v/>
      </c>
      <c r="BB337" s="828" t="str">
        <f ca="1">IFERROR(OFFSET(貼付け_2026実績,$A337,BB$1+2),"")</f>
        <v/>
      </c>
      <c r="BC337" s="828" t="str">
        <f ca="1">IFERROR(OFFSET(貼付け_2027実績,$A337,BC$1+2),"")</f>
        <v/>
      </c>
      <c r="BD337" s="828" t="str">
        <f ca="1">IFERROR(OFFSET(貼付け_2024実績,$A337,BD$1+2),"")</f>
        <v/>
      </c>
      <c r="BE337" s="828" t="str">
        <f ca="1">IFERROR(OFFSET(貼付け_2025実績,$A337,BE$1+2),"")</f>
        <v/>
      </c>
      <c r="BF337" s="828" t="str">
        <f ca="1">IFERROR(OFFSET(貼付け_2026実績,$A337,BF$1+2),"")</f>
        <v/>
      </c>
      <c r="BG337" s="828" t="str">
        <f ca="1">IFERROR(OFFSET(貼付け_2027実績,$A337,BG$1+2),"")</f>
        <v/>
      </c>
      <c r="BH337" s="828" t="str">
        <f ca="1">IFERROR(OFFSET(貼付け_2024実績,$A337,BH$1+2),"")</f>
        <v/>
      </c>
      <c r="BI337" s="828" t="str">
        <f ca="1">IFERROR(OFFSET(貼付け_2025実績,$A337,BI$1+2),"")</f>
        <v/>
      </c>
      <c r="BJ337" s="828" t="str">
        <f ca="1">IFERROR(OFFSET(貼付け_2026実績,$A337,BJ$1+2),"")</f>
        <v/>
      </c>
      <c r="BK337" s="828" t="str">
        <f ca="1">IFERROR(OFFSET(貼付け_2027実績,$A337,BK$1+2),"")</f>
        <v/>
      </c>
      <c r="BL337" s="828" t="str">
        <f ca="1">IFERROR(OFFSET(貼付け_2024実績,$A337,BL$1+2),"")</f>
        <v/>
      </c>
      <c r="BM337" s="828" t="str">
        <f ca="1">IFERROR(OFFSET(貼付け_2025実績,$A337,BM$1+2),"")</f>
        <v/>
      </c>
      <c r="BN337" s="828" t="str">
        <f ca="1">IFERROR(OFFSET(貼付け_2026実績,$A337,BN$1+2),"")</f>
        <v/>
      </c>
      <c r="BO337" s="828" t="str">
        <f ca="1">IFERROR(OFFSET(貼付け_2027実績,$A337,BO$1+2),"")</f>
        <v/>
      </c>
      <c r="BP337" s="841"/>
    </row>
    <row r="338" spans="1:68" ht="20.100000000000001" customHeight="1">
      <c r="A338" s="823"/>
      <c r="B338" s="937"/>
      <c r="C338" s="944" t="s">
        <v>4664</v>
      </c>
      <c r="D338" s="887"/>
      <c r="E338" s="949"/>
      <c r="F338" s="940"/>
      <c r="G338" s="826" t="s">
        <v>4594</v>
      </c>
      <c r="H338" s="882"/>
      <c r="I338" s="882"/>
      <c r="J338" s="882"/>
      <c r="K338" s="882"/>
      <c r="L338" s="885">
        <f ca="1">SUM(L322:L332,L335,L337)</f>
        <v>0</v>
      </c>
      <c r="M338" s="885">
        <f t="shared" ref="M338:O338" ca="1" si="586">SUM(M322:M332,M335,M337)</f>
        <v>0</v>
      </c>
      <c r="N338" s="885">
        <f t="shared" ca="1" si="586"/>
        <v>0</v>
      </c>
      <c r="O338" s="885">
        <f t="shared" ca="1" si="586"/>
        <v>0</v>
      </c>
      <c r="P338" s="885">
        <f ca="1">SUM(P322:P332,P335,P337)</f>
        <v>0</v>
      </c>
      <c r="Q338" s="885">
        <f t="shared" ref="Q338:W338" ca="1" si="587">SUM(Q322:Q332,Q335,Q337)</f>
        <v>0</v>
      </c>
      <c r="R338" s="885">
        <f t="shared" ca="1" si="587"/>
        <v>0</v>
      </c>
      <c r="S338" s="885">
        <f t="shared" ca="1" si="587"/>
        <v>0</v>
      </c>
      <c r="T338" s="885">
        <f t="shared" ca="1" si="587"/>
        <v>0</v>
      </c>
      <c r="U338" s="885">
        <f t="shared" ca="1" si="587"/>
        <v>0</v>
      </c>
      <c r="V338" s="885">
        <f t="shared" ca="1" si="587"/>
        <v>0</v>
      </c>
      <c r="W338" s="885">
        <f t="shared" ca="1" si="587"/>
        <v>0</v>
      </c>
      <c r="X338" s="912"/>
      <c r="Y338" s="912"/>
      <c r="Z338" s="912"/>
      <c r="AA338" s="912"/>
      <c r="AB338" s="912"/>
      <c r="AC338" s="912"/>
      <c r="AD338" s="912"/>
      <c r="AE338" s="912"/>
      <c r="AF338" s="912"/>
      <c r="AG338" s="912"/>
      <c r="AH338" s="912"/>
      <c r="AI338" s="912"/>
      <c r="AJ338" s="912"/>
      <c r="AK338" s="912"/>
      <c r="AL338" s="912"/>
      <c r="AM338" s="912"/>
      <c r="AN338" s="912"/>
      <c r="AO338" s="912"/>
      <c r="AP338" s="912"/>
      <c r="AQ338" s="912"/>
      <c r="AR338" s="912"/>
      <c r="AS338" s="912"/>
      <c r="AT338" s="912"/>
      <c r="AU338" s="912"/>
      <c r="AV338" s="912"/>
      <c r="AW338" s="912"/>
      <c r="AX338" s="912"/>
      <c r="AY338" s="912"/>
      <c r="AZ338" s="912"/>
      <c r="BA338" s="912"/>
      <c r="BB338" s="912"/>
      <c r="BC338" s="912"/>
      <c r="BD338" s="912"/>
      <c r="BE338" s="912"/>
      <c r="BF338" s="912"/>
      <c r="BG338" s="912"/>
      <c r="BH338" s="912"/>
      <c r="BI338" s="912"/>
      <c r="BJ338" s="912"/>
      <c r="BK338" s="912"/>
      <c r="BL338" s="912"/>
      <c r="BM338" s="912"/>
      <c r="BN338" s="912"/>
      <c r="BO338" s="912"/>
      <c r="BP338" s="841"/>
    </row>
    <row r="339" spans="1:68" ht="20.100000000000001" customHeight="1">
      <c r="A339" s="823"/>
      <c r="B339" s="937"/>
      <c r="C339" s="944" t="s">
        <v>4665</v>
      </c>
      <c r="D339" s="887"/>
      <c r="E339" s="949"/>
      <c r="F339" s="940"/>
      <c r="G339" s="826" t="s">
        <v>4594</v>
      </c>
      <c r="H339" s="882"/>
      <c r="I339" s="882"/>
      <c r="J339" s="882"/>
      <c r="K339" s="882"/>
      <c r="L339" s="885">
        <f ca="1">SUM(L322:L337)</f>
        <v>0</v>
      </c>
      <c r="M339" s="885">
        <f t="shared" ref="M339:O339" ca="1" si="588">SUM(M322:M337)</f>
        <v>0</v>
      </c>
      <c r="N339" s="885">
        <f t="shared" ca="1" si="588"/>
        <v>0</v>
      </c>
      <c r="O339" s="885">
        <f t="shared" ca="1" si="588"/>
        <v>0</v>
      </c>
      <c r="P339" s="885">
        <f ca="1">SUM(P322:P337)</f>
        <v>0</v>
      </c>
      <c r="Q339" s="885">
        <f t="shared" ref="Q339:W339" ca="1" si="589">SUM(Q322:Q337)</f>
        <v>0</v>
      </c>
      <c r="R339" s="885">
        <f t="shared" ca="1" si="589"/>
        <v>0</v>
      </c>
      <c r="S339" s="885">
        <f t="shared" ca="1" si="589"/>
        <v>0</v>
      </c>
      <c r="T339" s="885">
        <f t="shared" ca="1" si="589"/>
        <v>0</v>
      </c>
      <c r="U339" s="885">
        <f t="shared" ca="1" si="589"/>
        <v>0</v>
      </c>
      <c r="V339" s="885">
        <f t="shared" ca="1" si="589"/>
        <v>0</v>
      </c>
      <c r="W339" s="885">
        <f t="shared" ca="1" si="589"/>
        <v>0</v>
      </c>
      <c r="X339" s="912"/>
      <c r="Y339" s="912"/>
      <c r="Z339" s="912"/>
      <c r="AA339" s="912"/>
      <c r="AB339" s="912"/>
      <c r="AC339" s="912"/>
      <c r="AD339" s="912"/>
      <c r="AE339" s="912"/>
      <c r="AF339" s="912"/>
      <c r="AG339" s="912"/>
      <c r="AH339" s="912"/>
      <c r="AI339" s="912"/>
      <c r="AJ339" s="912"/>
      <c r="AK339" s="912"/>
      <c r="AL339" s="912"/>
      <c r="AM339" s="912"/>
      <c r="AN339" s="912"/>
      <c r="AO339" s="912"/>
      <c r="AP339" s="912"/>
      <c r="AQ339" s="912"/>
      <c r="AR339" s="912"/>
      <c r="AS339" s="912"/>
      <c r="AT339" s="912"/>
      <c r="AU339" s="912"/>
      <c r="AV339" s="912"/>
      <c r="AW339" s="912"/>
      <c r="AX339" s="912"/>
      <c r="AY339" s="912"/>
      <c r="AZ339" s="912"/>
      <c r="BA339" s="912"/>
      <c r="BB339" s="912"/>
      <c r="BC339" s="912"/>
      <c r="BD339" s="912"/>
      <c r="BE339" s="912"/>
      <c r="BF339" s="912"/>
      <c r="BG339" s="912"/>
      <c r="BH339" s="912"/>
      <c r="BI339" s="912"/>
      <c r="BJ339" s="912"/>
      <c r="BK339" s="912"/>
      <c r="BL339" s="912"/>
      <c r="BM339" s="912"/>
      <c r="BN339" s="912"/>
      <c r="BO339" s="912"/>
      <c r="BP339" s="841"/>
    </row>
    <row r="340" spans="1:68" ht="20.100000000000001" customHeight="1">
      <c r="A340" s="822">
        <v>2</v>
      </c>
      <c r="B340" s="1872" t="s">
        <v>4666</v>
      </c>
      <c r="C340" s="1872"/>
      <c r="D340" s="824" t="s">
        <v>4597</v>
      </c>
      <c r="E340" s="824"/>
      <c r="F340" s="849" t="s">
        <v>4667</v>
      </c>
      <c r="G340" s="826" t="s">
        <v>4451</v>
      </c>
      <c r="H340" s="882"/>
      <c r="I340" s="882"/>
      <c r="J340" s="882"/>
      <c r="K340" s="882"/>
      <c r="L340" s="883">
        <f ca="1">SUMPRODUCT(ROUND((0&amp;L258:L305)*$H258:$H305,0))+ROUND(SUM(SUMIFS(OFFSET(A1_集計2024,$A340,11,1,199),OFFSET(貼付け_2024実績,4,9,1,199),{"横浜*","川崎*","県域*","エネルギー管理指定工場等*"})),0)</f>
        <v>0</v>
      </c>
      <c r="M340" s="883">
        <f ca="1">SUMPRODUCT(ROUND((0&amp;M258:M305)*$H258:$H305,0))+ROUND(SUM(SUMIFS(OFFSET(A1_集計2025,$A340,11,1,199),OFFSET(貼付け_2025実績,4,9,1,199),{"横浜*","川崎*","県域*","エネルギー管理指定工場等*"})),0)</f>
        <v>0</v>
      </c>
      <c r="N340" s="883">
        <f ca="1">SUMPRODUCT(ROUND((0&amp;N258:N305)*$H258:$H305,0))+ROUND(SUM(SUMIFS(OFFSET(A1_集計2026,$A340,11,1,199),OFFSET(貼付け_2026実績,4,9,1,199),{"横浜*","川崎*","県域*","エネルギー管理指定工場等*"})),0)</f>
        <v>0</v>
      </c>
      <c r="O340" s="883">
        <f ca="1">SUMPRODUCT(ROUND((0&amp;O258:O305)*$H258:$H305,0))+ROUND(SUM(SUMIFS(OFFSET(A1_集計2027,$A340,11,1,199),OFFSET(貼付け_2027実績,4,9,1,199),{"横浜*","川崎*","県域*","エネルギー管理指定工場等*"})),0)</f>
        <v>0</v>
      </c>
      <c r="P340" s="883">
        <f ca="1">SUMPRODUCT(ROUND((0&amp;P258:P305)*$H258:$H305,0))+ROUND(SUM(SUMIFS(OFFSET(A1_集計2024,$A340,11,1,199),OFFSET(貼付け_2024実績,4,9,1,199),{"横浜*","川崎*"})),0)</f>
        <v>0</v>
      </c>
      <c r="Q340" s="883">
        <f ca="1">SUMPRODUCT(ROUND((0&amp;Q258:Q305)*$H258:$H305,0))+ROUND(SUM(SUMIFS(OFFSET(A1_集計2025,$A340,11,1,199),OFFSET(貼付け_2025実績,4,9,1,199),{"横浜*","川崎*"})),0)</f>
        <v>0</v>
      </c>
      <c r="R340" s="883">
        <f ca="1">SUMPRODUCT(ROUND((0&amp;R258:R305)*$H258:$H305,0))+ROUND(SUM(SUMIFS(OFFSET(A1_集計2026,$A340,11,1,199),OFFSET(貼付け_2026実績,4,9,1,199),{"横浜*","川崎*"})),0)</f>
        <v>0</v>
      </c>
      <c r="S340" s="883">
        <f ca="1">SUMPRODUCT(ROUND((0&amp;S258:S305)*$H258:$H305,0))+ROUND(SUM(SUMIFS(OFFSET(A1_集計2027,$A340,11,1,199),OFFSET(貼付け_2027実績,4,9,1,199),{"横浜*","川崎*"})),0)</f>
        <v>0</v>
      </c>
      <c r="T340" s="883">
        <f ca="1">SUMPRODUCT(ROUND((0&amp;T258:T305)*$H258:$H305,0))+ROUND(SUM(SUMIFS(OFFSET(A1_集計2024,$A340,11,1,199),OFFSET(貼付け_2024実績,4,9,1,199),{"県域*","エネルギー管理指定工場等*"})),0)</f>
        <v>0</v>
      </c>
      <c r="U340" s="883">
        <f ca="1">SUMPRODUCT(ROUND((0&amp;U258:U305)*$H258:$H305,0))+ROUND(SUM(SUMIFS(OFFSET(A1_集計2025,$A340,11,1,199),OFFSET(貼付け_2025実績,4,9,1,199),{"県域*","エネルギー管理指定工場等*"})),0)</f>
        <v>0</v>
      </c>
      <c r="V340" s="883">
        <f ca="1">SUMPRODUCT(ROUND((0&amp;V258:V305)*$H258:$H305,0))+ROUND(SUM(SUMIFS(OFFSET(A1_集計2026,$A340,11,1,199),OFFSET(貼付け_2026実績,4,9,1,199),{"県域*","エネルギー管理指定工場等*"})),0)</f>
        <v>0</v>
      </c>
      <c r="W340" s="883">
        <f ca="1">SUMPRODUCT(ROUND((0&amp;W258:W305)*$H258:$H305,0))+ROUND(SUM(SUMIFS(OFFSET(A1_集計2027,$A340,11,1,199),OFFSET(貼付け_2027実績,4,9,1,199),{"県域*","エネルギー管理指定工場等*"})),0)</f>
        <v>0</v>
      </c>
      <c r="X340" s="883">
        <f ca="1">SUMPRODUCT(ROUND((0&amp;X258:X305)*$H258:$H305,0))+ROUND(SUMIFS(OFFSET(A1_集計2024,$A340,11,1,199),OFFSET(貼付け_2024実績,4,9,1,199),"県域*"),0)</f>
        <v>0</v>
      </c>
      <c r="Y340" s="883">
        <f ca="1">SUMPRODUCT(ROUND((0&amp;Y258:Y305)*$H258:$H305,0))+ROUND(SUMIFS(OFFSET(A1_集計2025,$A340,11,1,199),OFFSET(貼付け_2025実績,4,9,1,199),"県域*"),0)</f>
        <v>0</v>
      </c>
      <c r="Z340" s="883">
        <f ca="1">SUMPRODUCT(ROUND((0&amp;Z258:Z305)*$H258:$H305,0))+ROUND(SUMIFS(OFFSET(A1_集計2026,$A340,11,1,199),OFFSET(貼付け_2026実績,4,9,1,199),"県域*"),0)</f>
        <v>0</v>
      </c>
      <c r="AA340" s="883">
        <f ca="1">SUMPRODUCT(ROUND((0&amp;AA258:AA305)*$H258:$H305,0))+ROUND(SUMIFS(OFFSET(A1_集計2027,$A340,11,1,199),OFFSET(貼付け_2027実績,4,9,1,199),"県域*"),0)</f>
        <v>0</v>
      </c>
      <c r="AB340" s="883">
        <f ca="1">SUMPRODUCT(ROUND((0&amp;AB258:AB305)*$H258:$H305,0))+ROUND(IFERROR(OFFSET(A1_集計2024,$A340,AB$1+2),0),0)</f>
        <v>0</v>
      </c>
      <c r="AC340" s="883">
        <f ca="1">SUMPRODUCT(ROUND((0&amp;AC258:AC305)*$H258:$H305,0))+ROUND(IFERROR(OFFSET(A1_集計2025,$A340,AC$1+2),0),0)</f>
        <v>0</v>
      </c>
      <c r="AD340" s="883">
        <f ca="1">SUMPRODUCT(ROUND((0&amp;AD258:AD305)*$H258:$H305,0))+ROUND(IFERROR(OFFSET(A1_集計2026,$A340,AD$1+2),0),0)</f>
        <v>0</v>
      </c>
      <c r="AE340" s="883">
        <f ca="1">SUMPRODUCT(ROUND((0&amp;AE258:AE305)*$H258:$H305,0))+ROUND(IFERROR(OFFSET(A1_集計2027,$A340,AE$1+2),0),0)</f>
        <v>0</v>
      </c>
      <c r="AF340" s="883">
        <f ca="1">SUMPRODUCT(ROUND((0&amp;AF258:AF305)*$H258:$H305,0))+ROUND(IFERROR(OFFSET(A1_集計2024,$A340,AF$1+2),0),0)</f>
        <v>0</v>
      </c>
      <c r="AG340" s="883">
        <f ca="1">SUMPRODUCT(ROUND((0&amp;AG258:AG305)*$H258:$H305,0))+ROUND(IFERROR(OFFSET(A1_集計2025,$A340,AG$1+2),0),0)</f>
        <v>0</v>
      </c>
      <c r="AH340" s="883">
        <f ca="1">SUMPRODUCT(ROUND((0&amp;AH258:AH305)*$H258:$H305,0))+ROUND(IFERROR(OFFSET(A1_集計2026,$A340,AH$1+2),0),0)</f>
        <v>0</v>
      </c>
      <c r="AI340" s="883">
        <f ca="1">SUMPRODUCT(ROUND((0&amp;AI258:AI305)*$H258:$H305,0))+ROUND(IFERROR(OFFSET(A1_集計2027,$A340,AI$1+2),0),0)</f>
        <v>0</v>
      </c>
      <c r="AJ340" s="883">
        <f ca="1">SUMPRODUCT(ROUND((0&amp;AJ258:AJ305)*$H258:$H305,0))+ROUND(IFERROR(OFFSET(A1_集計2024,$A340,AJ$1+2),0),0)</f>
        <v>0</v>
      </c>
      <c r="AK340" s="883">
        <f ca="1">SUMPRODUCT(ROUND((0&amp;AK258:AK305)*$H258:$H305,0))+ROUND(IFERROR(OFFSET(A1_集計2025,$A340,AK$1+2),0),0)</f>
        <v>0</v>
      </c>
      <c r="AL340" s="883">
        <f ca="1">SUMPRODUCT(ROUND((0&amp;AL258:AL305)*$H258:$H305,0))+ROUND(IFERROR(OFFSET(A1_集計2026,$A340,AL$1+2),0),0)</f>
        <v>0</v>
      </c>
      <c r="AM340" s="883">
        <f ca="1">SUMPRODUCT(ROUND((0&amp;AM258:AM305)*$H258:$H305,0))+ROUND(IFERROR(OFFSET(A1_集計2027,$A340,AM$1+2),0),0)</f>
        <v>0</v>
      </c>
      <c r="AN340" s="883">
        <f ca="1">SUMPRODUCT(ROUND((0&amp;AN258:AN305)*$H258:$H305,0))+ROUND(IFERROR(OFFSET(A1_集計2024,$A340,AN$1+2),0),0)</f>
        <v>0</v>
      </c>
      <c r="AO340" s="883">
        <f ca="1">SUMPRODUCT(ROUND((0&amp;AO258:AO305)*$H258:$H305,0))+ROUND(IFERROR(OFFSET(A1_集計2025,$A340,AO$1+2),0),0)</f>
        <v>0</v>
      </c>
      <c r="AP340" s="883">
        <f ca="1">SUMPRODUCT(ROUND((0&amp;AP258:AP305)*$H258:$H305,0))+ROUND(IFERROR(OFFSET(A1_集計2026,$A340,AP$1+2),0),0)</f>
        <v>0</v>
      </c>
      <c r="AQ340" s="883">
        <f ca="1">SUMPRODUCT(ROUND((0&amp;AQ258:AQ305)*$H258:$H305,0))+ROUND(IFERROR(OFFSET(A1_集計2027,$A340,AQ$1+2),0),0)</f>
        <v>0</v>
      </c>
      <c r="AR340" s="883">
        <f ca="1">SUMPRODUCT(ROUND((0&amp;AR258:AR305)*$H258:$H305,0))+ROUND(IFERROR(OFFSET(A1_集計2024,$A340,AR$1+2),0),0)</f>
        <v>0</v>
      </c>
      <c r="AS340" s="883">
        <f ca="1">SUMPRODUCT(ROUND((0&amp;AS258:AS305)*$H258:$H305,0))+ROUND(IFERROR(OFFSET(A1_集計2025,$A340,AS$1+2),0),0)</f>
        <v>0</v>
      </c>
      <c r="AT340" s="883">
        <f ca="1">SUMPRODUCT(ROUND((0&amp;AT258:AT305)*$H258:$H305,0))+ROUND(IFERROR(OFFSET(A1_集計2026,$A340,AT$1+2),0),0)</f>
        <v>0</v>
      </c>
      <c r="AU340" s="883">
        <f ca="1">SUMPRODUCT(ROUND((0&amp;AU258:AU305)*$H258:$H305,0))+ROUND(IFERROR(OFFSET(A1_集計2027,$A340,AU$1+2),0),0)</f>
        <v>0</v>
      </c>
      <c r="AV340" s="883">
        <f ca="1">SUMPRODUCT(ROUND((0&amp;AV258:AV305)*$H258:$H305,0))+ROUND(IFERROR(OFFSET(A1_集計2024,$A340,AV$1+2),0),0)</f>
        <v>0</v>
      </c>
      <c r="AW340" s="883">
        <f ca="1">SUMPRODUCT(ROUND((0&amp;AW258:AW305)*$H258:$H305,0))+ROUND(IFERROR(OFFSET(A1_集計2025,$A340,AW$1+2),0),0)</f>
        <v>0</v>
      </c>
      <c r="AX340" s="883">
        <f ca="1">SUMPRODUCT(ROUND((0&amp;AX258:AX305)*$H258:$H305,0))+ROUND(IFERROR(OFFSET(A1_集計2026,$A340,AX$1+2),0),0)</f>
        <v>0</v>
      </c>
      <c r="AY340" s="883">
        <f ca="1">SUMPRODUCT(ROUND((0&amp;AY258:AY305)*$H258:$H305,0))+ROUND(IFERROR(OFFSET(A1_集計2027,$A340,AY$1+2),0),0)</f>
        <v>0</v>
      </c>
      <c r="AZ340" s="883">
        <f ca="1">SUMPRODUCT(ROUND((0&amp;AZ258:AZ305)*$H258:$H305,0))+ROUND(IFERROR(OFFSET(A1_集計2024,$A340,AZ$1+2),0),0)</f>
        <v>0</v>
      </c>
      <c r="BA340" s="883">
        <f ca="1">SUMPRODUCT(ROUND((0&amp;BA258:BA305)*$H258:$H305,0))+ROUND(IFERROR(OFFSET(A1_集計2025,$A340,BA$1+2),0),0)</f>
        <v>0</v>
      </c>
      <c r="BB340" s="883">
        <f ca="1">SUMPRODUCT(ROUND((0&amp;BB258:BB305)*$H258:$H305,0))+ROUND(IFERROR(OFFSET(A1_集計2026,$A340,BB$1+2),0),0)</f>
        <v>0</v>
      </c>
      <c r="BC340" s="883">
        <f ca="1">SUMPRODUCT(ROUND((0&amp;BC258:BC305)*$H258:$H305,0))+ROUND(IFERROR(OFFSET(A1_集計2027,$A340,BC$1+2),0),0)</f>
        <v>0</v>
      </c>
      <c r="BD340" s="883">
        <f ca="1">SUMPRODUCT(ROUND((0&amp;BD258:BD305)*$H258:$H305,0))+ROUND(IFERROR(OFFSET(A1_集計2024,$A340,BD$1+2),0),0)</f>
        <v>0</v>
      </c>
      <c r="BE340" s="883">
        <f ca="1">SUMPRODUCT(ROUND((0&amp;BE258:BE305)*$H258:$H305,0))+ROUND(IFERROR(OFFSET(A1_集計2025,$A340,BE$1+2),0),0)</f>
        <v>0</v>
      </c>
      <c r="BF340" s="883">
        <f ca="1">SUMPRODUCT(ROUND((0&amp;BF258:BF305)*$H258:$H305,0))+ROUND(IFERROR(OFFSET(A1_集計2026,$A340,BF$1+2),0),0)</f>
        <v>0</v>
      </c>
      <c r="BG340" s="883">
        <f ca="1">SUMPRODUCT(ROUND((0&amp;BG258:BG305)*$H258:$H305,0))+ROUND(IFERROR(OFFSET(A1_集計2027,$A340,BG$1+2),0),0)</f>
        <v>0</v>
      </c>
      <c r="BH340" s="883">
        <f ca="1">SUMPRODUCT(ROUND((0&amp;BH258:BH305)*$H258:$H305,0))+ROUND(IFERROR(OFFSET(A1_集計2024,$A340,BH$1+2),0),0)</f>
        <v>0</v>
      </c>
      <c r="BI340" s="883">
        <f ca="1">SUMPRODUCT(ROUND((0&amp;BI258:BI305)*$H258:$H305,0))+ROUND(IFERROR(OFFSET(A1_集計2025,$A340,BI$1+2),0),0)</f>
        <v>0</v>
      </c>
      <c r="BJ340" s="883">
        <f ca="1">SUMPRODUCT(ROUND((0&amp;BJ258:BJ305)*$H258:$H305,0))+ROUND(IFERROR(OFFSET(A1_集計2026,$A340,BJ$1+2),0),0)</f>
        <v>0</v>
      </c>
      <c r="BK340" s="883">
        <f ca="1">SUMPRODUCT(ROUND((0&amp;BK258:BK305)*$H258:$H305,0))+ROUND(IFERROR(OFFSET(A1_集計2027,$A340,BK$1+2),0),0)</f>
        <v>0</v>
      </c>
      <c r="BL340" s="883">
        <f ca="1">SUMPRODUCT(ROUND((0&amp;BL258:BL305)*$H258:$H305,0))+ROUND(IFERROR(OFFSET(A1_集計2024,$A340,BL$1+2),0),0)</f>
        <v>0</v>
      </c>
      <c r="BM340" s="883">
        <f ca="1">SUMPRODUCT(ROUND((0&amp;BM258:BM305)*$H258:$H305,0))+ROUND(IFERROR(OFFSET(A1_集計2025,$A340,BM$1+2),0),0)</f>
        <v>0</v>
      </c>
      <c r="BN340" s="883">
        <f ca="1">SUMPRODUCT(ROUND((0&amp;BN258:BN305)*$H258:$H305,0))+ROUND(IFERROR(OFFSET(A1_集計2026,$A340,BN$1+2),0),0)</f>
        <v>0</v>
      </c>
      <c r="BO340" s="883">
        <f ca="1">SUMPRODUCT(ROUND((0&amp;BO258:BO305)*$H258:$H305,0))+ROUND(IFERROR(OFFSET(A1_集計2027,$A340,BO$1+2),0),0)</f>
        <v>0</v>
      </c>
      <c r="BP340" s="841"/>
    </row>
    <row r="341" spans="1:68" ht="20.100000000000001" customHeight="1">
      <c r="A341" s="822"/>
      <c r="B341" s="1872"/>
      <c r="C341" s="1872"/>
      <c r="D341" s="824" t="s">
        <v>4598</v>
      </c>
      <c r="E341" s="824"/>
      <c r="F341" s="849" t="s">
        <v>4668</v>
      </c>
      <c r="G341" s="826" t="s">
        <v>4451</v>
      </c>
      <c r="H341" s="882"/>
      <c r="I341" s="882"/>
      <c r="J341" s="882"/>
      <c r="K341" s="882"/>
      <c r="L341" s="883">
        <f ca="1">SUMPRODUCT(ROUND((0&amp;L306:L316)*$H306:$H316,0))</f>
        <v>0</v>
      </c>
      <c r="M341" s="883">
        <f ca="1">SUMPRODUCT(ROUND((0&amp;M306:M316)*$I306:$I316,0))</f>
        <v>0</v>
      </c>
      <c r="N341" s="883">
        <f ca="1">SUMPRODUCT(ROUND((0&amp;N306:N316)*$J306:$J316,0))</f>
        <v>0</v>
      </c>
      <c r="O341" s="883">
        <f ca="1">SUMPRODUCT(ROUND((0&amp;O306:O316)*$K306:$K316,0))</f>
        <v>0</v>
      </c>
      <c r="P341" s="883">
        <f ca="1">SUMPRODUCT(ROUND((0&amp;P306:P316)*$H306:$H316,0))</f>
        <v>0</v>
      </c>
      <c r="Q341" s="883">
        <f ca="1">SUMPRODUCT(ROUND((0&amp;Q306:Q316)*$I306:$I316,0))</f>
        <v>0</v>
      </c>
      <c r="R341" s="883">
        <f ca="1">SUMPRODUCT(ROUND((0&amp;R306:R316)*$J306:$J316,0))</f>
        <v>0</v>
      </c>
      <c r="S341" s="883">
        <f ca="1">SUMPRODUCT(ROUND((0&amp;S306:S316)*$K306:$K316,0))</f>
        <v>0</v>
      </c>
      <c r="T341" s="883">
        <f ca="1">SUMPRODUCT(ROUND((0&amp;T306:T316)*$H306:$H316,0))</f>
        <v>0</v>
      </c>
      <c r="U341" s="883">
        <f ca="1">SUMPRODUCT(ROUND((0&amp;U306:U316)*$I306:$I316,0))</f>
        <v>0</v>
      </c>
      <c r="V341" s="883">
        <f ca="1">SUMPRODUCT(ROUND((0&amp;V306:V316)*$J306:$J316,0))</f>
        <v>0</v>
      </c>
      <c r="W341" s="883">
        <f ca="1">SUMPRODUCT(ROUND((0&amp;W306:W316)*$K306:$K316,0))</f>
        <v>0</v>
      </c>
      <c r="X341" s="883">
        <f ca="1">SUMPRODUCT(ROUND((0&amp;X306:X316)*$H306:$H316,0))</f>
        <v>0</v>
      </c>
      <c r="Y341" s="883">
        <f ca="1">SUMPRODUCT(ROUND((0&amp;Y306:Y316)*$I306:$I316,0))</f>
        <v>0</v>
      </c>
      <c r="Z341" s="883">
        <f ca="1">SUMPRODUCT(ROUND((0&amp;Z306:Z316)*$J306:$J316,0))</f>
        <v>0</v>
      </c>
      <c r="AA341" s="883">
        <f ca="1">SUMPRODUCT(ROUND((0&amp;AA306:AA316)*$K306:$K316,0))</f>
        <v>0</v>
      </c>
      <c r="AB341" s="883">
        <f ca="1">SUMPRODUCT(ROUND((0&amp;AB306:AB316)*$H306:$H316,0))</f>
        <v>0</v>
      </c>
      <c r="AC341" s="883">
        <f ca="1">SUMPRODUCT(ROUND((0&amp;AC306:AC316)*$I306:$I316,0))</f>
        <v>0</v>
      </c>
      <c r="AD341" s="883">
        <f ca="1">SUMPRODUCT(ROUND((0&amp;AD306:AD316)*$J306:$J316,0))</f>
        <v>0</v>
      </c>
      <c r="AE341" s="883">
        <f ca="1">SUMPRODUCT(ROUND((0&amp;AE306:AE316)*$K306:$K316,0))</f>
        <v>0</v>
      </c>
      <c r="AF341" s="883">
        <f ca="1">SUMPRODUCT(ROUND((0&amp;AF306:AF316)*$H306:$H316,0))</f>
        <v>0</v>
      </c>
      <c r="AG341" s="883">
        <f ca="1">SUMPRODUCT(ROUND((0&amp;AG306:AG316)*$I306:$I316,0))</f>
        <v>0</v>
      </c>
      <c r="AH341" s="883">
        <f ca="1">SUMPRODUCT(ROUND((0&amp;AH306:AH316)*$J306:$J316,0))</f>
        <v>0</v>
      </c>
      <c r="AI341" s="883">
        <f ca="1">SUMPRODUCT(ROUND((0&amp;AI306:AI316)*$K306:$K316,0))</f>
        <v>0</v>
      </c>
      <c r="AJ341" s="883">
        <f ca="1">SUMPRODUCT(ROUND((0&amp;AJ306:AJ316)*$H306:$H316,0))</f>
        <v>0</v>
      </c>
      <c r="AK341" s="883">
        <f ca="1">SUMPRODUCT(ROUND((0&amp;AK306:AK316)*$I306:$I316,0))</f>
        <v>0</v>
      </c>
      <c r="AL341" s="883">
        <f ca="1">SUMPRODUCT(ROUND((0&amp;AL306:AL316)*$J306:$J316,0))</f>
        <v>0</v>
      </c>
      <c r="AM341" s="883">
        <f ca="1">SUMPRODUCT(ROUND((0&amp;AM306:AM316)*$K306:$K316,0))</f>
        <v>0</v>
      </c>
      <c r="AN341" s="883">
        <f ca="1">SUMPRODUCT(ROUND((0&amp;AN306:AN316)*$H306:$H316,0))</f>
        <v>0</v>
      </c>
      <c r="AO341" s="883">
        <f ca="1">SUMPRODUCT(ROUND((0&amp;AO306:AO316)*$I306:$I316,0))</f>
        <v>0</v>
      </c>
      <c r="AP341" s="883">
        <f ca="1">SUMPRODUCT(ROUND((0&amp;AP306:AP316)*$J306:$J316,0))</f>
        <v>0</v>
      </c>
      <c r="AQ341" s="883">
        <f ca="1">SUMPRODUCT(ROUND((0&amp;AQ306:AQ316)*$K306:$K316,0))</f>
        <v>0</v>
      </c>
      <c r="AR341" s="883">
        <f ca="1">SUMPRODUCT(ROUND((0&amp;AR306:AR316)*$H306:$H316,0))</f>
        <v>0</v>
      </c>
      <c r="AS341" s="883">
        <f ca="1">SUMPRODUCT(ROUND((0&amp;AS306:AS316)*$I306:$I316,0))</f>
        <v>0</v>
      </c>
      <c r="AT341" s="883">
        <f ca="1">SUMPRODUCT(ROUND((0&amp;AT306:AT316)*$J306:$J316,0))</f>
        <v>0</v>
      </c>
      <c r="AU341" s="883">
        <f ca="1">SUMPRODUCT(ROUND((0&amp;AU306:AU316)*$K306:$K316,0))</f>
        <v>0</v>
      </c>
      <c r="AV341" s="883">
        <f ca="1">SUMPRODUCT(ROUND((0&amp;AV306:AV316)*$H306:$H316,0))</f>
        <v>0</v>
      </c>
      <c r="AW341" s="883">
        <f ca="1">SUMPRODUCT(ROUND((0&amp;AW306:AW316)*$I306:$I316,0))</f>
        <v>0</v>
      </c>
      <c r="AX341" s="883">
        <f ca="1">SUMPRODUCT(ROUND((0&amp;AX306:AX316)*$J306:$J316,0))</f>
        <v>0</v>
      </c>
      <c r="AY341" s="883">
        <f ca="1">SUMPRODUCT(ROUND((0&amp;AY306:AY316)*$K306:$K316,0))</f>
        <v>0</v>
      </c>
      <c r="AZ341" s="883">
        <f ca="1">SUMPRODUCT(ROUND((0&amp;AZ306:AZ316)*$H306:$H316,0))</f>
        <v>0</v>
      </c>
      <c r="BA341" s="883">
        <f ca="1">SUMPRODUCT(ROUND((0&amp;BA306:BA316)*$I306:$I316,0))</f>
        <v>0</v>
      </c>
      <c r="BB341" s="883">
        <f ca="1">SUMPRODUCT(ROUND((0&amp;BB306:BB316)*$J306:$J316,0))</f>
        <v>0</v>
      </c>
      <c r="BC341" s="883">
        <f ca="1">SUMPRODUCT(ROUND((0&amp;BC306:BC316)*$K306:$K316,0))</f>
        <v>0</v>
      </c>
      <c r="BD341" s="883">
        <f ca="1">SUMPRODUCT(ROUND((0&amp;BD306:BD316)*$H306:$H316,0))</f>
        <v>0</v>
      </c>
      <c r="BE341" s="883">
        <f ca="1">SUMPRODUCT(ROUND((0&amp;BE306:BE316)*$I306:$I316,0))</f>
        <v>0</v>
      </c>
      <c r="BF341" s="883">
        <f ca="1">SUMPRODUCT(ROUND((0&amp;BF306:BF316)*$J306:$J316,0))</f>
        <v>0</v>
      </c>
      <c r="BG341" s="883">
        <f ca="1">SUMPRODUCT(ROUND((0&amp;BG306:BG316)*$K306:$K316,0))</f>
        <v>0</v>
      </c>
      <c r="BH341" s="883">
        <f ca="1">SUMPRODUCT(ROUND((0&amp;BH306:BH316)*$H306:$H316,0))</f>
        <v>0</v>
      </c>
      <c r="BI341" s="883">
        <f ca="1">SUMPRODUCT(ROUND((0&amp;BI306:BI316)*$I306:$I316,0))</f>
        <v>0</v>
      </c>
      <c r="BJ341" s="883">
        <f ca="1">SUMPRODUCT(ROUND((0&amp;BJ306:BJ316)*$J306:$J316,0))</f>
        <v>0</v>
      </c>
      <c r="BK341" s="883">
        <f ca="1">SUMPRODUCT(ROUND((0&amp;BK306:BK316)*$K306:$K316,0))</f>
        <v>0</v>
      </c>
      <c r="BL341" s="883">
        <f ca="1">SUMPRODUCT(ROUND((0&amp;BL306:BL316)*$H306:$H316,0))</f>
        <v>0</v>
      </c>
      <c r="BM341" s="883">
        <f ca="1">SUMPRODUCT(ROUND((0&amp;BM306:BM316)*$I306:$I316,0))</f>
        <v>0</v>
      </c>
      <c r="BN341" s="883">
        <f ca="1">SUMPRODUCT(ROUND((0&amp;BN306:BN316)*$J306:$J316,0))</f>
        <v>0</v>
      </c>
      <c r="BO341" s="883">
        <f ca="1">SUMPRODUCT(ROUND((0&amp;BO306:BO316)*$K306:$K316,0))</f>
        <v>0</v>
      </c>
      <c r="BP341" s="841"/>
    </row>
    <row r="342" spans="1:68" ht="20.100000000000001" customHeight="1">
      <c r="A342" s="822"/>
      <c r="B342" s="1872"/>
      <c r="C342" s="1872"/>
      <c r="D342" s="824" t="s">
        <v>4599</v>
      </c>
      <c r="E342" s="824" t="s">
        <v>4669</v>
      </c>
      <c r="F342" s="849" t="s">
        <v>4670</v>
      </c>
      <c r="G342" s="826" t="s">
        <v>4451</v>
      </c>
      <c r="H342" s="882"/>
      <c r="I342" s="882"/>
      <c r="J342" s="882"/>
      <c r="K342" s="882"/>
      <c r="L342" s="883">
        <f ca="1">SUMPRODUCT(ROUND((0&amp;L317:L333)*$H317:$H333,0))</f>
        <v>0</v>
      </c>
      <c r="M342" s="883">
        <f ca="1">SUMPRODUCT(ROUND((0&amp;M317:M333)*$I317:$I333,0))</f>
        <v>0</v>
      </c>
      <c r="N342" s="883">
        <f ca="1">SUMPRODUCT(ROUND((0&amp;N317:N333)*$J317:$J333,0))</f>
        <v>0</v>
      </c>
      <c r="O342" s="883">
        <f ca="1">SUMPRODUCT(ROUND((0&amp;O317:O333)*$K317:$K333,0))</f>
        <v>0</v>
      </c>
      <c r="P342" s="883">
        <f ca="1">SUMPRODUCT(ROUND((0&amp;P317:P333)*$H317:$H333,0))</f>
        <v>0</v>
      </c>
      <c r="Q342" s="883">
        <f ca="1">SUMPRODUCT(ROUND((0&amp;Q317:Q333)*$I317:$I333,0))</f>
        <v>0</v>
      </c>
      <c r="R342" s="883">
        <f ca="1">SUMPRODUCT(ROUND((0&amp;R317:R333)*$J317:$J333,0))</f>
        <v>0</v>
      </c>
      <c r="S342" s="883">
        <f ca="1">SUMPRODUCT(ROUND((0&amp;S317:S333)*$K317:$K333,0))</f>
        <v>0</v>
      </c>
      <c r="T342" s="883">
        <f ca="1">SUMPRODUCT(ROUND((0&amp;T317:T333)*$H317:$H333,0))</f>
        <v>0</v>
      </c>
      <c r="U342" s="883">
        <f ca="1">SUMPRODUCT(ROUND((0&amp;U317:U333)*$I317:$I333,0))</f>
        <v>0</v>
      </c>
      <c r="V342" s="883">
        <f ca="1">SUMPRODUCT(ROUND((0&amp;V317:V333)*$J317:$J333,0))</f>
        <v>0</v>
      </c>
      <c r="W342" s="883">
        <f ca="1">SUMPRODUCT(ROUND((0&amp;W317:W333)*$K317:$K333,0))</f>
        <v>0</v>
      </c>
      <c r="X342" s="883">
        <f ca="1">SUMPRODUCT(ROUND((0&amp;X317:X333)*$H317:$H333,0))</f>
        <v>0</v>
      </c>
      <c r="Y342" s="883">
        <f ca="1">SUMPRODUCT(ROUND((0&amp;Y317:Y333)*$I317:$I333,0))</f>
        <v>0</v>
      </c>
      <c r="Z342" s="883">
        <f ca="1">SUMPRODUCT(ROUND((0&amp;Z317:Z333)*$J317:$J333,0))</f>
        <v>0</v>
      </c>
      <c r="AA342" s="883">
        <f ca="1">SUMPRODUCT(ROUND((0&amp;AA317:AA333)*$K317:$K333,0))</f>
        <v>0</v>
      </c>
      <c r="AB342" s="883">
        <f ca="1">SUMPRODUCT(ROUND((0&amp;AB317:AB333)*$H317:$H333,0))</f>
        <v>0</v>
      </c>
      <c r="AC342" s="883">
        <f ca="1">SUMPRODUCT(ROUND((0&amp;AC317:AC333)*$I317:$I333,0))</f>
        <v>0</v>
      </c>
      <c r="AD342" s="883">
        <f ca="1">SUMPRODUCT(ROUND((0&amp;AD317:AD333)*$J317:$J333,0))</f>
        <v>0</v>
      </c>
      <c r="AE342" s="883">
        <f ca="1">SUMPRODUCT(ROUND((0&amp;AE317:AE333)*$K317:$K333,0))</f>
        <v>0</v>
      </c>
      <c r="AF342" s="883">
        <f ca="1">SUMPRODUCT(ROUND((0&amp;AF317:AF333)*$H317:$H333,0))</f>
        <v>0</v>
      </c>
      <c r="AG342" s="883">
        <f ca="1">SUMPRODUCT(ROUND((0&amp;AG317:AG333)*$I317:$I333,0))</f>
        <v>0</v>
      </c>
      <c r="AH342" s="883">
        <f ca="1">SUMPRODUCT(ROUND((0&amp;AH317:AH333)*$J317:$J333,0))</f>
        <v>0</v>
      </c>
      <c r="AI342" s="883">
        <f ca="1">SUMPRODUCT(ROUND((0&amp;AI317:AI333)*$K317:$K333,0))</f>
        <v>0</v>
      </c>
      <c r="AJ342" s="883">
        <f ca="1">SUMPRODUCT(ROUND((0&amp;AJ317:AJ333)*$H317:$H333,0))</f>
        <v>0</v>
      </c>
      <c r="AK342" s="883">
        <f ca="1">SUMPRODUCT(ROUND((0&amp;AK317:AK333)*$I317:$I333,0))</f>
        <v>0</v>
      </c>
      <c r="AL342" s="883">
        <f ca="1">SUMPRODUCT(ROUND((0&amp;AL317:AL333)*$J317:$J333,0))</f>
        <v>0</v>
      </c>
      <c r="AM342" s="883">
        <f ca="1">SUMPRODUCT(ROUND((0&amp;AM317:AM333)*$K317:$K333,0))</f>
        <v>0</v>
      </c>
      <c r="AN342" s="883">
        <f ca="1">SUMPRODUCT(ROUND((0&amp;AN317:AN333)*$H317:$H333,0))</f>
        <v>0</v>
      </c>
      <c r="AO342" s="883">
        <f ca="1">SUMPRODUCT(ROUND((0&amp;AO317:AO333)*$I317:$I333,0))</f>
        <v>0</v>
      </c>
      <c r="AP342" s="883">
        <f ca="1">SUMPRODUCT(ROUND((0&amp;AP317:AP333)*$J317:$J333,0))</f>
        <v>0</v>
      </c>
      <c r="AQ342" s="883">
        <f ca="1">SUMPRODUCT(ROUND((0&amp;AQ317:AQ333)*$K317:$K333,0))</f>
        <v>0</v>
      </c>
      <c r="AR342" s="883">
        <f ca="1">SUMPRODUCT(ROUND((0&amp;AR317:AR333)*$H317:$H333,0))</f>
        <v>0</v>
      </c>
      <c r="AS342" s="883">
        <f ca="1">SUMPRODUCT(ROUND((0&amp;AS317:AS333)*$I317:$I333,0))</f>
        <v>0</v>
      </c>
      <c r="AT342" s="883">
        <f ca="1">SUMPRODUCT(ROUND((0&amp;AT317:AT333)*$J317:$J333,0))</f>
        <v>0</v>
      </c>
      <c r="AU342" s="883">
        <f ca="1">SUMPRODUCT(ROUND((0&amp;AU317:AU333)*$K317:$K333,0))</f>
        <v>0</v>
      </c>
      <c r="AV342" s="883">
        <f ca="1">SUMPRODUCT(ROUND((0&amp;AV317:AV333)*$H317:$H333,0))</f>
        <v>0</v>
      </c>
      <c r="AW342" s="883">
        <f ca="1">SUMPRODUCT(ROUND((0&amp;AW317:AW333)*$I317:$I333,0))</f>
        <v>0</v>
      </c>
      <c r="AX342" s="883">
        <f ca="1">SUMPRODUCT(ROUND((0&amp;AX317:AX333)*$J317:$J333,0))</f>
        <v>0</v>
      </c>
      <c r="AY342" s="883">
        <f ca="1">SUMPRODUCT(ROUND((0&amp;AY317:AY333)*$K317:$K333,0))</f>
        <v>0</v>
      </c>
      <c r="AZ342" s="883">
        <f ca="1">SUMPRODUCT(ROUND((0&amp;AZ317:AZ333)*$H317:$H333,0))</f>
        <v>0</v>
      </c>
      <c r="BA342" s="883">
        <f ca="1">SUMPRODUCT(ROUND((0&amp;BA317:BA333)*$I317:$I333,0))</f>
        <v>0</v>
      </c>
      <c r="BB342" s="883">
        <f ca="1">SUMPRODUCT(ROUND((0&amp;BB317:BB333)*$J317:$J333,0))</f>
        <v>0</v>
      </c>
      <c r="BC342" s="883">
        <f ca="1">SUMPRODUCT(ROUND((0&amp;BC317:BC333)*$K317:$K333,0))</f>
        <v>0</v>
      </c>
      <c r="BD342" s="883">
        <f ca="1">SUMPRODUCT(ROUND((0&amp;BD317:BD333)*$H317:$H333,0))</f>
        <v>0</v>
      </c>
      <c r="BE342" s="883">
        <f ca="1">SUMPRODUCT(ROUND((0&amp;BE317:BE333)*$I317:$I333,0))</f>
        <v>0</v>
      </c>
      <c r="BF342" s="883">
        <f ca="1">SUMPRODUCT(ROUND((0&amp;BF317:BF333)*$J317:$J333,0))</f>
        <v>0</v>
      </c>
      <c r="BG342" s="883">
        <f ca="1">SUMPRODUCT(ROUND((0&amp;BG317:BG333)*$K317:$K333,0))</f>
        <v>0</v>
      </c>
      <c r="BH342" s="883">
        <f ca="1">SUMPRODUCT(ROUND((0&amp;BH317:BH333)*$H317:$H333,0))</f>
        <v>0</v>
      </c>
      <c r="BI342" s="883">
        <f ca="1">SUMPRODUCT(ROUND((0&amp;BI317:BI333)*$I317:$I333,0))</f>
        <v>0</v>
      </c>
      <c r="BJ342" s="883">
        <f ca="1">SUMPRODUCT(ROUND((0&amp;BJ317:BJ333)*$J317:$J333,0))</f>
        <v>0</v>
      </c>
      <c r="BK342" s="883">
        <f ca="1">SUMPRODUCT(ROUND((0&amp;BK317:BK333)*$K317:$K333,0))</f>
        <v>0</v>
      </c>
      <c r="BL342" s="883">
        <f ca="1">SUMPRODUCT(ROUND((0&amp;BL317:BL333)*$H317:$H333,0))</f>
        <v>0</v>
      </c>
      <c r="BM342" s="883">
        <f ca="1">SUMPRODUCT(ROUND((0&amp;BM317:BM333)*$I317:$I333,0))</f>
        <v>0</v>
      </c>
      <c r="BN342" s="883">
        <f ca="1">SUMPRODUCT(ROUND((0&amp;BN317:BN333)*$J317:$J333,0))</f>
        <v>0</v>
      </c>
      <c r="BO342" s="883">
        <f ca="1">SUMPRODUCT(ROUND((0&amp;BO317:BO333)*$K317:$K333,0))</f>
        <v>0</v>
      </c>
      <c r="BP342" s="841"/>
    </row>
    <row r="343" spans="1:68" ht="20.100000000000001" customHeight="1">
      <c r="A343" s="822"/>
      <c r="B343" s="1872"/>
      <c r="C343" s="1872"/>
      <c r="D343" s="824" t="s">
        <v>4454</v>
      </c>
      <c r="E343" s="824" t="s">
        <v>4671</v>
      </c>
      <c r="F343" s="849" t="s">
        <v>4672</v>
      </c>
      <c r="G343" s="826" t="s">
        <v>4451</v>
      </c>
      <c r="H343" s="882"/>
      <c r="I343" s="882"/>
      <c r="J343" s="882"/>
      <c r="K343" s="882"/>
      <c r="L343" s="884">
        <f ca="1">SUM(L340:L342)</f>
        <v>0</v>
      </c>
      <c r="M343" s="884">
        <f t="shared" ref="M343:BO343" ca="1" si="590">SUM(M340:M342)</f>
        <v>0</v>
      </c>
      <c r="N343" s="884">
        <f t="shared" ca="1" si="590"/>
        <v>0</v>
      </c>
      <c r="O343" s="884">
        <f t="shared" ca="1" si="590"/>
        <v>0</v>
      </c>
      <c r="P343" s="884">
        <f t="shared" ca="1" si="590"/>
        <v>0</v>
      </c>
      <c r="Q343" s="884">
        <f t="shared" ca="1" si="590"/>
        <v>0</v>
      </c>
      <c r="R343" s="884">
        <f t="shared" ca="1" si="590"/>
        <v>0</v>
      </c>
      <c r="S343" s="884">
        <f t="shared" ca="1" si="590"/>
        <v>0</v>
      </c>
      <c r="T343" s="884">
        <f t="shared" ca="1" si="590"/>
        <v>0</v>
      </c>
      <c r="U343" s="884">
        <f t="shared" ca="1" si="590"/>
        <v>0</v>
      </c>
      <c r="V343" s="884">
        <f t="shared" ca="1" si="590"/>
        <v>0</v>
      </c>
      <c r="W343" s="884">
        <f t="shared" ca="1" si="590"/>
        <v>0</v>
      </c>
      <c r="X343" s="884">
        <f t="shared" ca="1" si="590"/>
        <v>0</v>
      </c>
      <c r="Y343" s="884">
        <f t="shared" ca="1" si="590"/>
        <v>0</v>
      </c>
      <c r="Z343" s="884">
        <f t="shared" ca="1" si="590"/>
        <v>0</v>
      </c>
      <c r="AA343" s="884">
        <f t="shared" ca="1" si="590"/>
        <v>0</v>
      </c>
      <c r="AB343" s="884">
        <f t="shared" ca="1" si="590"/>
        <v>0</v>
      </c>
      <c r="AC343" s="884">
        <f t="shared" ca="1" si="590"/>
        <v>0</v>
      </c>
      <c r="AD343" s="884">
        <f t="shared" ca="1" si="590"/>
        <v>0</v>
      </c>
      <c r="AE343" s="884">
        <f t="shared" ca="1" si="590"/>
        <v>0</v>
      </c>
      <c r="AF343" s="884">
        <f t="shared" ca="1" si="590"/>
        <v>0</v>
      </c>
      <c r="AG343" s="884">
        <f t="shared" ca="1" si="590"/>
        <v>0</v>
      </c>
      <c r="AH343" s="884">
        <f t="shared" ca="1" si="590"/>
        <v>0</v>
      </c>
      <c r="AI343" s="884">
        <f t="shared" ca="1" si="590"/>
        <v>0</v>
      </c>
      <c r="AJ343" s="884">
        <f t="shared" ca="1" si="590"/>
        <v>0</v>
      </c>
      <c r="AK343" s="884">
        <f t="shared" ca="1" si="590"/>
        <v>0</v>
      </c>
      <c r="AL343" s="884">
        <f t="shared" ca="1" si="590"/>
        <v>0</v>
      </c>
      <c r="AM343" s="884">
        <f t="shared" ca="1" si="590"/>
        <v>0</v>
      </c>
      <c r="AN343" s="884">
        <f t="shared" ca="1" si="590"/>
        <v>0</v>
      </c>
      <c r="AO343" s="884">
        <f t="shared" ca="1" si="590"/>
        <v>0</v>
      </c>
      <c r="AP343" s="884">
        <f t="shared" ca="1" si="590"/>
        <v>0</v>
      </c>
      <c r="AQ343" s="884">
        <f t="shared" ca="1" si="590"/>
        <v>0</v>
      </c>
      <c r="AR343" s="884">
        <f t="shared" ca="1" si="590"/>
        <v>0</v>
      </c>
      <c r="AS343" s="884">
        <f t="shared" ca="1" si="590"/>
        <v>0</v>
      </c>
      <c r="AT343" s="884">
        <f t="shared" ca="1" si="590"/>
        <v>0</v>
      </c>
      <c r="AU343" s="884">
        <f t="shared" ca="1" si="590"/>
        <v>0</v>
      </c>
      <c r="AV343" s="884">
        <f t="shared" ca="1" si="590"/>
        <v>0</v>
      </c>
      <c r="AW343" s="884">
        <f t="shared" ca="1" si="590"/>
        <v>0</v>
      </c>
      <c r="AX343" s="884">
        <f t="shared" ca="1" si="590"/>
        <v>0</v>
      </c>
      <c r="AY343" s="884">
        <f t="shared" ca="1" si="590"/>
        <v>0</v>
      </c>
      <c r="AZ343" s="884">
        <f t="shared" ca="1" si="590"/>
        <v>0</v>
      </c>
      <c r="BA343" s="884">
        <f t="shared" ca="1" si="590"/>
        <v>0</v>
      </c>
      <c r="BB343" s="884">
        <f t="shared" ca="1" si="590"/>
        <v>0</v>
      </c>
      <c r="BC343" s="884">
        <f t="shared" ca="1" si="590"/>
        <v>0</v>
      </c>
      <c r="BD343" s="884">
        <f t="shared" ca="1" si="590"/>
        <v>0</v>
      </c>
      <c r="BE343" s="884">
        <f t="shared" ca="1" si="590"/>
        <v>0</v>
      </c>
      <c r="BF343" s="884">
        <f t="shared" ca="1" si="590"/>
        <v>0</v>
      </c>
      <c r="BG343" s="884">
        <f t="shared" ca="1" si="590"/>
        <v>0</v>
      </c>
      <c r="BH343" s="884">
        <f t="shared" ca="1" si="590"/>
        <v>0</v>
      </c>
      <c r="BI343" s="884">
        <f t="shared" ca="1" si="590"/>
        <v>0</v>
      </c>
      <c r="BJ343" s="884">
        <f t="shared" ca="1" si="590"/>
        <v>0</v>
      </c>
      <c r="BK343" s="884">
        <f t="shared" ca="1" si="590"/>
        <v>0</v>
      </c>
      <c r="BL343" s="884">
        <f t="shared" ca="1" si="590"/>
        <v>0</v>
      </c>
      <c r="BM343" s="884">
        <f t="shared" ca="1" si="590"/>
        <v>0</v>
      </c>
      <c r="BN343" s="884">
        <f t="shared" ca="1" si="590"/>
        <v>0</v>
      </c>
      <c r="BO343" s="884">
        <f t="shared" ca="1" si="590"/>
        <v>0</v>
      </c>
      <c r="BP343" s="841"/>
    </row>
    <row r="344" spans="1:68" ht="20.100000000000001" customHeight="1">
      <c r="A344" s="822"/>
      <c r="B344" s="886" t="s">
        <v>4673</v>
      </c>
      <c r="C344" s="887"/>
      <c r="D344" s="824"/>
      <c r="E344" s="824" t="s">
        <v>4674</v>
      </c>
      <c r="F344" s="849"/>
      <c r="G344" s="826" t="s">
        <v>4604</v>
      </c>
      <c r="H344" s="882"/>
      <c r="I344" s="882"/>
      <c r="J344" s="882"/>
      <c r="K344" s="882"/>
      <c r="L344" s="884">
        <f t="shared" ref="L344:O344" ca="1" si="591">ROUND(L343*0.0258,0)</f>
        <v>0</v>
      </c>
      <c r="M344" s="884">
        <f t="shared" ca="1" si="591"/>
        <v>0</v>
      </c>
      <c r="N344" s="884">
        <f t="shared" ca="1" si="591"/>
        <v>0</v>
      </c>
      <c r="O344" s="884">
        <f t="shared" ca="1" si="591"/>
        <v>0</v>
      </c>
      <c r="P344" s="884">
        <f ca="1">ROUND(P343*0.0258,0)</f>
        <v>0</v>
      </c>
      <c r="Q344" s="884">
        <f t="shared" ref="Q344:BO344" ca="1" si="592">ROUND(Q343*0.0258,0)</f>
        <v>0</v>
      </c>
      <c r="R344" s="884">
        <f t="shared" ca="1" si="592"/>
        <v>0</v>
      </c>
      <c r="S344" s="884">
        <f t="shared" ca="1" si="592"/>
        <v>0</v>
      </c>
      <c r="T344" s="884">
        <f t="shared" ca="1" si="592"/>
        <v>0</v>
      </c>
      <c r="U344" s="884">
        <f t="shared" ca="1" si="592"/>
        <v>0</v>
      </c>
      <c r="V344" s="884">
        <f t="shared" ca="1" si="592"/>
        <v>0</v>
      </c>
      <c r="W344" s="884">
        <f t="shared" ca="1" si="592"/>
        <v>0</v>
      </c>
      <c r="X344" s="884">
        <f t="shared" ca="1" si="592"/>
        <v>0</v>
      </c>
      <c r="Y344" s="884">
        <f t="shared" ca="1" si="592"/>
        <v>0</v>
      </c>
      <c r="Z344" s="884">
        <f t="shared" ca="1" si="592"/>
        <v>0</v>
      </c>
      <c r="AA344" s="884">
        <f t="shared" ca="1" si="592"/>
        <v>0</v>
      </c>
      <c r="AB344" s="884">
        <f t="shared" ca="1" si="592"/>
        <v>0</v>
      </c>
      <c r="AC344" s="884">
        <f t="shared" ca="1" si="592"/>
        <v>0</v>
      </c>
      <c r="AD344" s="884">
        <f t="shared" ca="1" si="592"/>
        <v>0</v>
      </c>
      <c r="AE344" s="884">
        <f t="shared" ca="1" si="592"/>
        <v>0</v>
      </c>
      <c r="AF344" s="884">
        <f t="shared" ca="1" si="592"/>
        <v>0</v>
      </c>
      <c r="AG344" s="884">
        <f t="shared" ca="1" si="592"/>
        <v>0</v>
      </c>
      <c r="AH344" s="884">
        <f t="shared" ca="1" si="592"/>
        <v>0</v>
      </c>
      <c r="AI344" s="884">
        <f t="shared" ca="1" si="592"/>
        <v>0</v>
      </c>
      <c r="AJ344" s="884">
        <f t="shared" ca="1" si="592"/>
        <v>0</v>
      </c>
      <c r="AK344" s="884">
        <f t="shared" ca="1" si="592"/>
        <v>0</v>
      </c>
      <c r="AL344" s="884">
        <f t="shared" ca="1" si="592"/>
        <v>0</v>
      </c>
      <c r="AM344" s="884">
        <f t="shared" ca="1" si="592"/>
        <v>0</v>
      </c>
      <c r="AN344" s="884">
        <f t="shared" ca="1" si="592"/>
        <v>0</v>
      </c>
      <c r="AO344" s="884">
        <f t="shared" ca="1" si="592"/>
        <v>0</v>
      </c>
      <c r="AP344" s="884">
        <f t="shared" ca="1" si="592"/>
        <v>0</v>
      </c>
      <c r="AQ344" s="884">
        <f t="shared" ca="1" si="592"/>
        <v>0</v>
      </c>
      <c r="AR344" s="884">
        <f t="shared" ca="1" si="592"/>
        <v>0</v>
      </c>
      <c r="AS344" s="884">
        <f t="shared" ca="1" si="592"/>
        <v>0</v>
      </c>
      <c r="AT344" s="884">
        <f t="shared" ca="1" si="592"/>
        <v>0</v>
      </c>
      <c r="AU344" s="884">
        <f t="shared" ca="1" si="592"/>
        <v>0</v>
      </c>
      <c r="AV344" s="884">
        <f t="shared" ca="1" si="592"/>
        <v>0</v>
      </c>
      <c r="AW344" s="884">
        <f t="shared" ca="1" si="592"/>
        <v>0</v>
      </c>
      <c r="AX344" s="884">
        <f t="shared" ca="1" si="592"/>
        <v>0</v>
      </c>
      <c r="AY344" s="884">
        <f t="shared" ca="1" si="592"/>
        <v>0</v>
      </c>
      <c r="AZ344" s="884">
        <f t="shared" ca="1" si="592"/>
        <v>0</v>
      </c>
      <c r="BA344" s="884">
        <f t="shared" ca="1" si="592"/>
        <v>0</v>
      </c>
      <c r="BB344" s="884">
        <f t="shared" ca="1" si="592"/>
        <v>0</v>
      </c>
      <c r="BC344" s="884">
        <f t="shared" ca="1" si="592"/>
        <v>0</v>
      </c>
      <c r="BD344" s="884">
        <f t="shared" ca="1" si="592"/>
        <v>0</v>
      </c>
      <c r="BE344" s="884">
        <f t="shared" ca="1" si="592"/>
        <v>0</v>
      </c>
      <c r="BF344" s="884">
        <f t="shared" ca="1" si="592"/>
        <v>0</v>
      </c>
      <c r="BG344" s="884">
        <f t="shared" ca="1" si="592"/>
        <v>0</v>
      </c>
      <c r="BH344" s="884">
        <f t="shared" ca="1" si="592"/>
        <v>0</v>
      </c>
      <c r="BI344" s="884">
        <f t="shared" ca="1" si="592"/>
        <v>0</v>
      </c>
      <c r="BJ344" s="884">
        <f t="shared" ca="1" si="592"/>
        <v>0</v>
      </c>
      <c r="BK344" s="884">
        <f t="shared" ca="1" si="592"/>
        <v>0</v>
      </c>
      <c r="BL344" s="884">
        <f t="shared" ca="1" si="592"/>
        <v>0</v>
      </c>
      <c r="BM344" s="884">
        <f t="shared" ca="1" si="592"/>
        <v>0</v>
      </c>
      <c r="BN344" s="884">
        <f t="shared" ca="1" si="592"/>
        <v>0</v>
      </c>
      <c r="BO344" s="884">
        <f t="shared" ca="1" si="592"/>
        <v>0</v>
      </c>
      <c r="BP344" s="841"/>
    </row>
    <row r="345" spans="1:68" ht="20.100000000000001" customHeight="1">
      <c r="A345" s="819">
        <v>4</v>
      </c>
      <c r="B345" s="819" t="s">
        <v>4675</v>
      </c>
      <c r="C345" s="820"/>
      <c r="D345" s="820"/>
      <c r="E345" s="820"/>
      <c r="F345" s="820"/>
      <c r="G345" s="821"/>
      <c r="H345" s="918"/>
      <c r="I345" s="918"/>
      <c r="J345" s="918"/>
      <c r="K345" s="918"/>
      <c r="L345" s="918"/>
      <c r="M345" s="918"/>
      <c r="N345" s="918"/>
      <c r="O345" s="918"/>
      <c r="P345" s="918"/>
      <c r="Q345" s="918"/>
      <c r="R345" s="918"/>
      <c r="S345" s="918"/>
      <c r="T345" s="918"/>
      <c r="U345" s="918"/>
      <c r="V345" s="918"/>
      <c r="W345" s="918"/>
      <c r="X345" s="918"/>
      <c r="Y345" s="918"/>
      <c r="Z345" s="918"/>
      <c r="AA345" s="918"/>
      <c r="AB345" s="918"/>
      <c r="AC345" s="918"/>
      <c r="AD345" s="918"/>
      <c r="AE345" s="918"/>
      <c r="AF345" s="918"/>
      <c r="AG345" s="918"/>
      <c r="AH345" s="918"/>
      <c r="AI345" s="918"/>
      <c r="AJ345" s="918"/>
      <c r="AK345" s="918"/>
      <c r="AL345" s="918"/>
      <c r="AM345" s="918"/>
      <c r="AN345" s="918"/>
      <c r="AO345" s="918"/>
      <c r="AP345" s="918"/>
      <c r="AQ345" s="918"/>
      <c r="AR345" s="918"/>
      <c r="AS345" s="918"/>
      <c r="AT345" s="918"/>
      <c r="AU345" s="918"/>
      <c r="AV345" s="918"/>
      <c r="AW345" s="918"/>
      <c r="AX345" s="918"/>
      <c r="AY345" s="918"/>
      <c r="AZ345" s="918"/>
      <c r="BA345" s="918"/>
      <c r="BB345" s="918"/>
      <c r="BC345" s="918"/>
      <c r="BD345" s="918"/>
      <c r="BE345" s="918"/>
      <c r="BF345" s="918"/>
      <c r="BG345" s="918"/>
      <c r="BH345" s="918"/>
      <c r="BI345" s="918"/>
      <c r="BJ345" s="918"/>
      <c r="BK345" s="918"/>
      <c r="BL345" s="918"/>
      <c r="BM345" s="918"/>
      <c r="BN345" s="918"/>
      <c r="BO345" s="918"/>
    </row>
    <row r="346" spans="1:68" ht="20.100000000000001" customHeight="1">
      <c r="A346" s="822"/>
      <c r="B346" s="819" t="s">
        <v>4388</v>
      </c>
      <c r="C346" s="820"/>
      <c r="D346" s="820"/>
      <c r="E346" s="820"/>
      <c r="F346" s="820"/>
      <c r="G346" s="821"/>
      <c r="H346" s="918"/>
      <c r="I346" s="918"/>
      <c r="J346" s="918"/>
      <c r="K346" s="918"/>
      <c r="L346" s="918"/>
      <c r="M346" s="918"/>
      <c r="N346" s="918"/>
      <c r="O346" s="918"/>
      <c r="P346" s="918"/>
      <c r="Q346" s="918"/>
      <c r="R346" s="918"/>
      <c r="S346" s="918"/>
      <c r="T346" s="918"/>
      <c r="U346" s="918"/>
      <c r="V346" s="918"/>
      <c r="W346" s="918"/>
      <c r="X346" s="918"/>
      <c r="Y346" s="918"/>
      <c r="Z346" s="918"/>
      <c r="AA346" s="918"/>
      <c r="AB346" s="918"/>
      <c r="AC346" s="918"/>
      <c r="AD346" s="918"/>
      <c r="AE346" s="918"/>
      <c r="AF346" s="918"/>
      <c r="AG346" s="918"/>
      <c r="AH346" s="918"/>
      <c r="AI346" s="918"/>
      <c r="AJ346" s="918"/>
      <c r="AK346" s="918"/>
      <c r="AL346" s="918"/>
      <c r="AM346" s="918"/>
      <c r="AN346" s="918"/>
      <c r="AO346" s="918"/>
      <c r="AP346" s="918"/>
      <c r="AQ346" s="918"/>
      <c r="AR346" s="918"/>
      <c r="AS346" s="918"/>
      <c r="AT346" s="918"/>
      <c r="AU346" s="918"/>
      <c r="AV346" s="918"/>
      <c r="AW346" s="918"/>
      <c r="AX346" s="918"/>
      <c r="AY346" s="918"/>
      <c r="AZ346" s="918"/>
      <c r="BA346" s="918"/>
      <c r="BB346" s="918"/>
      <c r="BC346" s="918"/>
      <c r="BD346" s="918"/>
      <c r="BE346" s="918"/>
      <c r="BF346" s="918"/>
      <c r="BG346" s="918"/>
      <c r="BH346" s="918"/>
      <c r="BI346" s="918"/>
      <c r="BJ346" s="918"/>
      <c r="BK346" s="918"/>
      <c r="BL346" s="918"/>
      <c r="BM346" s="918"/>
      <c r="BN346" s="918"/>
      <c r="BO346" s="918"/>
    </row>
    <row r="347" spans="1:68" ht="20.100000000000001" customHeight="1" outlineLevel="1">
      <c r="A347" s="823"/>
      <c r="B347" s="1869" t="s">
        <v>4389</v>
      </c>
      <c r="C347" s="1872" t="s">
        <v>4390</v>
      </c>
      <c r="D347" s="824" t="s">
        <v>4143</v>
      </c>
      <c r="E347" s="824"/>
      <c r="F347" s="825"/>
      <c r="G347" s="826" t="s">
        <v>4144</v>
      </c>
      <c r="H347" s="882"/>
      <c r="I347" s="882"/>
      <c r="J347" s="882"/>
      <c r="K347" s="882"/>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c r="AL347" s="943"/>
      <c r="AM347" s="943"/>
      <c r="AN347" s="943"/>
      <c r="AO347" s="943"/>
      <c r="AP347" s="943"/>
      <c r="AQ347" s="943"/>
      <c r="AR347" s="943"/>
      <c r="AS347" s="943"/>
      <c r="AT347" s="943"/>
      <c r="AU347" s="943"/>
      <c r="AV347" s="943"/>
      <c r="AW347" s="943"/>
      <c r="AX347" s="943"/>
      <c r="AY347" s="943"/>
      <c r="AZ347" s="943"/>
      <c r="BA347" s="943"/>
      <c r="BB347" s="943"/>
      <c r="BC347" s="943"/>
      <c r="BD347" s="943"/>
      <c r="BE347" s="943"/>
      <c r="BF347" s="943"/>
      <c r="BG347" s="943"/>
      <c r="BH347" s="943"/>
      <c r="BI347" s="943"/>
      <c r="BJ347" s="943"/>
      <c r="BK347" s="943"/>
      <c r="BL347" s="943"/>
      <c r="BM347" s="943"/>
      <c r="BN347" s="943"/>
      <c r="BO347" s="943"/>
    </row>
    <row r="348" spans="1:68" ht="20.100000000000001" customHeight="1" outlineLevel="1">
      <c r="A348" s="823"/>
      <c r="B348" s="1870"/>
      <c r="C348" s="1872"/>
      <c r="D348" s="824" t="s">
        <v>4391</v>
      </c>
      <c r="E348" s="824"/>
      <c r="F348" s="825"/>
      <c r="G348" s="826" t="s">
        <v>4144</v>
      </c>
      <c r="H348" s="882"/>
      <c r="I348" s="882"/>
      <c r="J348" s="882"/>
      <c r="K348" s="882"/>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c r="AL348" s="943"/>
      <c r="AM348" s="943"/>
      <c r="AN348" s="943"/>
      <c r="AO348" s="943"/>
      <c r="AP348" s="943"/>
      <c r="AQ348" s="943"/>
      <c r="AR348" s="943"/>
      <c r="AS348" s="943"/>
      <c r="AT348" s="943"/>
      <c r="AU348" s="943"/>
      <c r="AV348" s="943"/>
      <c r="AW348" s="943"/>
      <c r="AX348" s="943"/>
      <c r="AY348" s="943"/>
      <c r="AZ348" s="943"/>
      <c r="BA348" s="943"/>
      <c r="BB348" s="943"/>
      <c r="BC348" s="943"/>
      <c r="BD348" s="943"/>
      <c r="BE348" s="943"/>
      <c r="BF348" s="943"/>
      <c r="BG348" s="943"/>
      <c r="BH348" s="943"/>
      <c r="BI348" s="943"/>
      <c r="BJ348" s="943"/>
      <c r="BK348" s="943"/>
      <c r="BL348" s="943"/>
      <c r="BM348" s="943"/>
      <c r="BN348" s="943"/>
      <c r="BO348" s="943"/>
    </row>
    <row r="349" spans="1:68" ht="20.100000000000001" customHeight="1" outlineLevel="1">
      <c r="A349" s="823"/>
      <c r="B349" s="1871"/>
      <c r="C349" s="1872"/>
      <c r="D349" s="824" t="s">
        <v>4392</v>
      </c>
      <c r="E349" s="824"/>
      <c r="F349" s="825"/>
      <c r="G349" s="826" t="s">
        <v>4144</v>
      </c>
      <c r="H349" s="882"/>
      <c r="I349" s="882"/>
      <c r="J349" s="882"/>
      <c r="K349" s="882"/>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c r="AL349" s="943"/>
      <c r="AM349" s="943"/>
      <c r="AN349" s="943"/>
      <c r="AO349" s="943"/>
      <c r="AP349" s="943"/>
      <c r="AQ349" s="943"/>
      <c r="AR349" s="943"/>
      <c r="AS349" s="943"/>
      <c r="AT349" s="943"/>
      <c r="AU349" s="943"/>
      <c r="AV349" s="943"/>
      <c r="AW349" s="943"/>
      <c r="AX349" s="943"/>
      <c r="AY349" s="943"/>
      <c r="AZ349" s="943"/>
      <c r="BA349" s="943"/>
      <c r="BB349" s="943"/>
      <c r="BC349" s="943"/>
      <c r="BD349" s="943"/>
      <c r="BE349" s="943"/>
      <c r="BF349" s="943"/>
      <c r="BG349" s="943"/>
      <c r="BH349" s="943"/>
      <c r="BI349" s="943"/>
      <c r="BJ349" s="943"/>
      <c r="BK349" s="943"/>
      <c r="BL349" s="943"/>
      <c r="BM349" s="943"/>
      <c r="BN349" s="943"/>
      <c r="BO349" s="943"/>
    </row>
    <row r="350" spans="1:68" ht="20.100000000000001" customHeight="1" outlineLevel="1">
      <c r="A350" s="823"/>
      <c r="B350" s="1870"/>
      <c r="C350" s="1872"/>
      <c r="D350" s="824" t="s">
        <v>4147</v>
      </c>
      <c r="E350" s="824"/>
      <c r="F350" s="825"/>
      <c r="G350" s="826" t="s">
        <v>4144</v>
      </c>
      <c r="H350" s="882"/>
      <c r="I350" s="882"/>
      <c r="J350" s="882"/>
      <c r="K350" s="882"/>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943"/>
      <c r="BH350" s="943"/>
      <c r="BI350" s="943"/>
      <c r="BJ350" s="943"/>
      <c r="BK350" s="943"/>
      <c r="BL350" s="943"/>
      <c r="BM350" s="943"/>
      <c r="BN350" s="943"/>
      <c r="BO350" s="943"/>
    </row>
    <row r="351" spans="1:68" ht="20.100000000000001" customHeight="1" outlineLevel="1">
      <c r="A351" s="823"/>
      <c r="B351" s="1870"/>
      <c r="C351" s="1872"/>
      <c r="D351" s="824" t="s">
        <v>4393</v>
      </c>
      <c r="E351" s="824"/>
      <c r="F351" s="825"/>
      <c r="G351" s="826" t="s">
        <v>4144</v>
      </c>
      <c r="H351" s="882"/>
      <c r="I351" s="882"/>
      <c r="J351" s="882"/>
      <c r="K351" s="882"/>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c r="AL351" s="943"/>
      <c r="AM351" s="943"/>
      <c r="AN351" s="943"/>
      <c r="AO351" s="943"/>
      <c r="AP351" s="943"/>
      <c r="AQ351" s="943"/>
      <c r="AR351" s="943"/>
      <c r="AS351" s="943"/>
      <c r="AT351" s="943"/>
      <c r="AU351" s="943"/>
      <c r="AV351" s="943"/>
      <c r="AW351" s="943"/>
      <c r="AX351" s="943"/>
      <c r="AY351" s="943"/>
      <c r="AZ351" s="943"/>
      <c r="BA351" s="943"/>
      <c r="BB351" s="943"/>
      <c r="BC351" s="943"/>
      <c r="BD351" s="943"/>
      <c r="BE351" s="943"/>
      <c r="BF351" s="943"/>
      <c r="BG351" s="943"/>
      <c r="BH351" s="943"/>
      <c r="BI351" s="943"/>
      <c r="BJ351" s="943"/>
      <c r="BK351" s="943"/>
      <c r="BL351" s="943"/>
      <c r="BM351" s="943"/>
      <c r="BN351" s="943"/>
      <c r="BO351" s="943"/>
    </row>
    <row r="352" spans="1:68" ht="20.100000000000001" customHeight="1" outlineLevel="1">
      <c r="A352" s="823"/>
      <c r="B352" s="1871"/>
      <c r="C352" s="1872"/>
      <c r="D352" s="824" t="s">
        <v>4149</v>
      </c>
      <c r="E352" s="824"/>
      <c r="F352" s="825"/>
      <c r="G352" s="826" t="s">
        <v>4144</v>
      </c>
      <c r="H352" s="882"/>
      <c r="I352" s="882"/>
      <c r="J352" s="882"/>
      <c r="K352" s="882"/>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3"/>
      <c r="BC352" s="943"/>
      <c r="BD352" s="943"/>
      <c r="BE352" s="943"/>
      <c r="BF352" s="943"/>
      <c r="BG352" s="943"/>
      <c r="BH352" s="943"/>
      <c r="BI352" s="943"/>
      <c r="BJ352" s="943"/>
      <c r="BK352" s="943"/>
      <c r="BL352" s="943"/>
      <c r="BM352" s="943"/>
      <c r="BN352" s="943"/>
      <c r="BO352" s="943"/>
    </row>
    <row r="353" spans="1:67" ht="20.100000000000001" customHeight="1" outlineLevel="1">
      <c r="A353" s="823"/>
      <c r="B353" s="1871"/>
      <c r="C353" s="1872"/>
      <c r="D353" s="824" t="s">
        <v>4150</v>
      </c>
      <c r="E353" s="824"/>
      <c r="F353" s="825"/>
      <c r="G353" s="826" t="s">
        <v>4144</v>
      </c>
      <c r="H353" s="882"/>
      <c r="I353" s="882"/>
      <c r="J353" s="882"/>
      <c r="K353" s="882"/>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c r="AU353" s="943"/>
      <c r="AV353" s="943"/>
      <c r="AW353" s="943"/>
      <c r="AX353" s="943"/>
      <c r="AY353" s="943"/>
      <c r="AZ353" s="943"/>
      <c r="BA353" s="943"/>
      <c r="BB353" s="943"/>
      <c r="BC353" s="943"/>
      <c r="BD353" s="943"/>
      <c r="BE353" s="943"/>
      <c r="BF353" s="943"/>
      <c r="BG353" s="943"/>
      <c r="BH353" s="943"/>
      <c r="BI353" s="943"/>
      <c r="BJ353" s="943"/>
      <c r="BK353" s="943"/>
      <c r="BL353" s="943"/>
      <c r="BM353" s="943"/>
      <c r="BN353" s="943"/>
      <c r="BO353" s="943"/>
    </row>
    <row r="354" spans="1:67" ht="20.100000000000001" customHeight="1" outlineLevel="1">
      <c r="A354" s="823"/>
      <c r="B354" s="1870"/>
      <c r="C354" s="1872"/>
      <c r="D354" s="824" t="s">
        <v>4151</v>
      </c>
      <c r="E354" s="824"/>
      <c r="F354" s="825"/>
      <c r="G354" s="826" t="s">
        <v>4144</v>
      </c>
      <c r="H354" s="882"/>
      <c r="I354" s="882"/>
      <c r="J354" s="882"/>
      <c r="K354" s="882"/>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c r="AU354" s="943"/>
      <c r="AV354" s="943"/>
      <c r="AW354" s="943"/>
      <c r="AX354" s="943"/>
      <c r="AY354" s="943"/>
      <c r="AZ354" s="943"/>
      <c r="BA354" s="943"/>
      <c r="BB354" s="943"/>
      <c r="BC354" s="943"/>
      <c r="BD354" s="943"/>
      <c r="BE354" s="943"/>
      <c r="BF354" s="943"/>
      <c r="BG354" s="943"/>
      <c r="BH354" s="943"/>
      <c r="BI354" s="943"/>
      <c r="BJ354" s="943"/>
      <c r="BK354" s="943"/>
      <c r="BL354" s="943"/>
      <c r="BM354" s="943"/>
      <c r="BN354" s="943"/>
      <c r="BO354" s="943"/>
    </row>
    <row r="355" spans="1:67" ht="20.100000000000001" customHeight="1" outlineLevel="1">
      <c r="A355" s="823"/>
      <c r="B355" s="1870"/>
      <c r="C355" s="1872"/>
      <c r="D355" s="824" t="s">
        <v>4152</v>
      </c>
      <c r="E355" s="818"/>
      <c r="F355" s="825"/>
      <c r="G355" s="826" t="s">
        <v>4144</v>
      </c>
      <c r="H355" s="882"/>
      <c r="I355" s="882"/>
      <c r="J355" s="882"/>
      <c r="K355" s="882"/>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c r="AL355" s="943"/>
      <c r="AM355" s="943"/>
      <c r="AN355" s="943"/>
      <c r="AO355" s="943"/>
      <c r="AP355" s="943"/>
      <c r="AQ355" s="943"/>
      <c r="AR355" s="943"/>
      <c r="AS355" s="943"/>
      <c r="AT355" s="943"/>
      <c r="AU355" s="943"/>
      <c r="AV355" s="943"/>
      <c r="AW355" s="943"/>
      <c r="AX355" s="943"/>
      <c r="AY355" s="943"/>
      <c r="AZ355" s="943"/>
      <c r="BA355" s="943"/>
      <c r="BB355" s="943"/>
      <c r="BC355" s="943"/>
      <c r="BD355" s="943"/>
      <c r="BE355" s="943"/>
      <c r="BF355" s="943"/>
      <c r="BG355" s="943"/>
      <c r="BH355" s="943"/>
      <c r="BI355" s="943"/>
      <c r="BJ355" s="943"/>
      <c r="BK355" s="943"/>
      <c r="BL355" s="943"/>
      <c r="BM355" s="943"/>
      <c r="BN355" s="943"/>
      <c r="BO355" s="943"/>
    </row>
    <row r="356" spans="1:67" ht="20.100000000000001" customHeight="1" outlineLevel="1">
      <c r="A356" s="823"/>
      <c r="B356" s="1870"/>
      <c r="C356" s="1872"/>
      <c r="D356" s="824" t="s">
        <v>4153</v>
      </c>
      <c r="E356" s="824"/>
      <c r="F356" s="825"/>
      <c r="G356" s="826" t="s">
        <v>3777</v>
      </c>
      <c r="H356" s="882"/>
      <c r="I356" s="882"/>
      <c r="J356" s="882"/>
      <c r="K356" s="882"/>
      <c r="L356" s="943"/>
      <c r="M356" s="943"/>
      <c r="N356" s="943"/>
      <c r="O356" s="943"/>
      <c r="P356" s="943"/>
      <c r="Q356" s="943"/>
      <c r="R356" s="943"/>
      <c r="S356" s="943"/>
      <c r="T356" s="943"/>
      <c r="U356" s="943"/>
      <c r="V356" s="943"/>
      <c r="W356" s="943"/>
      <c r="X356" s="943"/>
      <c r="Y356" s="943"/>
      <c r="Z356" s="943"/>
      <c r="AA356" s="943"/>
      <c r="AB356" s="943"/>
      <c r="AC356" s="943"/>
      <c r="AD356" s="943"/>
      <c r="AE356" s="943"/>
      <c r="AF356" s="943"/>
      <c r="AG356" s="943"/>
      <c r="AH356" s="943"/>
      <c r="AI356" s="943"/>
      <c r="AJ356" s="943"/>
      <c r="AK356" s="943"/>
      <c r="AL356" s="943"/>
      <c r="AM356" s="943"/>
      <c r="AN356" s="943"/>
      <c r="AO356" s="943"/>
      <c r="AP356" s="943"/>
      <c r="AQ356" s="943"/>
      <c r="AR356" s="943"/>
      <c r="AS356" s="943"/>
      <c r="AT356" s="943"/>
      <c r="AU356" s="943"/>
      <c r="AV356" s="943"/>
      <c r="AW356" s="943"/>
      <c r="AX356" s="943"/>
      <c r="AY356" s="943"/>
      <c r="AZ356" s="943"/>
      <c r="BA356" s="943"/>
      <c r="BB356" s="943"/>
      <c r="BC356" s="943"/>
      <c r="BD356" s="943"/>
      <c r="BE356" s="943"/>
      <c r="BF356" s="943"/>
      <c r="BG356" s="943"/>
      <c r="BH356" s="943"/>
      <c r="BI356" s="943"/>
      <c r="BJ356" s="943"/>
      <c r="BK356" s="943"/>
      <c r="BL356" s="943"/>
      <c r="BM356" s="943"/>
      <c r="BN356" s="943"/>
      <c r="BO356" s="943"/>
    </row>
    <row r="357" spans="1:67" ht="20.100000000000001" customHeight="1" outlineLevel="1">
      <c r="A357" s="823"/>
      <c r="B357" s="1870"/>
      <c r="C357" s="1872"/>
      <c r="D357" s="824" t="s">
        <v>4154</v>
      </c>
      <c r="E357" s="824"/>
      <c r="F357" s="825"/>
      <c r="G357" s="826" t="s">
        <v>3777</v>
      </c>
      <c r="H357" s="882"/>
      <c r="I357" s="882"/>
      <c r="J357" s="882"/>
      <c r="K357" s="882"/>
      <c r="L357" s="943"/>
      <c r="M357" s="943"/>
      <c r="N357" s="943"/>
      <c r="O357" s="943"/>
      <c r="P357" s="943"/>
      <c r="Q357" s="943"/>
      <c r="R357" s="943"/>
      <c r="S357" s="943"/>
      <c r="T357" s="943"/>
      <c r="U357" s="943"/>
      <c r="V357" s="943"/>
      <c r="W357" s="943"/>
      <c r="X357" s="943"/>
      <c r="Y357" s="943"/>
      <c r="Z357" s="943"/>
      <c r="AA357" s="943"/>
      <c r="AB357" s="943"/>
      <c r="AC357" s="943"/>
      <c r="AD357" s="943"/>
      <c r="AE357" s="943"/>
      <c r="AF357" s="943"/>
      <c r="AG357" s="943"/>
      <c r="AH357" s="943"/>
      <c r="AI357" s="943"/>
      <c r="AJ357" s="943"/>
      <c r="AK357" s="943"/>
      <c r="AL357" s="943"/>
      <c r="AM357" s="943"/>
      <c r="AN357" s="943"/>
      <c r="AO357" s="943"/>
      <c r="AP357" s="943"/>
      <c r="AQ357" s="943"/>
      <c r="AR357" s="943"/>
      <c r="AS357" s="943"/>
      <c r="AT357" s="943"/>
      <c r="AU357" s="943"/>
      <c r="AV357" s="943"/>
      <c r="AW357" s="943"/>
      <c r="AX357" s="943"/>
      <c r="AY357" s="943"/>
      <c r="AZ357" s="943"/>
      <c r="BA357" s="943"/>
      <c r="BB357" s="943"/>
      <c r="BC357" s="943"/>
      <c r="BD357" s="943"/>
      <c r="BE357" s="943"/>
      <c r="BF357" s="943"/>
      <c r="BG357" s="943"/>
      <c r="BH357" s="943"/>
      <c r="BI357" s="943"/>
      <c r="BJ357" s="943"/>
      <c r="BK357" s="943"/>
      <c r="BL357" s="943"/>
      <c r="BM357" s="943"/>
      <c r="BN357" s="943"/>
      <c r="BO357" s="943"/>
    </row>
    <row r="358" spans="1:67" ht="20.100000000000001" customHeight="1" outlineLevel="1">
      <c r="A358" s="823"/>
      <c r="B358" s="1871"/>
      <c r="C358" s="1872"/>
      <c r="D358" s="824" t="s">
        <v>4394</v>
      </c>
      <c r="E358" s="824"/>
      <c r="F358" s="825"/>
      <c r="G358" s="826" t="s">
        <v>3777</v>
      </c>
      <c r="H358" s="882"/>
      <c r="I358" s="882"/>
      <c r="J358" s="882"/>
      <c r="K358" s="882"/>
      <c r="L358" s="943"/>
      <c r="M358" s="943"/>
      <c r="N358" s="943"/>
      <c r="O358" s="943"/>
      <c r="P358" s="943"/>
      <c r="Q358" s="943"/>
      <c r="R358" s="943"/>
      <c r="S358" s="943"/>
      <c r="T358" s="943"/>
      <c r="U358" s="943"/>
      <c r="V358" s="943"/>
      <c r="W358" s="943"/>
      <c r="X358" s="943"/>
      <c r="Y358" s="943"/>
      <c r="Z358" s="943"/>
      <c r="AA358" s="943"/>
      <c r="AB358" s="943"/>
      <c r="AC358" s="943"/>
      <c r="AD358" s="943"/>
      <c r="AE358" s="943"/>
      <c r="AF358" s="943"/>
      <c r="AG358" s="943"/>
      <c r="AH358" s="943"/>
      <c r="AI358" s="943"/>
      <c r="AJ358" s="943"/>
      <c r="AK358" s="943"/>
      <c r="AL358" s="943"/>
      <c r="AM358" s="943"/>
      <c r="AN358" s="943"/>
      <c r="AO358" s="943"/>
      <c r="AP358" s="943"/>
      <c r="AQ358" s="943"/>
      <c r="AR358" s="943"/>
      <c r="AS358" s="943"/>
      <c r="AT358" s="943"/>
      <c r="AU358" s="943"/>
      <c r="AV358" s="943"/>
      <c r="AW358" s="943"/>
      <c r="AX358" s="943"/>
      <c r="AY358" s="943"/>
      <c r="AZ358" s="943"/>
      <c r="BA358" s="943"/>
      <c r="BB358" s="943"/>
      <c r="BC358" s="943"/>
      <c r="BD358" s="943"/>
      <c r="BE358" s="943"/>
      <c r="BF358" s="943"/>
      <c r="BG358" s="943"/>
      <c r="BH358" s="943"/>
      <c r="BI358" s="943"/>
      <c r="BJ358" s="943"/>
      <c r="BK358" s="943"/>
      <c r="BL358" s="943"/>
      <c r="BM358" s="943"/>
      <c r="BN358" s="943"/>
      <c r="BO358" s="943"/>
    </row>
    <row r="359" spans="1:67" ht="20.100000000000001" customHeight="1" outlineLevel="1">
      <c r="A359" s="823"/>
      <c r="B359" s="1870"/>
      <c r="C359" s="1872"/>
      <c r="D359" s="824" t="s">
        <v>4395</v>
      </c>
      <c r="E359" s="824"/>
      <c r="F359" s="825"/>
      <c r="G359" s="826" t="s">
        <v>4158</v>
      </c>
      <c r="H359" s="882"/>
      <c r="I359" s="882"/>
      <c r="J359" s="882"/>
      <c r="K359" s="882"/>
      <c r="L359" s="943"/>
      <c r="M359" s="943"/>
      <c r="N359" s="943"/>
      <c r="O359" s="943"/>
      <c r="P359" s="943"/>
      <c r="Q359" s="943"/>
      <c r="R359" s="943"/>
      <c r="S359" s="943"/>
      <c r="T359" s="943"/>
      <c r="U359" s="943"/>
      <c r="V359" s="943"/>
      <c r="W359" s="943"/>
      <c r="X359" s="943"/>
      <c r="Y359" s="943"/>
      <c r="Z359" s="943"/>
      <c r="AA359" s="943"/>
      <c r="AB359" s="943"/>
      <c r="AC359" s="943"/>
      <c r="AD359" s="943"/>
      <c r="AE359" s="943"/>
      <c r="AF359" s="943"/>
      <c r="AG359" s="943"/>
      <c r="AH359" s="943"/>
      <c r="AI359" s="943"/>
      <c r="AJ359" s="943"/>
      <c r="AK359" s="943"/>
      <c r="AL359" s="943"/>
      <c r="AM359" s="943"/>
      <c r="AN359" s="943"/>
      <c r="AO359" s="943"/>
      <c r="AP359" s="943"/>
      <c r="AQ359" s="943"/>
      <c r="AR359" s="943"/>
      <c r="AS359" s="943"/>
      <c r="AT359" s="943"/>
      <c r="AU359" s="943"/>
      <c r="AV359" s="943"/>
      <c r="AW359" s="943"/>
      <c r="AX359" s="943"/>
      <c r="AY359" s="943"/>
      <c r="AZ359" s="943"/>
      <c r="BA359" s="943"/>
      <c r="BB359" s="943"/>
      <c r="BC359" s="943"/>
      <c r="BD359" s="943"/>
      <c r="BE359" s="943"/>
      <c r="BF359" s="943"/>
      <c r="BG359" s="943"/>
      <c r="BH359" s="943"/>
      <c r="BI359" s="943"/>
      <c r="BJ359" s="943"/>
      <c r="BK359" s="943"/>
      <c r="BL359" s="943"/>
      <c r="BM359" s="943"/>
      <c r="BN359" s="943"/>
      <c r="BO359" s="943"/>
    </row>
    <row r="360" spans="1:67" ht="20.100000000000001" customHeight="1" outlineLevel="1">
      <c r="A360" s="823"/>
      <c r="B360" s="1871"/>
      <c r="C360" s="1872"/>
      <c r="D360" s="824" t="s">
        <v>4396</v>
      </c>
      <c r="E360" s="818"/>
      <c r="F360" s="825"/>
      <c r="G360" s="826" t="s">
        <v>3777</v>
      </c>
      <c r="H360" s="882"/>
      <c r="I360" s="882"/>
      <c r="J360" s="882"/>
      <c r="K360" s="882"/>
      <c r="L360" s="943"/>
      <c r="M360" s="943"/>
      <c r="N360" s="943"/>
      <c r="O360" s="943"/>
      <c r="P360" s="943"/>
      <c r="Q360" s="943"/>
      <c r="R360" s="943"/>
      <c r="S360" s="943"/>
      <c r="T360" s="943"/>
      <c r="U360" s="943"/>
      <c r="V360" s="943"/>
      <c r="W360" s="943"/>
      <c r="X360" s="943"/>
      <c r="Y360" s="943"/>
      <c r="Z360" s="943"/>
      <c r="AA360" s="943"/>
      <c r="AB360" s="943"/>
      <c r="AC360" s="943"/>
      <c r="AD360" s="943"/>
      <c r="AE360" s="943"/>
      <c r="AF360" s="943"/>
      <c r="AG360" s="943"/>
      <c r="AH360" s="943"/>
      <c r="AI360" s="943"/>
      <c r="AJ360" s="943"/>
      <c r="AK360" s="943"/>
      <c r="AL360" s="943"/>
      <c r="AM360" s="943"/>
      <c r="AN360" s="943"/>
      <c r="AO360" s="943"/>
      <c r="AP360" s="943"/>
      <c r="AQ360" s="943"/>
      <c r="AR360" s="943"/>
      <c r="AS360" s="943"/>
      <c r="AT360" s="943"/>
      <c r="AU360" s="943"/>
      <c r="AV360" s="943"/>
      <c r="AW360" s="943"/>
      <c r="AX360" s="943"/>
      <c r="AY360" s="943"/>
      <c r="AZ360" s="943"/>
      <c r="BA360" s="943"/>
      <c r="BB360" s="943"/>
      <c r="BC360" s="943"/>
      <c r="BD360" s="943"/>
      <c r="BE360" s="943"/>
      <c r="BF360" s="943"/>
      <c r="BG360" s="943"/>
      <c r="BH360" s="943"/>
      <c r="BI360" s="943"/>
      <c r="BJ360" s="943"/>
      <c r="BK360" s="943"/>
      <c r="BL360" s="943"/>
      <c r="BM360" s="943"/>
      <c r="BN360" s="943"/>
      <c r="BO360" s="943"/>
    </row>
    <row r="361" spans="1:67" ht="20.100000000000001" customHeight="1" outlineLevel="1">
      <c r="A361" s="823"/>
      <c r="B361" s="1870"/>
      <c r="C361" s="1872"/>
      <c r="D361" s="824" t="s">
        <v>4397</v>
      </c>
      <c r="E361" s="824"/>
      <c r="F361" s="825"/>
      <c r="G361" s="826" t="s">
        <v>4158</v>
      </c>
      <c r="H361" s="882"/>
      <c r="I361" s="882"/>
      <c r="J361" s="882"/>
      <c r="K361" s="882"/>
      <c r="L361" s="943"/>
      <c r="M361" s="943"/>
      <c r="N361" s="943"/>
      <c r="O361" s="943"/>
      <c r="P361" s="943"/>
      <c r="Q361" s="943"/>
      <c r="R361" s="943"/>
      <c r="S361" s="943"/>
      <c r="T361" s="943"/>
      <c r="U361" s="943"/>
      <c r="V361" s="943"/>
      <c r="W361" s="943"/>
      <c r="X361" s="943"/>
      <c r="Y361" s="943"/>
      <c r="Z361" s="943"/>
      <c r="AA361" s="943"/>
      <c r="AB361" s="943"/>
      <c r="AC361" s="943"/>
      <c r="AD361" s="943"/>
      <c r="AE361" s="943"/>
      <c r="AF361" s="943"/>
      <c r="AG361" s="943"/>
      <c r="AH361" s="943"/>
      <c r="AI361" s="943"/>
      <c r="AJ361" s="943"/>
      <c r="AK361" s="943"/>
      <c r="AL361" s="943"/>
      <c r="AM361" s="943"/>
      <c r="AN361" s="943"/>
      <c r="AO361" s="943"/>
      <c r="AP361" s="943"/>
      <c r="AQ361" s="943"/>
      <c r="AR361" s="943"/>
      <c r="AS361" s="943"/>
      <c r="AT361" s="943"/>
      <c r="AU361" s="943"/>
      <c r="AV361" s="943"/>
      <c r="AW361" s="943"/>
      <c r="AX361" s="943"/>
      <c r="AY361" s="943"/>
      <c r="AZ361" s="943"/>
      <c r="BA361" s="943"/>
      <c r="BB361" s="943"/>
      <c r="BC361" s="943"/>
      <c r="BD361" s="943"/>
      <c r="BE361" s="943"/>
      <c r="BF361" s="943"/>
      <c r="BG361" s="943"/>
      <c r="BH361" s="943"/>
      <c r="BI361" s="943"/>
      <c r="BJ361" s="943"/>
      <c r="BK361" s="943"/>
      <c r="BL361" s="943"/>
      <c r="BM361" s="943"/>
      <c r="BN361" s="943"/>
      <c r="BO361" s="943"/>
    </row>
    <row r="362" spans="1:67" ht="20.100000000000001" customHeight="1" outlineLevel="1">
      <c r="A362" s="823"/>
      <c r="B362" s="1870"/>
      <c r="C362" s="1872"/>
      <c r="D362" s="824" t="s">
        <v>4398</v>
      </c>
      <c r="E362" s="824"/>
      <c r="F362" s="825"/>
      <c r="G362" s="826" t="s">
        <v>3777</v>
      </c>
      <c r="H362" s="882"/>
      <c r="I362" s="882"/>
      <c r="J362" s="882"/>
      <c r="K362" s="882"/>
      <c r="L362" s="943"/>
      <c r="M362" s="943"/>
      <c r="N362" s="943"/>
      <c r="O362" s="943"/>
      <c r="P362" s="943"/>
      <c r="Q362" s="943"/>
      <c r="R362" s="943"/>
      <c r="S362" s="943"/>
      <c r="T362" s="943"/>
      <c r="U362" s="943"/>
      <c r="V362" s="943"/>
      <c r="W362" s="943"/>
      <c r="X362" s="943"/>
      <c r="Y362" s="943"/>
      <c r="Z362" s="943"/>
      <c r="AA362" s="943"/>
      <c r="AB362" s="943"/>
      <c r="AC362" s="943"/>
      <c r="AD362" s="943"/>
      <c r="AE362" s="943"/>
      <c r="AF362" s="943"/>
      <c r="AG362" s="943"/>
      <c r="AH362" s="943"/>
      <c r="AI362" s="943"/>
      <c r="AJ362" s="943"/>
      <c r="AK362" s="943"/>
      <c r="AL362" s="943"/>
      <c r="AM362" s="943"/>
      <c r="AN362" s="943"/>
      <c r="AO362" s="943"/>
      <c r="AP362" s="943"/>
      <c r="AQ362" s="943"/>
      <c r="AR362" s="943"/>
      <c r="AS362" s="943"/>
      <c r="AT362" s="943"/>
      <c r="AU362" s="943"/>
      <c r="AV362" s="943"/>
      <c r="AW362" s="943"/>
      <c r="AX362" s="943"/>
      <c r="AY362" s="943"/>
      <c r="AZ362" s="943"/>
      <c r="BA362" s="943"/>
      <c r="BB362" s="943"/>
      <c r="BC362" s="943"/>
      <c r="BD362" s="943"/>
      <c r="BE362" s="943"/>
      <c r="BF362" s="943"/>
      <c r="BG362" s="943"/>
      <c r="BH362" s="943"/>
      <c r="BI362" s="943"/>
      <c r="BJ362" s="943"/>
      <c r="BK362" s="943"/>
      <c r="BL362" s="943"/>
      <c r="BM362" s="943"/>
      <c r="BN362" s="943"/>
      <c r="BO362" s="943"/>
    </row>
    <row r="363" spans="1:67" ht="20.100000000000001" customHeight="1" outlineLevel="1">
      <c r="A363" s="823"/>
      <c r="B363" s="1870"/>
      <c r="C363" s="1872"/>
      <c r="D363" s="824" t="s">
        <v>4399</v>
      </c>
      <c r="E363" s="818"/>
      <c r="F363" s="825"/>
      <c r="G363" s="826" t="s">
        <v>3777</v>
      </c>
      <c r="H363" s="882"/>
      <c r="I363" s="882"/>
      <c r="J363" s="882"/>
      <c r="K363" s="882"/>
      <c r="L363" s="943"/>
      <c r="M363" s="943"/>
      <c r="N363" s="943"/>
      <c r="O363" s="943"/>
      <c r="P363" s="943"/>
      <c r="Q363" s="943"/>
      <c r="R363" s="943"/>
      <c r="S363" s="943"/>
      <c r="T363" s="943"/>
      <c r="U363" s="943"/>
      <c r="V363" s="943"/>
      <c r="W363" s="943"/>
      <c r="X363" s="943"/>
      <c r="Y363" s="943"/>
      <c r="Z363" s="943"/>
      <c r="AA363" s="943"/>
      <c r="AB363" s="943"/>
      <c r="AC363" s="943"/>
      <c r="AD363" s="943"/>
      <c r="AE363" s="943"/>
      <c r="AF363" s="943"/>
      <c r="AG363" s="943"/>
      <c r="AH363" s="943"/>
      <c r="AI363" s="943"/>
      <c r="AJ363" s="943"/>
      <c r="AK363" s="943"/>
      <c r="AL363" s="943"/>
      <c r="AM363" s="943"/>
      <c r="AN363" s="943"/>
      <c r="AO363" s="943"/>
      <c r="AP363" s="943"/>
      <c r="AQ363" s="943"/>
      <c r="AR363" s="943"/>
      <c r="AS363" s="943"/>
      <c r="AT363" s="943"/>
      <c r="AU363" s="943"/>
      <c r="AV363" s="943"/>
      <c r="AW363" s="943"/>
      <c r="AX363" s="943"/>
      <c r="AY363" s="943"/>
      <c r="AZ363" s="943"/>
      <c r="BA363" s="943"/>
      <c r="BB363" s="943"/>
      <c r="BC363" s="943"/>
      <c r="BD363" s="943"/>
      <c r="BE363" s="943"/>
      <c r="BF363" s="943"/>
      <c r="BG363" s="943"/>
      <c r="BH363" s="943"/>
      <c r="BI363" s="943"/>
      <c r="BJ363" s="943"/>
      <c r="BK363" s="943"/>
      <c r="BL363" s="943"/>
      <c r="BM363" s="943"/>
      <c r="BN363" s="943"/>
      <c r="BO363" s="943"/>
    </row>
    <row r="364" spans="1:67" ht="20.100000000000001" customHeight="1" outlineLevel="1">
      <c r="A364" s="823"/>
      <c r="B364" s="1870"/>
      <c r="C364" s="1872"/>
      <c r="D364" s="824" t="s">
        <v>4400</v>
      </c>
      <c r="E364" s="824"/>
      <c r="F364" s="825"/>
      <c r="G364" s="826" t="s">
        <v>3777</v>
      </c>
      <c r="H364" s="882"/>
      <c r="I364" s="882"/>
      <c r="J364" s="882"/>
      <c r="K364" s="882"/>
      <c r="L364" s="943"/>
      <c r="M364" s="943"/>
      <c r="N364" s="943"/>
      <c r="O364" s="943"/>
      <c r="P364" s="943"/>
      <c r="Q364" s="943"/>
      <c r="R364" s="943"/>
      <c r="S364" s="943"/>
      <c r="T364" s="943"/>
      <c r="U364" s="943"/>
      <c r="V364" s="943"/>
      <c r="W364" s="943"/>
      <c r="X364" s="943"/>
      <c r="Y364" s="943"/>
      <c r="Z364" s="943"/>
      <c r="AA364" s="943"/>
      <c r="AB364" s="943"/>
      <c r="AC364" s="943"/>
      <c r="AD364" s="943"/>
      <c r="AE364" s="943"/>
      <c r="AF364" s="943"/>
      <c r="AG364" s="943"/>
      <c r="AH364" s="943"/>
      <c r="AI364" s="943"/>
      <c r="AJ364" s="943"/>
      <c r="AK364" s="943"/>
      <c r="AL364" s="943"/>
      <c r="AM364" s="943"/>
      <c r="AN364" s="943"/>
      <c r="AO364" s="943"/>
      <c r="AP364" s="943"/>
      <c r="AQ364" s="943"/>
      <c r="AR364" s="943"/>
      <c r="AS364" s="943"/>
      <c r="AT364" s="943"/>
      <c r="AU364" s="943"/>
      <c r="AV364" s="943"/>
      <c r="AW364" s="943"/>
      <c r="AX364" s="943"/>
      <c r="AY364" s="943"/>
      <c r="AZ364" s="943"/>
      <c r="BA364" s="943"/>
      <c r="BB364" s="943"/>
      <c r="BC364" s="943"/>
      <c r="BD364" s="943"/>
      <c r="BE364" s="943"/>
      <c r="BF364" s="943"/>
      <c r="BG364" s="943"/>
      <c r="BH364" s="943"/>
      <c r="BI364" s="943"/>
      <c r="BJ364" s="943"/>
      <c r="BK364" s="943"/>
      <c r="BL364" s="943"/>
      <c r="BM364" s="943"/>
      <c r="BN364" s="943"/>
      <c r="BO364" s="943"/>
    </row>
    <row r="365" spans="1:67" ht="20.100000000000001" customHeight="1" outlineLevel="1">
      <c r="A365" s="823"/>
      <c r="B365" s="1870"/>
      <c r="C365" s="1872"/>
      <c r="D365" s="824" t="s">
        <v>4401</v>
      </c>
      <c r="E365" s="824"/>
      <c r="F365" s="825"/>
      <c r="G365" s="826" t="s">
        <v>3777</v>
      </c>
      <c r="H365" s="882"/>
      <c r="I365" s="882"/>
      <c r="J365" s="882"/>
      <c r="K365" s="882"/>
      <c r="L365" s="943"/>
      <c r="M365" s="943"/>
      <c r="N365" s="943"/>
      <c r="O365" s="943"/>
      <c r="P365" s="943"/>
      <c r="Q365" s="943"/>
      <c r="R365" s="943"/>
      <c r="S365" s="943"/>
      <c r="T365" s="943"/>
      <c r="U365" s="943"/>
      <c r="V365" s="943"/>
      <c r="W365" s="943"/>
      <c r="X365" s="943"/>
      <c r="Y365" s="943"/>
      <c r="Z365" s="943"/>
      <c r="AA365" s="943"/>
      <c r="AB365" s="943"/>
      <c r="AC365" s="943"/>
      <c r="AD365" s="943"/>
      <c r="AE365" s="943"/>
      <c r="AF365" s="943"/>
      <c r="AG365" s="943"/>
      <c r="AH365" s="943"/>
      <c r="AI365" s="943"/>
      <c r="AJ365" s="943"/>
      <c r="AK365" s="943"/>
      <c r="AL365" s="943"/>
      <c r="AM365" s="943"/>
      <c r="AN365" s="943"/>
      <c r="AO365" s="943"/>
      <c r="AP365" s="943"/>
      <c r="AQ365" s="943"/>
      <c r="AR365" s="943"/>
      <c r="AS365" s="943"/>
      <c r="AT365" s="943"/>
      <c r="AU365" s="943"/>
      <c r="AV365" s="943"/>
      <c r="AW365" s="943"/>
      <c r="AX365" s="943"/>
      <c r="AY365" s="943"/>
      <c r="AZ365" s="943"/>
      <c r="BA365" s="943"/>
      <c r="BB365" s="943"/>
      <c r="BC365" s="943"/>
      <c r="BD365" s="943"/>
      <c r="BE365" s="943"/>
      <c r="BF365" s="943"/>
      <c r="BG365" s="943"/>
      <c r="BH365" s="943"/>
      <c r="BI365" s="943"/>
      <c r="BJ365" s="943"/>
      <c r="BK365" s="943"/>
      <c r="BL365" s="943"/>
      <c r="BM365" s="943"/>
      <c r="BN365" s="943"/>
      <c r="BO365" s="943"/>
    </row>
    <row r="366" spans="1:67" ht="20.100000000000001" customHeight="1" outlineLevel="1">
      <c r="A366" s="823"/>
      <c r="B366" s="1870"/>
      <c r="C366" s="1872"/>
      <c r="D366" s="824" t="s">
        <v>4402</v>
      </c>
      <c r="E366" s="824"/>
      <c r="F366" s="825"/>
      <c r="G366" s="826" t="s">
        <v>3777</v>
      </c>
      <c r="H366" s="882"/>
      <c r="I366" s="882"/>
      <c r="J366" s="882"/>
      <c r="K366" s="882"/>
      <c r="L366" s="943"/>
      <c r="M366" s="943"/>
      <c r="N366" s="943"/>
      <c r="O366" s="943"/>
      <c r="P366" s="943"/>
      <c r="Q366" s="943"/>
      <c r="R366" s="943"/>
      <c r="S366" s="943"/>
      <c r="T366" s="943"/>
      <c r="U366" s="943"/>
      <c r="V366" s="943"/>
      <c r="W366" s="943"/>
      <c r="X366" s="943"/>
      <c r="Y366" s="943"/>
      <c r="Z366" s="943"/>
      <c r="AA366" s="943"/>
      <c r="AB366" s="943"/>
      <c r="AC366" s="943"/>
      <c r="AD366" s="943"/>
      <c r="AE366" s="943"/>
      <c r="AF366" s="943"/>
      <c r="AG366" s="943"/>
      <c r="AH366" s="943"/>
      <c r="AI366" s="943"/>
      <c r="AJ366" s="943"/>
      <c r="AK366" s="943"/>
      <c r="AL366" s="943"/>
      <c r="AM366" s="943"/>
      <c r="AN366" s="943"/>
      <c r="AO366" s="943"/>
      <c r="AP366" s="943"/>
      <c r="AQ366" s="943"/>
      <c r="AR366" s="943"/>
      <c r="AS366" s="943"/>
      <c r="AT366" s="943"/>
      <c r="AU366" s="943"/>
      <c r="AV366" s="943"/>
      <c r="AW366" s="943"/>
      <c r="AX366" s="943"/>
      <c r="AY366" s="943"/>
      <c r="AZ366" s="943"/>
      <c r="BA366" s="943"/>
      <c r="BB366" s="943"/>
      <c r="BC366" s="943"/>
      <c r="BD366" s="943"/>
      <c r="BE366" s="943"/>
      <c r="BF366" s="943"/>
      <c r="BG366" s="943"/>
      <c r="BH366" s="943"/>
      <c r="BI366" s="943"/>
      <c r="BJ366" s="943"/>
      <c r="BK366" s="943"/>
      <c r="BL366" s="943"/>
      <c r="BM366" s="943"/>
      <c r="BN366" s="943"/>
      <c r="BO366" s="943"/>
    </row>
    <row r="367" spans="1:67" ht="20.100000000000001" customHeight="1" outlineLevel="1">
      <c r="A367" s="823"/>
      <c r="B367" s="1870"/>
      <c r="C367" s="1872"/>
      <c r="D367" s="824" t="s">
        <v>4403</v>
      </c>
      <c r="E367" s="824"/>
      <c r="F367" s="825"/>
      <c r="G367" s="826" t="s">
        <v>3777</v>
      </c>
      <c r="H367" s="882"/>
      <c r="I367" s="882"/>
      <c r="J367" s="882"/>
      <c r="K367" s="882"/>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c r="AM367" s="943"/>
      <c r="AN367" s="943"/>
      <c r="AO367" s="943"/>
      <c r="AP367" s="943"/>
      <c r="AQ367" s="943"/>
      <c r="AR367" s="943"/>
      <c r="AS367" s="943"/>
      <c r="AT367" s="943"/>
      <c r="AU367" s="943"/>
      <c r="AV367" s="943"/>
      <c r="AW367" s="943"/>
      <c r="AX367" s="943"/>
      <c r="AY367" s="943"/>
      <c r="AZ367" s="943"/>
      <c r="BA367" s="943"/>
      <c r="BB367" s="943"/>
      <c r="BC367" s="943"/>
      <c r="BD367" s="943"/>
      <c r="BE367" s="943"/>
      <c r="BF367" s="943"/>
      <c r="BG367" s="943"/>
      <c r="BH367" s="943"/>
      <c r="BI367" s="943"/>
      <c r="BJ367" s="943"/>
      <c r="BK367" s="943"/>
      <c r="BL367" s="943"/>
      <c r="BM367" s="943"/>
      <c r="BN367" s="943"/>
      <c r="BO367" s="943"/>
    </row>
    <row r="368" spans="1:67" ht="20.100000000000001" customHeight="1" outlineLevel="1">
      <c r="A368" s="823"/>
      <c r="B368" s="1870"/>
      <c r="C368" s="1872"/>
      <c r="D368" s="824" t="s">
        <v>4169</v>
      </c>
      <c r="E368" s="824"/>
      <c r="F368" s="825"/>
      <c r="G368" s="826" t="s">
        <v>3777</v>
      </c>
      <c r="H368" s="882"/>
      <c r="I368" s="882"/>
      <c r="J368" s="882"/>
      <c r="K368" s="882"/>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c r="AM368" s="943"/>
      <c r="AN368" s="943"/>
      <c r="AO368" s="943"/>
      <c r="AP368" s="943"/>
      <c r="AQ368" s="943"/>
      <c r="AR368" s="943"/>
      <c r="AS368" s="943"/>
      <c r="AT368" s="943"/>
      <c r="AU368" s="943"/>
      <c r="AV368" s="943"/>
      <c r="AW368" s="943"/>
      <c r="AX368" s="943"/>
      <c r="AY368" s="943"/>
      <c r="AZ368" s="943"/>
      <c r="BA368" s="943"/>
      <c r="BB368" s="943"/>
      <c r="BC368" s="943"/>
      <c r="BD368" s="943"/>
      <c r="BE368" s="943"/>
      <c r="BF368" s="943"/>
      <c r="BG368" s="943"/>
      <c r="BH368" s="943"/>
      <c r="BI368" s="943"/>
      <c r="BJ368" s="943"/>
      <c r="BK368" s="943"/>
      <c r="BL368" s="943"/>
      <c r="BM368" s="943"/>
      <c r="BN368" s="943"/>
      <c r="BO368" s="943"/>
    </row>
    <row r="369" spans="1:67" ht="20.100000000000001" customHeight="1" outlineLevel="1">
      <c r="A369" s="823"/>
      <c r="B369" s="1870"/>
      <c r="C369" s="1872"/>
      <c r="D369" s="824" t="s">
        <v>4170</v>
      </c>
      <c r="E369" s="818"/>
      <c r="F369" s="825"/>
      <c r="G369" s="826" t="s">
        <v>3777</v>
      </c>
      <c r="H369" s="882"/>
      <c r="I369" s="882"/>
      <c r="J369" s="882"/>
      <c r="K369" s="882"/>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AI369" s="943"/>
      <c r="AJ369" s="943"/>
      <c r="AK369" s="943"/>
      <c r="AL369" s="943"/>
      <c r="AM369" s="943"/>
      <c r="AN369" s="943"/>
      <c r="AO369" s="943"/>
      <c r="AP369" s="943"/>
      <c r="AQ369" s="943"/>
      <c r="AR369" s="943"/>
      <c r="AS369" s="943"/>
      <c r="AT369" s="943"/>
      <c r="AU369" s="943"/>
      <c r="AV369" s="943"/>
      <c r="AW369" s="943"/>
      <c r="AX369" s="943"/>
      <c r="AY369" s="943"/>
      <c r="AZ369" s="943"/>
      <c r="BA369" s="943"/>
      <c r="BB369" s="943"/>
      <c r="BC369" s="943"/>
      <c r="BD369" s="943"/>
      <c r="BE369" s="943"/>
      <c r="BF369" s="943"/>
      <c r="BG369" s="943"/>
      <c r="BH369" s="943"/>
      <c r="BI369" s="943"/>
      <c r="BJ369" s="943"/>
      <c r="BK369" s="943"/>
      <c r="BL369" s="943"/>
      <c r="BM369" s="943"/>
      <c r="BN369" s="943"/>
      <c r="BO369" s="943"/>
    </row>
    <row r="370" spans="1:67" ht="20.100000000000001" customHeight="1" outlineLevel="1">
      <c r="A370" s="823"/>
      <c r="B370" s="1870"/>
      <c r="C370" s="1872"/>
      <c r="D370" s="824" t="s">
        <v>4171</v>
      </c>
      <c r="E370" s="824"/>
      <c r="F370" s="825"/>
      <c r="G370" s="826" t="s">
        <v>4158</v>
      </c>
      <c r="H370" s="882"/>
      <c r="I370" s="882"/>
      <c r="J370" s="882"/>
      <c r="K370" s="882"/>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AI370" s="943"/>
      <c r="AJ370" s="943"/>
      <c r="AK370" s="943"/>
      <c r="AL370" s="943"/>
      <c r="AM370" s="943"/>
      <c r="AN370" s="943"/>
      <c r="AO370" s="943"/>
      <c r="AP370" s="943"/>
      <c r="AQ370" s="943"/>
      <c r="AR370" s="943"/>
      <c r="AS370" s="943"/>
      <c r="AT370" s="943"/>
      <c r="AU370" s="943"/>
      <c r="AV370" s="943"/>
      <c r="AW370" s="943"/>
      <c r="AX370" s="943"/>
      <c r="AY370" s="943"/>
      <c r="AZ370" s="943"/>
      <c r="BA370" s="943"/>
      <c r="BB370" s="943"/>
      <c r="BC370" s="943"/>
      <c r="BD370" s="943"/>
      <c r="BE370" s="943"/>
      <c r="BF370" s="943"/>
      <c r="BG370" s="943"/>
      <c r="BH370" s="943"/>
      <c r="BI370" s="943"/>
      <c r="BJ370" s="943"/>
      <c r="BK370" s="943"/>
      <c r="BL370" s="943"/>
      <c r="BM370" s="943"/>
      <c r="BN370" s="943"/>
      <c r="BO370" s="943"/>
    </row>
    <row r="371" spans="1:67" ht="20.100000000000001" customHeight="1" outlineLevel="1">
      <c r="A371" s="823"/>
      <c r="B371" s="1870"/>
      <c r="C371" s="1872"/>
      <c r="D371" s="824" t="s">
        <v>4172</v>
      </c>
      <c r="E371" s="824"/>
      <c r="F371" s="825"/>
      <c r="G371" s="826" t="s">
        <v>4158</v>
      </c>
      <c r="H371" s="882"/>
      <c r="I371" s="882"/>
      <c r="J371" s="882"/>
      <c r="K371" s="882"/>
      <c r="L371" s="943"/>
      <c r="M371" s="943"/>
      <c r="N371" s="943"/>
      <c r="O371" s="943"/>
      <c r="P371" s="943"/>
      <c r="Q371" s="943"/>
      <c r="R371" s="943"/>
      <c r="S371" s="943"/>
      <c r="T371" s="943"/>
      <c r="U371" s="943"/>
      <c r="V371" s="943"/>
      <c r="W371" s="943"/>
      <c r="X371" s="943"/>
      <c r="Y371" s="943"/>
      <c r="Z371" s="943"/>
      <c r="AA371" s="943"/>
      <c r="AB371" s="943"/>
      <c r="AC371" s="943"/>
      <c r="AD371" s="943"/>
      <c r="AE371" s="943"/>
      <c r="AF371" s="943"/>
      <c r="AG371" s="943"/>
      <c r="AH371" s="943"/>
      <c r="AI371" s="943"/>
      <c r="AJ371" s="943"/>
      <c r="AK371" s="943"/>
      <c r="AL371" s="943"/>
      <c r="AM371" s="943"/>
      <c r="AN371" s="943"/>
      <c r="AO371" s="943"/>
      <c r="AP371" s="943"/>
      <c r="AQ371" s="943"/>
      <c r="AR371" s="943"/>
      <c r="AS371" s="943"/>
      <c r="AT371" s="943"/>
      <c r="AU371" s="943"/>
      <c r="AV371" s="943"/>
      <c r="AW371" s="943"/>
      <c r="AX371" s="943"/>
      <c r="AY371" s="943"/>
      <c r="AZ371" s="943"/>
      <c r="BA371" s="943"/>
      <c r="BB371" s="943"/>
      <c r="BC371" s="943"/>
      <c r="BD371" s="943"/>
      <c r="BE371" s="943"/>
      <c r="BF371" s="943"/>
      <c r="BG371" s="943"/>
      <c r="BH371" s="943"/>
      <c r="BI371" s="943"/>
      <c r="BJ371" s="943"/>
      <c r="BK371" s="943"/>
      <c r="BL371" s="943"/>
      <c r="BM371" s="943"/>
      <c r="BN371" s="943"/>
      <c r="BO371" s="943"/>
    </row>
    <row r="372" spans="1:67" ht="20.100000000000001" customHeight="1" outlineLevel="1">
      <c r="A372" s="823"/>
      <c r="B372" s="1870"/>
      <c r="C372" s="1872"/>
      <c r="D372" s="824" t="s">
        <v>4404</v>
      </c>
      <c r="E372" s="824"/>
      <c r="F372" s="825"/>
      <c r="G372" s="826" t="s">
        <v>4158</v>
      </c>
      <c r="H372" s="882"/>
      <c r="I372" s="882"/>
      <c r="J372" s="882"/>
      <c r="K372" s="882"/>
      <c r="L372" s="943"/>
      <c r="M372" s="943"/>
      <c r="N372" s="943"/>
      <c r="O372" s="943"/>
      <c r="P372" s="943"/>
      <c r="Q372" s="943"/>
      <c r="R372" s="943"/>
      <c r="S372" s="943"/>
      <c r="T372" s="943"/>
      <c r="U372" s="943"/>
      <c r="V372" s="943"/>
      <c r="W372" s="943"/>
      <c r="X372" s="943"/>
      <c r="Y372" s="943"/>
      <c r="Z372" s="943"/>
      <c r="AA372" s="943"/>
      <c r="AB372" s="943"/>
      <c r="AC372" s="943"/>
      <c r="AD372" s="943"/>
      <c r="AE372" s="943"/>
      <c r="AF372" s="943"/>
      <c r="AG372" s="943"/>
      <c r="AH372" s="943"/>
      <c r="AI372" s="943"/>
      <c r="AJ372" s="943"/>
      <c r="AK372" s="943"/>
      <c r="AL372" s="943"/>
      <c r="AM372" s="943"/>
      <c r="AN372" s="943"/>
      <c r="AO372" s="943"/>
      <c r="AP372" s="943"/>
      <c r="AQ372" s="943"/>
      <c r="AR372" s="943"/>
      <c r="AS372" s="943"/>
      <c r="AT372" s="943"/>
      <c r="AU372" s="943"/>
      <c r="AV372" s="943"/>
      <c r="AW372" s="943"/>
      <c r="AX372" s="943"/>
      <c r="AY372" s="943"/>
      <c r="AZ372" s="943"/>
      <c r="BA372" s="943"/>
      <c r="BB372" s="943"/>
      <c r="BC372" s="943"/>
      <c r="BD372" s="943"/>
      <c r="BE372" s="943"/>
      <c r="BF372" s="943"/>
      <c r="BG372" s="943"/>
      <c r="BH372" s="943"/>
      <c r="BI372" s="943"/>
      <c r="BJ372" s="943"/>
      <c r="BK372" s="943"/>
      <c r="BL372" s="943"/>
      <c r="BM372" s="943"/>
      <c r="BN372" s="943"/>
      <c r="BO372" s="943"/>
    </row>
    <row r="373" spans="1:67" ht="20.100000000000001" customHeight="1" outlineLevel="1">
      <c r="A373" s="823"/>
      <c r="B373" s="1870"/>
      <c r="C373" s="1872"/>
      <c r="D373" s="824" t="s">
        <v>4174</v>
      </c>
      <c r="E373" s="824"/>
      <c r="F373" s="825"/>
      <c r="G373" s="826" t="s">
        <v>4158</v>
      </c>
      <c r="H373" s="882"/>
      <c r="I373" s="882"/>
      <c r="J373" s="882"/>
      <c r="K373" s="882"/>
      <c r="L373" s="943"/>
      <c r="M373" s="943"/>
      <c r="N373" s="943"/>
      <c r="O373" s="943"/>
      <c r="P373" s="943"/>
      <c r="Q373" s="943"/>
      <c r="R373" s="943"/>
      <c r="S373" s="943"/>
      <c r="T373" s="943"/>
      <c r="U373" s="943"/>
      <c r="V373" s="943"/>
      <c r="W373" s="943"/>
      <c r="X373" s="943"/>
      <c r="Y373" s="943"/>
      <c r="Z373" s="943"/>
      <c r="AA373" s="943"/>
      <c r="AB373" s="943"/>
      <c r="AC373" s="943"/>
      <c r="AD373" s="943"/>
      <c r="AE373" s="943"/>
      <c r="AF373" s="943"/>
      <c r="AG373" s="943"/>
      <c r="AH373" s="943"/>
      <c r="AI373" s="943"/>
      <c r="AJ373" s="943"/>
      <c r="AK373" s="943"/>
      <c r="AL373" s="943"/>
      <c r="AM373" s="943"/>
      <c r="AN373" s="943"/>
      <c r="AO373" s="943"/>
      <c r="AP373" s="943"/>
      <c r="AQ373" s="943"/>
      <c r="AR373" s="943"/>
      <c r="AS373" s="943"/>
      <c r="AT373" s="943"/>
      <c r="AU373" s="943"/>
      <c r="AV373" s="943"/>
      <c r="AW373" s="943"/>
      <c r="AX373" s="943"/>
      <c r="AY373" s="943"/>
      <c r="AZ373" s="943"/>
      <c r="BA373" s="943"/>
      <c r="BB373" s="943"/>
      <c r="BC373" s="943"/>
      <c r="BD373" s="943"/>
      <c r="BE373" s="943"/>
      <c r="BF373" s="943"/>
      <c r="BG373" s="943"/>
      <c r="BH373" s="943"/>
      <c r="BI373" s="943"/>
      <c r="BJ373" s="943"/>
      <c r="BK373" s="943"/>
      <c r="BL373" s="943"/>
      <c r="BM373" s="943"/>
      <c r="BN373" s="943"/>
      <c r="BO373" s="943"/>
    </row>
    <row r="374" spans="1:67" ht="20.100000000000001" customHeight="1" outlineLevel="1">
      <c r="A374" s="823"/>
      <c r="B374" s="1871"/>
      <c r="C374" s="1872"/>
      <c r="D374" s="824" t="s">
        <v>4405</v>
      </c>
      <c r="E374" s="829"/>
      <c r="F374" s="825"/>
      <c r="G374" s="826" t="s">
        <v>4158</v>
      </c>
      <c r="H374" s="882"/>
      <c r="I374" s="882"/>
      <c r="J374" s="882"/>
      <c r="K374" s="882"/>
      <c r="L374" s="943"/>
      <c r="M374" s="943"/>
      <c r="N374" s="943"/>
      <c r="O374" s="943"/>
      <c r="P374" s="943"/>
      <c r="Q374" s="943"/>
      <c r="R374" s="943"/>
      <c r="S374" s="943"/>
      <c r="T374" s="943"/>
      <c r="U374" s="943"/>
      <c r="V374" s="943"/>
      <c r="W374" s="943"/>
      <c r="X374" s="943"/>
      <c r="Y374" s="943"/>
      <c r="Z374" s="943"/>
      <c r="AA374" s="943"/>
      <c r="AB374" s="943"/>
      <c r="AC374" s="943"/>
      <c r="AD374" s="943"/>
      <c r="AE374" s="943"/>
      <c r="AF374" s="943"/>
      <c r="AG374" s="943"/>
      <c r="AH374" s="943"/>
      <c r="AI374" s="943"/>
      <c r="AJ374" s="943"/>
      <c r="AK374" s="943"/>
      <c r="AL374" s="943"/>
      <c r="AM374" s="943"/>
      <c r="AN374" s="943"/>
      <c r="AO374" s="943"/>
      <c r="AP374" s="943"/>
      <c r="AQ374" s="943"/>
      <c r="AR374" s="943"/>
      <c r="AS374" s="943"/>
      <c r="AT374" s="943"/>
      <c r="AU374" s="943"/>
      <c r="AV374" s="943"/>
      <c r="AW374" s="943"/>
      <c r="AX374" s="943"/>
      <c r="AY374" s="943"/>
      <c r="AZ374" s="943"/>
      <c r="BA374" s="943"/>
      <c r="BB374" s="943"/>
      <c r="BC374" s="943"/>
      <c r="BD374" s="943"/>
      <c r="BE374" s="943"/>
      <c r="BF374" s="943"/>
      <c r="BG374" s="943"/>
      <c r="BH374" s="943"/>
      <c r="BI374" s="943"/>
      <c r="BJ374" s="943"/>
      <c r="BK374" s="943"/>
      <c r="BL374" s="943"/>
      <c r="BM374" s="943"/>
      <c r="BN374" s="943"/>
      <c r="BO374" s="943"/>
    </row>
    <row r="375" spans="1:67" ht="20.100000000000001" customHeight="1" outlineLevel="1">
      <c r="A375" s="823"/>
      <c r="B375" s="1870"/>
      <c r="C375" s="1872"/>
      <c r="D375" s="824" t="s">
        <v>4248</v>
      </c>
      <c r="E375" s="831" t="str">
        <f ca="1">E37</f>
        <v/>
      </c>
      <c r="F375" s="825"/>
      <c r="G375" s="831" t="str">
        <f ca="1">G37</f>
        <v/>
      </c>
      <c r="H375" s="882"/>
      <c r="I375" s="882"/>
      <c r="J375" s="882"/>
      <c r="K375" s="882"/>
      <c r="L375" s="943"/>
      <c r="M375" s="943"/>
      <c r="N375" s="943"/>
      <c r="O375" s="943"/>
      <c r="P375" s="943"/>
      <c r="Q375" s="943"/>
      <c r="R375" s="943"/>
      <c r="S375" s="943"/>
      <c r="T375" s="943"/>
      <c r="U375" s="943"/>
      <c r="V375" s="943"/>
      <c r="W375" s="943"/>
      <c r="X375" s="943"/>
      <c r="Y375" s="943"/>
      <c r="Z375" s="943"/>
      <c r="AA375" s="943"/>
      <c r="AB375" s="943"/>
      <c r="AC375" s="943"/>
      <c r="AD375" s="943"/>
      <c r="AE375" s="943"/>
      <c r="AF375" s="943"/>
      <c r="AG375" s="943"/>
      <c r="AH375" s="943"/>
      <c r="AI375" s="943"/>
      <c r="AJ375" s="943"/>
      <c r="AK375" s="943"/>
      <c r="AL375" s="943"/>
      <c r="AM375" s="943"/>
      <c r="AN375" s="943"/>
      <c r="AO375" s="943"/>
      <c r="AP375" s="943"/>
      <c r="AQ375" s="943"/>
      <c r="AR375" s="943"/>
      <c r="AS375" s="943"/>
      <c r="AT375" s="943"/>
      <c r="AU375" s="943"/>
      <c r="AV375" s="943"/>
      <c r="AW375" s="943"/>
      <c r="AX375" s="943"/>
      <c r="AY375" s="943"/>
      <c r="AZ375" s="943"/>
      <c r="BA375" s="943"/>
      <c r="BB375" s="943"/>
      <c r="BC375" s="943"/>
      <c r="BD375" s="943"/>
      <c r="BE375" s="943"/>
      <c r="BF375" s="943"/>
      <c r="BG375" s="943"/>
      <c r="BH375" s="943"/>
      <c r="BI375" s="943"/>
      <c r="BJ375" s="943"/>
      <c r="BK375" s="943"/>
      <c r="BL375" s="943"/>
      <c r="BM375" s="943"/>
      <c r="BN375" s="943"/>
      <c r="BO375" s="943"/>
    </row>
    <row r="376" spans="1:67" ht="20.100000000000001" customHeight="1" outlineLevel="1">
      <c r="A376" s="823"/>
      <c r="B376" s="1870"/>
      <c r="C376" s="1872" t="s">
        <v>4406</v>
      </c>
      <c r="D376" s="832" t="s">
        <v>4407</v>
      </c>
      <c r="E376" s="824"/>
      <c r="F376" s="825"/>
      <c r="G376" s="826" t="s">
        <v>3777</v>
      </c>
      <c r="H376" s="882"/>
      <c r="I376" s="882"/>
      <c r="J376" s="882"/>
      <c r="K376" s="882"/>
      <c r="L376" s="943"/>
      <c r="M376" s="943"/>
      <c r="N376" s="943"/>
      <c r="O376" s="943"/>
      <c r="P376" s="943"/>
      <c r="Q376" s="943"/>
      <c r="R376" s="943"/>
      <c r="S376" s="943"/>
      <c r="T376" s="943"/>
      <c r="U376" s="943"/>
      <c r="V376" s="943"/>
      <c r="W376" s="943"/>
      <c r="X376" s="943"/>
      <c r="Y376" s="943"/>
      <c r="Z376" s="943"/>
      <c r="AA376" s="943"/>
      <c r="AB376" s="943"/>
      <c r="AC376" s="943"/>
      <c r="AD376" s="943"/>
      <c r="AE376" s="943"/>
      <c r="AF376" s="943"/>
      <c r="AG376" s="943"/>
      <c r="AH376" s="943"/>
      <c r="AI376" s="943"/>
      <c r="AJ376" s="943"/>
      <c r="AK376" s="943"/>
      <c r="AL376" s="943"/>
      <c r="AM376" s="943"/>
      <c r="AN376" s="943"/>
      <c r="AO376" s="943"/>
      <c r="AP376" s="943"/>
      <c r="AQ376" s="943"/>
      <c r="AR376" s="943"/>
      <c r="AS376" s="943"/>
      <c r="AT376" s="943"/>
      <c r="AU376" s="943"/>
      <c r="AV376" s="943"/>
      <c r="AW376" s="943"/>
      <c r="AX376" s="943"/>
      <c r="AY376" s="943"/>
      <c r="AZ376" s="943"/>
      <c r="BA376" s="943"/>
      <c r="BB376" s="943"/>
      <c r="BC376" s="943"/>
      <c r="BD376" s="943"/>
      <c r="BE376" s="943"/>
      <c r="BF376" s="943"/>
      <c r="BG376" s="943"/>
      <c r="BH376" s="943"/>
      <c r="BI376" s="943"/>
      <c r="BJ376" s="943"/>
      <c r="BK376" s="943"/>
      <c r="BL376" s="943"/>
      <c r="BM376" s="943"/>
      <c r="BN376" s="943"/>
      <c r="BO376" s="943"/>
    </row>
    <row r="377" spans="1:67" ht="20.100000000000001" customHeight="1" outlineLevel="1">
      <c r="A377" s="823"/>
      <c r="B377" s="1870"/>
      <c r="C377" s="1872"/>
      <c r="D377" s="832" t="s">
        <v>4408</v>
      </c>
      <c r="E377" s="824"/>
      <c r="F377" s="825"/>
      <c r="G377" s="826" t="s">
        <v>3777</v>
      </c>
      <c r="H377" s="882"/>
      <c r="I377" s="882"/>
      <c r="J377" s="882"/>
      <c r="K377" s="882"/>
      <c r="L377" s="943"/>
      <c r="M377" s="943"/>
      <c r="N377" s="943"/>
      <c r="O377" s="943"/>
      <c r="P377" s="943"/>
      <c r="Q377" s="943"/>
      <c r="R377" s="943"/>
      <c r="S377" s="943"/>
      <c r="T377" s="943"/>
      <c r="U377" s="943"/>
      <c r="V377" s="943"/>
      <c r="W377" s="943"/>
      <c r="X377" s="943"/>
      <c r="Y377" s="943"/>
      <c r="Z377" s="943"/>
      <c r="AA377" s="943"/>
      <c r="AB377" s="943"/>
      <c r="AC377" s="943"/>
      <c r="AD377" s="943"/>
      <c r="AE377" s="943"/>
      <c r="AF377" s="943"/>
      <c r="AG377" s="943"/>
      <c r="AH377" s="943"/>
      <c r="AI377" s="943"/>
      <c r="AJ377" s="943"/>
      <c r="AK377" s="943"/>
      <c r="AL377" s="943"/>
      <c r="AM377" s="943"/>
      <c r="AN377" s="943"/>
      <c r="AO377" s="943"/>
      <c r="AP377" s="943"/>
      <c r="AQ377" s="943"/>
      <c r="AR377" s="943"/>
      <c r="AS377" s="943"/>
      <c r="AT377" s="943"/>
      <c r="AU377" s="943"/>
      <c r="AV377" s="943"/>
      <c r="AW377" s="943"/>
      <c r="AX377" s="943"/>
      <c r="AY377" s="943"/>
      <c r="AZ377" s="943"/>
      <c r="BA377" s="943"/>
      <c r="BB377" s="943"/>
      <c r="BC377" s="943"/>
      <c r="BD377" s="943"/>
      <c r="BE377" s="943"/>
      <c r="BF377" s="943"/>
      <c r="BG377" s="943"/>
      <c r="BH377" s="943"/>
      <c r="BI377" s="943"/>
      <c r="BJ377" s="943"/>
      <c r="BK377" s="943"/>
      <c r="BL377" s="943"/>
      <c r="BM377" s="943"/>
      <c r="BN377" s="943"/>
      <c r="BO377" s="943"/>
    </row>
    <row r="378" spans="1:67" ht="20.100000000000001" customHeight="1" outlineLevel="1">
      <c r="A378" s="823"/>
      <c r="B378" s="1870"/>
      <c r="C378" s="1872"/>
      <c r="D378" s="832" t="s">
        <v>4409</v>
      </c>
      <c r="E378" s="818"/>
      <c r="F378" s="825"/>
      <c r="G378" s="826" t="s">
        <v>3777</v>
      </c>
      <c r="H378" s="882"/>
      <c r="I378" s="882"/>
      <c r="J378" s="882"/>
      <c r="K378" s="882"/>
      <c r="L378" s="943"/>
      <c r="M378" s="943"/>
      <c r="N378" s="943"/>
      <c r="O378" s="943"/>
      <c r="P378" s="943"/>
      <c r="Q378" s="943"/>
      <c r="R378" s="943"/>
      <c r="S378" s="943"/>
      <c r="T378" s="943"/>
      <c r="U378" s="943"/>
      <c r="V378" s="943"/>
      <c r="W378" s="943"/>
      <c r="X378" s="943"/>
      <c r="Y378" s="943"/>
      <c r="Z378" s="943"/>
      <c r="AA378" s="943"/>
      <c r="AB378" s="943"/>
      <c r="AC378" s="943"/>
      <c r="AD378" s="943"/>
      <c r="AE378" s="943"/>
      <c r="AF378" s="943"/>
      <c r="AG378" s="943"/>
      <c r="AH378" s="943"/>
      <c r="AI378" s="943"/>
      <c r="AJ378" s="943"/>
      <c r="AK378" s="943"/>
      <c r="AL378" s="943"/>
      <c r="AM378" s="943"/>
      <c r="AN378" s="943"/>
      <c r="AO378" s="943"/>
      <c r="AP378" s="943"/>
      <c r="AQ378" s="943"/>
      <c r="AR378" s="943"/>
      <c r="AS378" s="943"/>
      <c r="AT378" s="943"/>
      <c r="AU378" s="943"/>
      <c r="AV378" s="943"/>
      <c r="AW378" s="943"/>
      <c r="AX378" s="943"/>
      <c r="AY378" s="943"/>
      <c r="AZ378" s="943"/>
      <c r="BA378" s="943"/>
      <c r="BB378" s="943"/>
      <c r="BC378" s="943"/>
      <c r="BD378" s="943"/>
      <c r="BE378" s="943"/>
      <c r="BF378" s="943"/>
      <c r="BG378" s="943"/>
      <c r="BH378" s="943"/>
      <c r="BI378" s="943"/>
      <c r="BJ378" s="943"/>
      <c r="BK378" s="943"/>
      <c r="BL378" s="943"/>
      <c r="BM378" s="943"/>
      <c r="BN378" s="943"/>
      <c r="BO378" s="943"/>
    </row>
    <row r="379" spans="1:67" ht="20.100000000000001" customHeight="1" outlineLevel="1">
      <c r="A379" s="823"/>
      <c r="B379" s="1870"/>
      <c r="C379" s="1872"/>
      <c r="D379" s="824" t="s">
        <v>4179</v>
      </c>
      <c r="E379" s="824"/>
      <c r="F379" s="825"/>
      <c r="G379" s="826" t="s">
        <v>4144</v>
      </c>
      <c r="H379" s="882"/>
      <c r="I379" s="882"/>
      <c r="J379" s="882"/>
      <c r="K379" s="882"/>
      <c r="L379" s="943"/>
      <c r="M379" s="943"/>
      <c r="N379" s="943"/>
      <c r="O379" s="943"/>
      <c r="P379" s="943"/>
      <c r="Q379" s="943"/>
      <c r="R379" s="943"/>
      <c r="S379" s="943"/>
      <c r="T379" s="943"/>
      <c r="U379" s="943"/>
      <c r="V379" s="943"/>
      <c r="W379" s="943"/>
      <c r="X379" s="943"/>
      <c r="Y379" s="943"/>
      <c r="Z379" s="943"/>
      <c r="AA379" s="943"/>
      <c r="AB379" s="943"/>
      <c r="AC379" s="943"/>
      <c r="AD379" s="943"/>
      <c r="AE379" s="943"/>
      <c r="AF379" s="943"/>
      <c r="AG379" s="943"/>
      <c r="AH379" s="943"/>
      <c r="AI379" s="943"/>
      <c r="AJ379" s="943"/>
      <c r="AK379" s="943"/>
      <c r="AL379" s="943"/>
      <c r="AM379" s="943"/>
      <c r="AN379" s="943"/>
      <c r="AO379" s="943"/>
      <c r="AP379" s="943"/>
      <c r="AQ379" s="943"/>
      <c r="AR379" s="943"/>
      <c r="AS379" s="943"/>
      <c r="AT379" s="943"/>
      <c r="AU379" s="943"/>
      <c r="AV379" s="943"/>
      <c r="AW379" s="943"/>
      <c r="AX379" s="943"/>
      <c r="AY379" s="943"/>
      <c r="AZ379" s="943"/>
      <c r="BA379" s="943"/>
      <c r="BB379" s="943"/>
      <c r="BC379" s="943"/>
      <c r="BD379" s="943"/>
      <c r="BE379" s="943"/>
      <c r="BF379" s="943"/>
      <c r="BG379" s="943"/>
      <c r="BH379" s="943"/>
      <c r="BI379" s="943"/>
      <c r="BJ379" s="943"/>
      <c r="BK379" s="943"/>
      <c r="BL379" s="943"/>
      <c r="BM379" s="943"/>
      <c r="BN379" s="943"/>
      <c r="BO379" s="943"/>
    </row>
    <row r="380" spans="1:67" ht="20.100000000000001" customHeight="1" outlineLevel="1">
      <c r="A380" s="823"/>
      <c r="B380" s="1870"/>
      <c r="C380" s="1872"/>
      <c r="D380" s="824" t="s">
        <v>4180</v>
      </c>
      <c r="E380" s="824"/>
      <c r="F380" s="825"/>
      <c r="G380" s="826" t="s">
        <v>4144</v>
      </c>
      <c r="H380" s="882"/>
      <c r="I380" s="882"/>
      <c r="J380" s="882"/>
      <c r="K380" s="882"/>
      <c r="L380" s="943"/>
      <c r="M380" s="943"/>
      <c r="N380" s="943"/>
      <c r="O380" s="943"/>
      <c r="P380" s="943"/>
      <c r="Q380" s="943"/>
      <c r="R380" s="943"/>
      <c r="S380" s="943"/>
      <c r="T380" s="943"/>
      <c r="U380" s="943"/>
      <c r="V380" s="943"/>
      <c r="W380" s="943"/>
      <c r="X380" s="943"/>
      <c r="Y380" s="943"/>
      <c r="Z380" s="943"/>
      <c r="AA380" s="943"/>
      <c r="AB380" s="943"/>
      <c r="AC380" s="943"/>
      <c r="AD380" s="943"/>
      <c r="AE380" s="943"/>
      <c r="AF380" s="943"/>
      <c r="AG380" s="943"/>
      <c r="AH380" s="943"/>
      <c r="AI380" s="943"/>
      <c r="AJ380" s="943"/>
      <c r="AK380" s="943"/>
      <c r="AL380" s="943"/>
      <c r="AM380" s="943"/>
      <c r="AN380" s="943"/>
      <c r="AO380" s="943"/>
      <c r="AP380" s="943"/>
      <c r="AQ380" s="943"/>
      <c r="AR380" s="943"/>
      <c r="AS380" s="943"/>
      <c r="AT380" s="943"/>
      <c r="AU380" s="943"/>
      <c r="AV380" s="943"/>
      <c r="AW380" s="943"/>
      <c r="AX380" s="943"/>
      <c r="AY380" s="943"/>
      <c r="AZ380" s="943"/>
      <c r="BA380" s="943"/>
      <c r="BB380" s="943"/>
      <c r="BC380" s="943"/>
      <c r="BD380" s="943"/>
      <c r="BE380" s="943"/>
      <c r="BF380" s="943"/>
      <c r="BG380" s="943"/>
      <c r="BH380" s="943"/>
      <c r="BI380" s="943"/>
      <c r="BJ380" s="943"/>
      <c r="BK380" s="943"/>
      <c r="BL380" s="943"/>
      <c r="BM380" s="943"/>
      <c r="BN380" s="943"/>
      <c r="BO380" s="943"/>
    </row>
    <row r="381" spans="1:67" ht="20.100000000000001" customHeight="1" outlineLevel="1">
      <c r="A381" s="823"/>
      <c r="B381" s="1870"/>
      <c r="C381" s="1872"/>
      <c r="D381" s="824" t="s">
        <v>4181</v>
      </c>
      <c r="E381" s="824"/>
      <c r="F381" s="825"/>
      <c r="G381" s="826" t="s">
        <v>4158</v>
      </c>
      <c r="H381" s="882"/>
      <c r="I381" s="882"/>
      <c r="J381" s="882"/>
      <c r="K381" s="882"/>
      <c r="L381" s="943"/>
      <c r="M381" s="943"/>
      <c r="N381" s="943"/>
      <c r="O381" s="943"/>
      <c r="P381" s="943"/>
      <c r="Q381" s="943"/>
      <c r="R381" s="943"/>
      <c r="S381" s="943"/>
      <c r="T381" s="943"/>
      <c r="U381" s="943"/>
      <c r="V381" s="943"/>
      <c r="W381" s="943"/>
      <c r="X381" s="943"/>
      <c r="Y381" s="943"/>
      <c r="Z381" s="943"/>
      <c r="AA381" s="943"/>
      <c r="AB381" s="943"/>
      <c r="AC381" s="943"/>
      <c r="AD381" s="943"/>
      <c r="AE381" s="943"/>
      <c r="AF381" s="943"/>
      <c r="AG381" s="943"/>
      <c r="AH381" s="943"/>
      <c r="AI381" s="943"/>
      <c r="AJ381" s="943"/>
      <c r="AK381" s="943"/>
      <c r="AL381" s="943"/>
      <c r="AM381" s="943"/>
      <c r="AN381" s="943"/>
      <c r="AO381" s="943"/>
      <c r="AP381" s="943"/>
      <c r="AQ381" s="943"/>
      <c r="AR381" s="943"/>
      <c r="AS381" s="943"/>
      <c r="AT381" s="943"/>
      <c r="AU381" s="943"/>
      <c r="AV381" s="943"/>
      <c r="AW381" s="943"/>
      <c r="AX381" s="943"/>
      <c r="AY381" s="943"/>
      <c r="AZ381" s="943"/>
      <c r="BA381" s="943"/>
      <c r="BB381" s="943"/>
      <c r="BC381" s="943"/>
      <c r="BD381" s="943"/>
      <c r="BE381" s="943"/>
      <c r="BF381" s="943"/>
      <c r="BG381" s="943"/>
      <c r="BH381" s="943"/>
      <c r="BI381" s="943"/>
      <c r="BJ381" s="943"/>
      <c r="BK381" s="943"/>
      <c r="BL381" s="943"/>
      <c r="BM381" s="943"/>
      <c r="BN381" s="943"/>
      <c r="BO381" s="943"/>
    </row>
    <row r="382" spans="1:67" ht="20.100000000000001" customHeight="1" outlineLevel="1">
      <c r="A382" s="823"/>
      <c r="B382" s="1870"/>
      <c r="C382" s="1872"/>
      <c r="D382" s="824" t="s">
        <v>4410</v>
      </c>
      <c r="E382" s="831" t="str">
        <f ca="1">E44</f>
        <v/>
      </c>
      <c r="F382" s="833"/>
      <c r="G382" s="826" t="s">
        <v>3777</v>
      </c>
      <c r="H382" s="882"/>
      <c r="I382" s="882"/>
      <c r="J382" s="882"/>
      <c r="K382" s="882"/>
      <c r="L382" s="943"/>
      <c r="M382" s="943"/>
      <c r="N382" s="943"/>
      <c r="O382" s="943"/>
      <c r="P382" s="943"/>
      <c r="Q382" s="943"/>
      <c r="R382" s="943"/>
      <c r="S382" s="943"/>
      <c r="T382" s="943"/>
      <c r="U382" s="943"/>
      <c r="V382" s="943"/>
      <c r="W382" s="943"/>
      <c r="X382" s="943"/>
      <c r="Y382" s="943"/>
      <c r="Z382" s="943"/>
      <c r="AA382" s="943"/>
      <c r="AB382" s="943"/>
      <c r="AC382" s="943"/>
      <c r="AD382" s="943"/>
      <c r="AE382" s="943"/>
      <c r="AF382" s="943"/>
      <c r="AG382" s="943"/>
      <c r="AH382" s="943"/>
      <c r="AI382" s="943"/>
      <c r="AJ382" s="943"/>
      <c r="AK382" s="943"/>
      <c r="AL382" s="943"/>
      <c r="AM382" s="943"/>
      <c r="AN382" s="943"/>
      <c r="AO382" s="943"/>
      <c r="AP382" s="943"/>
      <c r="AQ382" s="943"/>
      <c r="AR382" s="943"/>
      <c r="AS382" s="943"/>
      <c r="AT382" s="943"/>
      <c r="AU382" s="943"/>
      <c r="AV382" s="943"/>
      <c r="AW382" s="943"/>
      <c r="AX382" s="943"/>
      <c r="AY382" s="943"/>
      <c r="AZ382" s="943"/>
      <c r="BA382" s="943"/>
      <c r="BB382" s="943"/>
      <c r="BC382" s="943"/>
      <c r="BD382" s="943"/>
      <c r="BE382" s="943"/>
      <c r="BF382" s="943"/>
      <c r="BG382" s="943"/>
      <c r="BH382" s="943"/>
      <c r="BI382" s="943"/>
      <c r="BJ382" s="943"/>
      <c r="BK382" s="943"/>
      <c r="BL382" s="943"/>
      <c r="BM382" s="943"/>
      <c r="BN382" s="943"/>
      <c r="BO382" s="943"/>
    </row>
    <row r="383" spans="1:67" ht="20.100000000000001" customHeight="1" outlineLevel="1">
      <c r="A383" s="823"/>
      <c r="B383" s="1870"/>
      <c r="C383" s="1872"/>
      <c r="D383" s="832" t="s">
        <v>4183</v>
      </c>
      <c r="E383" s="824"/>
      <c r="F383" s="825"/>
      <c r="G383" s="826" t="s">
        <v>3777</v>
      </c>
      <c r="H383" s="882"/>
      <c r="I383" s="882"/>
      <c r="J383" s="882"/>
      <c r="K383" s="882"/>
      <c r="L383" s="943"/>
      <c r="M383" s="943"/>
      <c r="N383" s="943"/>
      <c r="O383" s="943"/>
      <c r="P383" s="943"/>
      <c r="Q383" s="943"/>
      <c r="R383" s="943"/>
      <c r="S383" s="943"/>
      <c r="T383" s="943"/>
      <c r="U383" s="943"/>
      <c r="V383" s="943"/>
      <c r="W383" s="943"/>
      <c r="X383" s="943"/>
      <c r="Y383" s="943"/>
      <c r="Z383" s="943"/>
      <c r="AA383" s="943"/>
      <c r="AB383" s="943"/>
      <c r="AC383" s="943"/>
      <c r="AD383" s="943"/>
      <c r="AE383" s="943"/>
      <c r="AF383" s="943"/>
      <c r="AG383" s="943"/>
      <c r="AH383" s="943"/>
      <c r="AI383" s="943"/>
      <c r="AJ383" s="943"/>
      <c r="AK383" s="943"/>
      <c r="AL383" s="943"/>
      <c r="AM383" s="943"/>
      <c r="AN383" s="943"/>
      <c r="AO383" s="943"/>
      <c r="AP383" s="943"/>
      <c r="AQ383" s="943"/>
      <c r="AR383" s="943"/>
      <c r="AS383" s="943"/>
      <c r="AT383" s="943"/>
      <c r="AU383" s="943"/>
      <c r="AV383" s="943"/>
      <c r="AW383" s="943"/>
      <c r="AX383" s="943"/>
      <c r="AY383" s="943"/>
      <c r="AZ383" s="943"/>
      <c r="BA383" s="943"/>
      <c r="BB383" s="943"/>
      <c r="BC383" s="943"/>
      <c r="BD383" s="943"/>
      <c r="BE383" s="943"/>
      <c r="BF383" s="943"/>
      <c r="BG383" s="943"/>
      <c r="BH383" s="943"/>
      <c r="BI383" s="943"/>
      <c r="BJ383" s="943"/>
      <c r="BK383" s="943"/>
      <c r="BL383" s="943"/>
      <c r="BM383" s="943"/>
      <c r="BN383" s="943"/>
      <c r="BO383" s="943"/>
    </row>
    <row r="384" spans="1:67" ht="20.100000000000001" customHeight="1" outlineLevel="1">
      <c r="A384" s="823"/>
      <c r="B384" s="1870"/>
      <c r="C384" s="1872"/>
      <c r="D384" s="832" t="s">
        <v>4184</v>
      </c>
      <c r="E384" s="834"/>
      <c r="F384" s="825"/>
      <c r="G384" s="826" t="s">
        <v>3777</v>
      </c>
      <c r="H384" s="882"/>
      <c r="I384" s="882"/>
      <c r="J384" s="882"/>
      <c r="K384" s="882"/>
      <c r="L384" s="943"/>
      <c r="M384" s="943"/>
      <c r="N384" s="943"/>
      <c r="O384" s="943"/>
      <c r="P384" s="943"/>
      <c r="Q384" s="943"/>
      <c r="R384" s="943"/>
      <c r="S384" s="943"/>
      <c r="T384" s="943"/>
      <c r="U384" s="943"/>
      <c r="V384" s="943"/>
      <c r="W384" s="943"/>
      <c r="X384" s="943"/>
      <c r="Y384" s="943"/>
      <c r="Z384" s="943"/>
      <c r="AA384" s="943"/>
      <c r="AB384" s="943"/>
      <c r="AC384" s="943"/>
      <c r="AD384" s="943"/>
      <c r="AE384" s="943"/>
      <c r="AF384" s="943"/>
      <c r="AG384" s="943"/>
      <c r="AH384" s="943"/>
      <c r="AI384" s="943"/>
      <c r="AJ384" s="943"/>
      <c r="AK384" s="943"/>
      <c r="AL384" s="943"/>
      <c r="AM384" s="943"/>
      <c r="AN384" s="943"/>
      <c r="AO384" s="943"/>
      <c r="AP384" s="943"/>
      <c r="AQ384" s="943"/>
      <c r="AR384" s="943"/>
      <c r="AS384" s="943"/>
      <c r="AT384" s="943"/>
      <c r="AU384" s="943"/>
      <c r="AV384" s="943"/>
      <c r="AW384" s="943"/>
      <c r="AX384" s="943"/>
      <c r="AY384" s="943"/>
      <c r="AZ384" s="943"/>
      <c r="BA384" s="943"/>
      <c r="BB384" s="943"/>
      <c r="BC384" s="943"/>
      <c r="BD384" s="943"/>
      <c r="BE384" s="943"/>
      <c r="BF384" s="943"/>
      <c r="BG384" s="943"/>
      <c r="BH384" s="943"/>
      <c r="BI384" s="943"/>
      <c r="BJ384" s="943"/>
      <c r="BK384" s="943"/>
      <c r="BL384" s="943"/>
      <c r="BM384" s="943"/>
      <c r="BN384" s="943"/>
      <c r="BO384" s="943"/>
    </row>
    <row r="385" spans="1:68" ht="20.100000000000001" customHeight="1" outlineLevel="1">
      <c r="A385" s="823"/>
      <c r="B385" s="1870"/>
      <c r="C385" s="1872"/>
      <c r="D385" s="832" t="s">
        <v>4411</v>
      </c>
      <c r="E385" s="818"/>
      <c r="F385" s="825"/>
      <c r="G385" s="826" t="s">
        <v>3777</v>
      </c>
      <c r="H385" s="882"/>
      <c r="I385" s="882"/>
      <c r="J385" s="882"/>
      <c r="K385" s="882"/>
      <c r="L385" s="943"/>
      <c r="M385" s="943"/>
      <c r="N385" s="943"/>
      <c r="O385" s="943"/>
      <c r="P385" s="943"/>
      <c r="Q385" s="943"/>
      <c r="R385" s="943"/>
      <c r="S385" s="943"/>
      <c r="T385" s="943"/>
      <c r="U385" s="943"/>
      <c r="V385" s="943"/>
      <c r="W385" s="943"/>
      <c r="X385" s="943"/>
      <c r="Y385" s="943"/>
      <c r="Z385" s="943"/>
      <c r="AA385" s="943"/>
      <c r="AB385" s="943"/>
      <c r="AC385" s="943"/>
      <c r="AD385" s="943"/>
      <c r="AE385" s="943"/>
      <c r="AF385" s="943"/>
      <c r="AG385" s="943"/>
      <c r="AH385" s="943"/>
      <c r="AI385" s="943"/>
      <c r="AJ385" s="943"/>
      <c r="AK385" s="943"/>
      <c r="AL385" s="943"/>
      <c r="AM385" s="943"/>
      <c r="AN385" s="943"/>
      <c r="AO385" s="943"/>
      <c r="AP385" s="943"/>
      <c r="AQ385" s="943"/>
      <c r="AR385" s="943"/>
      <c r="AS385" s="943"/>
      <c r="AT385" s="943"/>
      <c r="AU385" s="943"/>
      <c r="AV385" s="943"/>
      <c r="AW385" s="943"/>
      <c r="AX385" s="943"/>
      <c r="AY385" s="943"/>
      <c r="AZ385" s="943"/>
      <c r="BA385" s="943"/>
      <c r="BB385" s="943"/>
      <c r="BC385" s="943"/>
      <c r="BD385" s="943"/>
      <c r="BE385" s="943"/>
      <c r="BF385" s="943"/>
      <c r="BG385" s="943"/>
      <c r="BH385" s="943"/>
      <c r="BI385" s="943"/>
      <c r="BJ385" s="943"/>
      <c r="BK385" s="943"/>
      <c r="BL385" s="943"/>
      <c r="BM385" s="943"/>
      <c r="BN385" s="943"/>
      <c r="BO385" s="943"/>
    </row>
    <row r="386" spans="1:68" ht="20.100000000000001" customHeight="1" outlineLevel="1">
      <c r="A386" s="823"/>
      <c r="B386" s="1871"/>
      <c r="C386" s="1872"/>
      <c r="D386" s="832" t="s">
        <v>4412</v>
      </c>
      <c r="E386" s="824"/>
      <c r="F386" s="825"/>
      <c r="G386" s="826" t="s">
        <v>3777</v>
      </c>
      <c r="H386" s="882"/>
      <c r="I386" s="882"/>
      <c r="J386" s="882"/>
      <c r="K386" s="882"/>
      <c r="L386" s="943"/>
      <c r="M386" s="943"/>
      <c r="N386" s="943"/>
      <c r="O386" s="943"/>
      <c r="P386" s="943"/>
      <c r="Q386" s="943"/>
      <c r="R386" s="943"/>
      <c r="S386" s="943"/>
      <c r="T386" s="943"/>
      <c r="U386" s="943"/>
      <c r="V386" s="943"/>
      <c r="W386" s="943"/>
      <c r="X386" s="943"/>
      <c r="Y386" s="943"/>
      <c r="Z386" s="943"/>
      <c r="AA386" s="943"/>
      <c r="AB386" s="943"/>
      <c r="AC386" s="943"/>
      <c r="AD386" s="943"/>
      <c r="AE386" s="943"/>
      <c r="AF386" s="943"/>
      <c r="AG386" s="943"/>
      <c r="AH386" s="943"/>
      <c r="AI386" s="943"/>
      <c r="AJ386" s="943"/>
      <c r="AK386" s="943"/>
      <c r="AL386" s="943"/>
      <c r="AM386" s="943"/>
      <c r="AN386" s="943"/>
      <c r="AO386" s="943"/>
      <c r="AP386" s="943"/>
      <c r="AQ386" s="943"/>
      <c r="AR386" s="943"/>
      <c r="AS386" s="943"/>
      <c r="AT386" s="943"/>
      <c r="AU386" s="943"/>
      <c r="AV386" s="943"/>
      <c r="AW386" s="943"/>
      <c r="AX386" s="943"/>
      <c r="AY386" s="943"/>
      <c r="AZ386" s="943"/>
      <c r="BA386" s="943"/>
      <c r="BB386" s="943"/>
      <c r="BC386" s="943"/>
      <c r="BD386" s="943"/>
      <c r="BE386" s="943"/>
      <c r="BF386" s="943"/>
      <c r="BG386" s="943"/>
      <c r="BH386" s="943"/>
      <c r="BI386" s="943"/>
      <c r="BJ386" s="943"/>
      <c r="BK386" s="943"/>
      <c r="BL386" s="943"/>
      <c r="BM386" s="943"/>
      <c r="BN386" s="943"/>
      <c r="BO386" s="943"/>
    </row>
    <row r="387" spans="1:68" ht="20.100000000000001" customHeight="1" outlineLevel="1">
      <c r="A387" s="823"/>
      <c r="B387" s="1871"/>
      <c r="C387" s="1872"/>
      <c r="D387" s="832" t="s">
        <v>4413</v>
      </c>
      <c r="E387" s="824"/>
      <c r="F387" s="825"/>
      <c r="G387" s="826" t="s">
        <v>3777</v>
      </c>
      <c r="H387" s="882"/>
      <c r="I387" s="882"/>
      <c r="J387" s="882"/>
      <c r="K387" s="882"/>
      <c r="L387" s="943"/>
      <c r="M387" s="943"/>
      <c r="N387" s="943"/>
      <c r="O387" s="943"/>
      <c r="P387" s="943"/>
      <c r="Q387" s="943"/>
      <c r="R387" s="943"/>
      <c r="S387" s="943"/>
      <c r="T387" s="943"/>
      <c r="U387" s="943"/>
      <c r="V387" s="943"/>
      <c r="W387" s="943"/>
      <c r="X387" s="943"/>
      <c r="Y387" s="943"/>
      <c r="Z387" s="943"/>
      <c r="AA387" s="943"/>
      <c r="AB387" s="943"/>
      <c r="AC387" s="943"/>
      <c r="AD387" s="943"/>
      <c r="AE387" s="943"/>
      <c r="AF387" s="943"/>
      <c r="AG387" s="943"/>
      <c r="AH387" s="943"/>
      <c r="AI387" s="943"/>
      <c r="AJ387" s="943"/>
      <c r="AK387" s="943"/>
      <c r="AL387" s="943"/>
      <c r="AM387" s="943"/>
      <c r="AN387" s="943"/>
      <c r="AO387" s="943"/>
      <c r="AP387" s="943"/>
      <c r="AQ387" s="943"/>
      <c r="AR387" s="943"/>
      <c r="AS387" s="943"/>
      <c r="AT387" s="943"/>
      <c r="AU387" s="943"/>
      <c r="AV387" s="943"/>
      <c r="AW387" s="943"/>
      <c r="AX387" s="943"/>
      <c r="AY387" s="943"/>
      <c r="AZ387" s="943"/>
      <c r="BA387" s="943"/>
      <c r="BB387" s="943"/>
      <c r="BC387" s="943"/>
      <c r="BD387" s="943"/>
      <c r="BE387" s="943"/>
      <c r="BF387" s="943"/>
      <c r="BG387" s="943"/>
      <c r="BH387" s="943"/>
      <c r="BI387" s="943"/>
      <c r="BJ387" s="943"/>
      <c r="BK387" s="943"/>
      <c r="BL387" s="943"/>
      <c r="BM387" s="943"/>
      <c r="BN387" s="943"/>
      <c r="BO387" s="943"/>
    </row>
    <row r="388" spans="1:68" ht="20.100000000000001" customHeight="1" outlineLevel="1">
      <c r="A388" s="823"/>
      <c r="B388" s="1871"/>
      <c r="C388" s="1872"/>
      <c r="D388" s="832" t="s">
        <v>4414</v>
      </c>
      <c r="E388" s="824"/>
      <c r="F388" s="825"/>
      <c r="G388" s="826" t="s">
        <v>4144</v>
      </c>
      <c r="H388" s="882"/>
      <c r="I388" s="882"/>
      <c r="J388" s="882"/>
      <c r="K388" s="882"/>
      <c r="L388" s="943"/>
      <c r="M388" s="943"/>
      <c r="N388" s="943"/>
      <c r="O388" s="943"/>
      <c r="P388" s="943"/>
      <c r="Q388" s="943"/>
      <c r="R388" s="943"/>
      <c r="S388" s="943"/>
      <c r="T388" s="943"/>
      <c r="U388" s="943"/>
      <c r="V388" s="943"/>
      <c r="W388" s="943"/>
      <c r="X388" s="943"/>
      <c r="Y388" s="943"/>
      <c r="Z388" s="943"/>
      <c r="AA388" s="943"/>
      <c r="AB388" s="943"/>
      <c r="AC388" s="943"/>
      <c r="AD388" s="943"/>
      <c r="AE388" s="943"/>
      <c r="AF388" s="943"/>
      <c r="AG388" s="943"/>
      <c r="AH388" s="943"/>
      <c r="AI388" s="943"/>
      <c r="AJ388" s="943"/>
      <c r="AK388" s="943"/>
      <c r="AL388" s="943"/>
      <c r="AM388" s="943"/>
      <c r="AN388" s="943"/>
      <c r="AO388" s="943"/>
      <c r="AP388" s="943"/>
      <c r="AQ388" s="943"/>
      <c r="AR388" s="943"/>
      <c r="AS388" s="943"/>
      <c r="AT388" s="943"/>
      <c r="AU388" s="943"/>
      <c r="AV388" s="943"/>
      <c r="AW388" s="943"/>
      <c r="AX388" s="943"/>
      <c r="AY388" s="943"/>
      <c r="AZ388" s="943"/>
      <c r="BA388" s="943"/>
      <c r="BB388" s="943"/>
      <c r="BC388" s="943"/>
      <c r="BD388" s="943"/>
      <c r="BE388" s="943"/>
      <c r="BF388" s="943"/>
      <c r="BG388" s="943"/>
      <c r="BH388" s="943"/>
      <c r="BI388" s="943"/>
      <c r="BJ388" s="943"/>
      <c r="BK388" s="943"/>
      <c r="BL388" s="943"/>
      <c r="BM388" s="943"/>
      <c r="BN388" s="943"/>
      <c r="BO388" s="943"/>
    </row>
    <row r="389" spans="1:68" ht="20.100000000000001" customHeight="1" outlineLevel="1">
      <c r="A389" s="823"/>
      <c r="B389" s="1870"/>
      <c r="C389" s="1872"/>
      <c r="D389" s="824" t="s">
        <v>4415</v>
      </c>
      <c r="E389" s="824"/>
      <c r="F389" s="825"/>
      <c r="G389" s="826" t="s">
        <v>4158</v>
      </c>
      <c r="H389" s="882"/>
      <c r="I389" s="882"/>
      <c r="J389" s="882"/>
      <c r="K389" s="882"/>
      <c r="L389" s="943"/>
      <c r="M389" s="943"/>
      <c r="N389" s="943"/>
      <c r="O389" s="943"/>
      <c r="P389" s="943"/>
      <c r="Q389" s="943"/>
      <c r="R389" s="943"/>
      <c r="S389" s="943"/>
      <c r="T389" s="943"/>
      <c r="U389" s="943"/>
      <c r="V389" s="943"/>
      <c r="W389" s="943"/>
      <c r="X389" s="943"/>
      <c r="Y389" s="943"/>
      <c r="Z389" s="943"/>
      <c r="AA389" s="943"/>
      <c r="AB389" s="943"/>
      <c r="AC389" s="943"/>
      <c r="AD389" s="943"/>
      <c r="AE389" s="943"/>
      <c r="AF389" s="943"/>
      <c r="AG389" s="943"/>
      <c r="AH389" s="943"/>
      <c r="AI389" s="943"/>
      <c r="AJ389" s="943"/>
      <c r="AK389" s="943"/>
      <c r="AL389" s="943"/>
      <c r="AM389" s="943"/>
      <c r="AN389" s="943"/>
      <c r="AO389" s="943"/>
      <c r="AP389" s="943"/>
      <c r="AQ389" s="943"/>
      <c r="AR389" s="943"/>
      <c r="AS389" s="943"/>
      <c r="AT389" s="943"/>
      <c r="AU389" s="943"/>
      <c r="AV389" s="943"/>
      <c r="AW389" s="943"/>
      <c r="AX389" s="943"/>
      <c r="AY389" s="943"/>
      <c r="AZ389" s="943"/>
      <c r="BA389" s="943"/>
      <c r="BB389" s="943"/>
      <c r="BC389" s="943"/>
      <c r="BD389" s="943"/>
      <c r="BE389" s="943"/>
      <c r="BF389" s="943"/>
      <c r="BG389" s="943"/>
      <c r="BH389" s="943"/>
      <c r="BI389" s="943"/>
      <c r="BJ389" s="943"/>
      <c r="BK389" s="943"/>
      <c r="BL389" s="943"/>
      <c r="BM389" s="943"/>
      <c r="BN389" s="943"/>
      <c r="BO389" s="943"/>
    </row>
    <row r="390" spans="1:68" ht="20.100000000000001" customHeight="1" outlineLevel="1">
      <c r="A390" s="823"/>
      <c r="B390" s="1870"/>
      <c r="C390" s="1872"/>
      <c r="D390" s="824" t="s">
        <v>4416</v>
      </c>
      <c r="E390" s="824"/>
      <c r="F390" s="825"/>
      <c r="G390" s="826" t="s">
        <v>3777</v>
      </c>
      <c r="H390" s="882"/>
      <c r="I390" s="882"/>
      <c r="J390" s="882"/>
      <c r="K390" s="882"/>
      <c r="L390" s="943"/>
      <c r="M390" s="943"/>
      <c r="N390" s="943"/>
      <c r="O390" s="943"/>
      <c r="P390" s="943"/>
      <c r="Q390" s="943"/>
      <c r="R390" s="943"/>
      <c r="S390" s="943"/>
      <c r="T390" s="943"/>
      <c r="U390" s="943"/>
      <c r="V390" s="943"/>
      <c r="W390" s="943"/>
      <c r="X390" s="943"/>
      <c r="Y390" s="943"/>
      <c r="Z390" s="943"/>
      <c r="AA390" s="943"/>
      <c r="AB390" s="943"/>
      <c r="AC390" s="943"/>
      <c r="AD390" s="943"/>
      <c r="AE390" s="943"/>
      <c r="AF390" s="943"/>
      <c r="AG390" s="943"/>
      <c r="AH390" s="943"/>
      <c r="AI390" s="943"/>
      <c r="AJ390" s="943"/>
      <c r="AK390" s="943"/>
      <c r="AL390" s="943"/>
      <c r="AM390" s="943"/>
      <c r="AN390" s="943"/>
      <c r="AO390" s="943"/>
      <c r="AP390" s="943"/>
      <c r="AQ390" s="943"/>
      <c r="AR390" s="943"/>
      <c r="AS390" s="943"/>
      <c r="AT390" s="943"/>
      <c r="AU390" s="943"/>
      <c r="AV390" s="943"/>
      <c r="AW390" s="943"/>
      <c r="AX390" s="943"/>
      <c r="AY390" s="943"/>
      <c r="AZ390" s="943"/>
      <c r="BA390" s="943"/>
      <c r="BB390" s="943"/>
      <c r="BC390" s="943"/>
      <c r="BD390" s="943"/>
      <c r="BE390" s="943"/>
      <c r="BF390" s="943"/>
      <c r="BG390" s="943"/>
      <c r="BH390" s="943"/>
      <c r="BI390" s="943"/>
      <c r="BJ390" s="943"/>
      <c r="BK390" s="943"/>
      <c r="BL390" s="943"/>
      <c r="BM390" s="943"/>
      <c r="BN390" s="943"/>
      <c r="BO390" s="943"/>
    </row>
    <row r="391" spans="1:68" ht="20.100000000000001" customHeight="1" outlineLevel="1">
      <c r="A391" s="823"/>
      <c r="B391" s="1870"/>
      <c r="C391" s="1872"/>
      <c r="D391" s="824" t="s">
        <v>4417</v>
      </c>
      <c r="E391" s="824"/>
      <c r="F391" s="825"/>
      <c r="G391" s="826" t="s">
        <v>3777</v>
      </c>
      <c r="H391" s="882"/>
      <c r="I391" s="882"/>
      <c r="J391" s="882"/>
      <c r="K391" s="882"/>
      <c r="L391" s="943"/>
      <c r="M391" s="943"/>
      <c r="N391" s="943"/>
      <c r="O391" s="943"/>
      <c r="P391" s="943"/>
      <c r="Q391" s="943"/>
      <c r="R391" s="943"/>
      <c r="S391" s="943"/>
      <c r="T391" s="943"/>
      <c r="U391" s="943"/>
      <c r="V391" s="943"/>
      <c r="W391" s="943"/>
      <c r="X391" s="943"/>
      <c r="Y391" s="943"/>
      <c r="Z391" s="943"/>
      <c r="AA391" s="943"/>
      <c r="AB391" s="943"/>
      <c r="AC391" s="943"/>
      <c r="AD391" s="943"/>
      <c r="AE391" s="943"/>
      <c r="AF391" s="943"/>
      <c r="AG391" s="943"/>
      <c r="AH391" s="943"/>
      <c r="AI391" s="943"/>
      <c r="AJ391" s="943"/>
      <c r="AK391" s="943"/>
      <c r="AL391" s="943"/>
      <c r="AM391" s="943"/>
      <c r="AN391" s="943"/>
      <c r="AO391" s="943"/>
      <c r="AP391" s="943"/>
      <c r="AQ391" s="943"/>
      <c r="AR391" s="943"/>
      <c r="AS391" s="943"/>
      <c r="AT391" s="943"/>
      <c r="AU391" s="943"/>
      <c r="AV391" s="943"/>
      <c r="AW391" s="943"/>
      <c r="AX391" s="943"/>
      <c r="AY391" s="943"/>
      <c r="AZ391" s="943"/>
      <c r="BA391" s="943"/>
      <c r="BB391" s="943"/>
      <c r="BC391" s="943"/>
      <c r="BD391" s="943"/>
      <c r="BE391" s="943"/>
      <c r="BF391" s="943"/>
      <c r="BG391" s="943"/>
      <c r="BH391" s="943"/>
      <c r="BI391" s="943"/>
      <c r="BJ391" s="943"/>
      <c r="BK391" s="943"/>
      <c r="BL391" s="943"/>
      <c r="BM391" s="943"/>
      <c r="BN391" s="943"/>
      <c r="BO391" s="943"/>
    </row>
    <row r="392" spans="1:68" ht="20.100000000000001" customHeight="1" outlineLevel="1">
      <c r="A392" s="823"/>
      <c r="B392" s="1870"/>
      <c r="C392" s="1872"/>
      <c r="D392" s="824" t="s">
        <v>4192</v>
      </c>
      <c r="E392" s="824"/>
      <c r="F392" s="825"/>
      <c r="G392" s="826" t="s">
        <v>3777</v>
      </c>
      <c r="H392" s="882"/>
      <c r="I392" s="882"/>
      <c r="J392" s="882"/>
      <c r="K392" s="882"/>
      <c r="L392" s="943"/>
      <c r="M392" s="943"/>
      <c r="N392" s="943"/>
      <c r="O392" s="943"/>
      <c r="P392" s="943"/>
      <c r="Q392" s="943"/>
      <c r="R392" s="943"/>
      <c r="S392" s="943"/>
      <c r="T392" s="943"/>
      <c r="U392" s="943"/>
      <c r="V392" s="943"/>
      <c r="W392" s="943"/>
      <c r="X392" s="943"/>
      <c r="Y392" s="943"/>
      <c r="Z392" s="943"/>
      <c r="AA392" s="943"/>
      <c r="AB392" s="943"/>
      <c r="AC392" s="943"/>
      <c r="AD392" s="943"/>
      <c r="AE392" s="943"/>
      <c r="AF392" s="943"/>
      <c r="AG392" s="943"/>
      <c r="AH392" s="943"/>
      <c r="AI392" s="943"/>
      <c r="AJ392" s="943"/>
      <c r="AK392" s="943"/>
      <c r="AL392" s="943"/>
      <c r="AM392" s="943"/>
      <c r="AN392" s="943"/>
      <c r="AO392" s="943"/>
      <c r="AP392" s="943"/>
      <c r="AQ392" s="943"/>
      <c r="AR392" s="943"/>
      <c r="AS392" s="943"/>
      <c r="AT392" s="943"/>
      <c r="AU392" s="943"/>
      <c r="AV392" s="943"/>
      <c r="AW392" s="943"/>
      <c r="AX392" s="943"/>
      <c r="AY392" s="943"/>
      <c r="AZ392" s="943"/>
      <c r="BA392" s="943"/>
      <c r="BB392" s="943"/>
      <c r="BC392" s="943"/>
      <c r="BD392" s="943"/>
      <c r="BE392" s="943"/>
      <c r="BF392" s="943"/>
      <c r="BG392" s="943"/>
      <c r="BH392" s="943"/>
      <c r="BI392" s="943"/>
      <c r="BJ392" s="943"/>
      <c r="BK392" s="943"/>
      <c r="BL392" s="943"/>
      <c r="BM392" s="943"/>
      <c r="BN392" s="943"/>
      <c r="BO392" s="943"/>
    </row>
    <row r="393" spans="1:68" ht="20.100000000000001" customHeight="1" outlineLevel="1">
      <c r="A393" s="823"/>
      <c r="B393" s="1870"/>
      <c r="C393" s="1872"/>
      <c r="D393" s="824" t="s">
        <v>4418</v>
      </c>
      <c r="E393" s="831" t="str">
        <f ca="1">E55</f>
        <v/>
      </c>
      <c r="F393" s="833"/>
      <c r="G393" s="831" t="str">
        <f ca="1">G55</f>
        <v/>
      </c>
      <c r="H393" s="882"/>
      <c r="I393" s="882"/>
      <c r="J393" s="882"/>
      <c r="K393" s="882"/>
      <c r="L393" s="943"/>
      <c r="M393" s="943"/>
      <c r="N393" s="943"/>
      <c r="O393" s="943"/>
      <c r="P393" s="943"/>
      <c r="Q393" s="943"/>
      <c r="R393" s="943"/>
      <c r="S393" s="943"/>
      <c r="T393" s="943"/>
      <c r="U393" s="943"/>
      <c r="V393" s="943"/>
      <c r="W393" s="943"/>
      <c r="X393" s="943"/>
      <c r="Y393" s="943"/>
      <c r="Z393" s="943"/>
      <c r="AA393" s="943"/>
      <c r="AB393" s="943"/>
      <c r="AC393" s="943"/>
      <c r="AD393" s="943"/>
      <c r="AE393" s="943"/>
      <c r="AF393" s="943"/>
      <c r="AG393" s="943"/>
      <c r="AH393" s="943"/>
      <c r="AI393" s="943"/>
      <c r="AJ393" s="943"/>
      <c r="AK393" s="943"/>
      <c r="AL393" s="943"/>
      <c r="AM393" s="943"/>
      <c r="AN393" s="943"/>
      <c r="AO393" s="943"/>
      <c r="AP393" s="943"/>
      <c r="AQ393" s="943"/>
      <c r="AR393" s="943"/>
      <c r="AS393" s="943"/>
      <c r="AT393" s="943"/>
      <c r="AU393" s="943"/>
      <c r="AV393" s="943"/>
      <c r="AW393" s="943"/>
      <c r="AX393" s="943"/>
      <c r="AY393" s="943"/>
      <c r="AZ393" s="943"/>
      <c r="BA393" s="943"/>
      <c r="BB393" s="943"/>
      <c r="BC393" s="943"/>
      <c r="BD393" s="943"/>
      <c r="BE393" s="943"/>
      <c r="BF393" s="943"/>
      <c r="BG393" s="943"/>
      <c r="BH393" s="943"/>
      <c r="BI393" s="943"/>
      <c r="BJ393" s="943"/>
      <c r="BK393" s="943"/>
      <c r="BL393" s="943"/>
      <c r="BM393" s="943"/>
      <c r="BN393" s="943"/>
      <c r="BO393" s="943"/>
    </row>
    <row r="394" spans="1:68" ht="20.100000000000001" customHeight="1" outlineLevel="1">
      <c r="A394" s="823"/>
      <c r="B394" s="1870"/>
      <c r="C394" s="1872"/>
      <c r="D394" s="824" t="s">
        <v>4419</v>
      </c>
      <c r="E394" s="831" t="str">
        <f ca="1">E56</f>
        <v/>
      </c>
      <c r="F394" s="833"/>
      <c r="G394" s="831" t="str">
        <f ca="1">G56</f>
        <v/>
      </c>
      <c r="H394" s="882"/>
      <c r="I394" s="882"/>
      <c r="J394" s="882"/>
      <c r="K394" s="882"/>
      <c r="L394" s="943"/>
      <c r="M394" s="943"/>
      <c r="N394" s="943"/>
      <c r="O394" s="943"/>
      <c r="P394" s="943"/>
      <c r="Q394" s="943"/>
      <c r="R394" s="943"/>
      <c r="S394" s="943"/>
      <c r="T394" s="943"/>
      <c r="U394" s="943"/>
      <c r="V394" s="943"/>
      <c r="W394" s="943"/>
      <c r="X394" s="943"/>
      <c r="Y394" s="943"/>
      <c r="Z394" s="943"/>
      <c r="AA394" s="943"/>
      <c r="AB394" s="943"/>
      <c r="AC394" s="943"/>
      <c r="AD394" s="943"/>
      <c r="AE394" s="943"/>
      <c r="AF394" s="943"/>
      <c r="AG394" s="943"/>
      <c r="AH394" s="943"/>
      <c r="AI394" s="943"/>
      <c r="AJ394" s="943"/>
      <c r="AK394" s="943"/>
      <c r="AL394" s="943"/>
      <c r="AM394" s="943"/>
      <c r="AN394" s="943"/>
      <c r="AO394" s="943"/>
      <c r="AP394" s="943"/>
      <c r="AQ394" s="943"/>
      <c r="AR394" s="943"/>
      <c r="AS394" s="943"/>
      <c r="AT394" s="943"/>
      <c r="AU394" s="943"/>
      <c r="AV394" s="943"/>
      <c r="AW394" s="943"/>
      <c r="AX394" s="943"/>
      <c r="AY394" s="943"/>
      <c r="AZ394" s="943"/>
      <c r="BA394" s="943"/>
      <c r="BB394" s="943"/>
      <c r="BC394" s="943"/>
      <c r="BD394" s="943"/>
      <c r="BE394" s="943"/>
      <c r="BF394" s="943"/>
      <c r="BG394" s="943"/>
      <c r="BH394" s="943"/>
      <c r="BI394" s="943"/>
      <c r="BJ394" s="943"/>
      <c r="BK394" s="943"/>
      <c r="BL394" s="943"/>
      <c r="BM394" s="943"/>
      <c r="BN394" s="943"/>
      <c r="BO394" s="943"/>
      <c r="BP394" s="841"/>
    </row>
    <row r="395" spans="1:68" ht="20.100000000000001" customHeight="1">
      <c r="A395" s="823">
        <v>56</v>
      </c>
      <c r="B395" s="1869" t="s">
        <v>4420</v>
      </c>
      <c r="C395" s="1872" t="s">
        <v>4421</v>
      </c>
      <c r="D395" s="824" t="s">
        <v>4422</v>
      </c>
      <c r="E395" s="829"/>
      <c r="F395" s="849"/>
      <c r="G395" s="826" t="s">
        <v>4196</v>
      </c>
      <c r="H395" s="827">
        <f t="shared" ref="H395:K405" ca="1" si="593">H57</f>
        <v>1.17</v>
      </c>
      <c r="I395" s="827">
        <f t="shared" ca="1" si="593"/>
        <v>1.17</v>
      </c>
      <c r="J395" s="827">
        <f t="shared" ca="1" si="593"/>
        <v>1.17</v>
      </c>
      <c r="K395" s="827">
        <f t="shared" ca="1" si="593"/>
        <v>1.17</v>
      </c>
      <c r="L395" s="828">
        <f t="shared" ref="L395:O405" ca="1" si="594">P395+T395</f>
        <v>0</v>
      </c>
      <c r="M395" s="828">
        <f t="shared" ca="1" si="594"/>
        <v>0</v>
      </c>
      <c r="N395" s="828">
        <f t="shared" ca="1" si="594"/>
        <v>0</v>
      </c>
      <c r="O395" s="828">
        <f t="shared" ca="1" si="594"/>
        <v>0</v>
      </c>
      <c r="P395" s="828">
        <f ca="1">SUM(SUMIFS(OFFSET(貼付け_2024実績,$A395,12,1,199),OFFSET(貼付け_2024実績,4,9,1,199),{"横浜*","川崎*"}))</f>
        <v>0</v>
      </c>
      <c r="Q395" s="828">
        <f ca="1">SUM(SUMIFS(OFFSET(貼付け_2025実績,$A395,12,1,199),OFFSET(貼付け_2025実績,4,9,1,199),{"横浜*","川崎*"}))</f>
        <v>0</v>
      </c>
      <c r="R395" s="828">
        <f ca="1">SUM(SUMIFS(OFFSET(貼付け_2026実績,$A395,12,1,199),OFFSET(貼付け_2026実績,4,9,1,199),{"横浜*","川崎*"}))</f>
        <v>0</v>
      </c>
      <c r="S395" s="828">
        <f ca="1">SUM(SUMIFS(OFFSET(貼付け_2027実績,$A395,12,1,199),OFFSET(貼付け_2027実績,4,9,1,199),{"横浜*","川崎*"}))</f>
        <v>0</v>
      </c>
      <c r="T395" s="828">
        <f t="shared" ref="T395:W405" ca="1" si="595">SUM(X395,AB395,AF395,AJ395,AN395,AR395,AV395,AZ395,BD395,BH395,BL395)</f>
        <v>0</v>
      </c>
      <c r="U395" s="828">
        <f t="shared" ca="1" si="595"/>
        <v>0</v>
      </c>
      <c r="V395" s="828">
        <f t="shared" ca="1" si="595"/>
        <v>0</v>
      </c>
      <c r="W395" s="828">
        <f t="shared" ca="1" si="595"/>
        <v>0</v>
      </c>
      <c r="X395" s="828">
        <f t="shared" ref="X395:X405" ca="1" si="596">SUMIFS(OFFSET(貼付け_2024実績,$A395,12,1,199),OFFSET(貼付け_2024実績,4,9,1,199),"県域*")</f>
        <v>0</v>
      </c>
      <c r="Y395" s="828">
        <f t="shared" ref="Y395:Y405" ca="1" si="597">SUMIFS(OFFSET(貼付け_2025実績,$A395,12,1,199),OFFSET(貼付け_2025実績,4,9,1,199),"県域*")</f>
        <v>0</v>
      </c>
      <c r="Z395" s="828">
        <f t="shared" ref="Z395:Z405" ca="1" si="598">SUMIFS(OFFSET(貼付け_2026実績,$A395,12,1,199),OFFSET(貼付け_2026実績,4,9,1,199),"県域*")</f>
        <v>0</v>
      </c>
      <c r="AA395" s="828">
        <f t="shared" ref="AA395:AA405" ca="1" si="599">SUMIFS(OFFSET(貼付け_2027実績,$A395,12,1,199),OFFSET(貼付け_2027実績,4,9,1,199),"県域*")</f>
        <v>0</v>
      </c>
      <c r="AB395" s="828" t="str">
        <f t="shared" ref="AB395:AB405" ca="1" si="600">IFERROR(OFFSET(貼付け_2024実績,$A395,AB$1+3),"")</f>
        <v/>
      </c>
      <c r="AC395" s="828" t="str">
        <f t="shared" ref="AC395:AC405" ca="1" si="601">IFERROR(OFFSET(貼付け_2025実績,$A395,AC$1+3),"")</f>
        <v/>
      </c>
      <c r="AD395" s="828" t="str">
        <f t="shared" ref="AD395:AD405" ca="1" si="602">IFERROR(OFFSET(貼付け_2026実績,$A395,AD$1+3),"")</f>
        <v/>
      </c>
      <c r="AE395" s="828" t="str">
        <f t="shared" ref="AE395:AE405" ca="1" si="603">IFERROR(OFFSET(貼付け_2027実績,$A395,AE$1+3),"")</f>
        <v/>
      </c>
      <c r="AF395" s="828" t="str">
        <f t="shared" ref="AF395:AF405" ca="1" si="604">IFERROR(OFFSET(貼付け_2024実績,$A395,AF$1+3),"")</f>
        <v/>
      </c>
      <c r="AG395" s="828" t="str">
        <f t="shared" ref="AG395:AG405" ca="1" si="605">IFERROR(OFFSET(貼付け_2025実績,$A395,AG$1+3),"")</f>
        <v/>
      </c>
      <c r="AH395" s="828" t="str">
        <f t="shared" ref="AH395:AH405" ca="1" si="606">IFERROR(OFFSET(貼付け_2026実績,$A395,AH$1+3),"")</f>
        <v/>
      </c>
      <c r="AI395" s="828" t="str">
        <f t="shared" ref="AI395:AI405" ca="1" si="607">IFERROR(OFFSET(貼付け_2027実績,$A395,AI$1+3),"")</f>
        <v/>
      </c>
      <c r="AJ395" s="828" t="str">
        <f t="shared" ref="AJ395:AJ405" ca="1" si="608">IFERROR(OFFSET(貼付け_2024実績,$A395,AJ$1+3),"")</f>
        <v/>
      </c>
      <c r="AK395" s="828" t="str">
        <f t="shared" ref="AK395:AK405" ca="1" si="609">IFERROR(OFFSET(貼付け_2025実績,$A395,AK$1+3),"")</f>
        <v/>
      </c>
      <c r="AL395" s="828" t="str">
        <f t="shared" ref="AL395:AL405" ca="1" si="610">IFERROR(OFFSET(貼付け_2026実績,$A395,AL$1+3),"")</f>
        <v/>
      </c>
      <c r="AM395" s="828" t="str">
        <f t="shared" ref="AM395:AM405" ca="1" si="611">IFERROR(OFFSET(貼付け_2027実績,$A395,AM$1+3),"")</f>
        <v/>
      </c>
      <c r="AN395" s="828" t="str">
        <f t="shared" ref="AN395:AN405" ca="1" si="612">IFERROR(OFFSET(貼付け_2024実績,$A395,AN$1+3),"")</f>
        <v/>
      </c>
      <c r="AO395" s="828" t="str">
        <f t="shared" ref="AO395:AO405" ca="1" si="613">IFERROR(OFFSET(貼付け_2025実績,$A395,AO$1+3),"")</f>
        <v/>
      </c>
      <c r="AP395" s="828" t="str">
        <f t="shared" ref="AP395:AP405" ca="1" si="614">IFERROR(OFFSET(貼付け_2026実績,$A395,AP$1+3),"")</f>
        <v/>
      </c>
      <c r="AQ395" s="828" t="str">
        <f t="shared" ref="AQ395:AQ405" ca="1" si="615">IFERROR(OFFSET(貼付け_2027実績,$A395,AQ$1+3),"")</f>
        <v/>
      </c>
      <c r="AR395" s="828" t="str">
        <f t="shared" ref="AR395:AR405" ca="1" si="616">IFERROR(OFFSET(貼付け_2024実績,$A395,AR$1+3),"")</f>
        <v/>
      </c>
      <c r="AS395" s="828" t="str">
        <f t="shared" ref="AS395:AS405" ca="1" si="617">IFERROR(OFFSET(貼付け_2025実績,$A395,AS$1+3),"")</f>
        <v/>
      </c>
      <c r="AT395" s="828" t="str">
        <f t="shared" ref="AT395:AT405" ca="1" si="618">IFERROR(OFFSET(貼付け_2026実績,$A395,AT$1+3),"")</f>
        <v/>
      </c>
      <c r="AU395" s="828" t="str">
        <f t="shared" ref="AU395:AU405" ca="1" si="619">IFERROR(OFFSET(貼付け_2027実績,$A395,AU$1+3),"")</f>
        <v/>
      </c>
      <c r="AV395" s="828" t="str">
        <f t="shared" ref="AV395:AV405" ca="1" si="620">IFERROR(OFFSET(貼付け_2024実績,$A395,AV$1+3),"")</f>
        <v/>
      </c>
      <c r="AW395" s="828" t="str">
        <f t="shared" ref="AW395:AW405" ca="1" si="621">IFERROR(OFFSET(貼付け_2025実績,$A395,AW$1+3),"")</f>
        <v/>
      </c>
      <c r="AX395" s="828" t="str">
        <f t="shared" ref="AX395:AX405" ca="1" si="622">IFERROR(OFFSET(貼付け_2026実績,$A395,AX$1+3),"")</f>
        <v/>
      </c>
      <c r="AY395" s="828" t="str">
        <f t="shared" ref="AY395:AY405" ca="1" si="623">IFERROR(OFFSET(貼付け_2027実績,$A395,AY$1+3),"")</f>
        <v/>
      </c>
      <c r="AZ395" s="828" t="str">
        <f t="shared" ref="AZ395:AZ405" ca="1" si="624">IFERROR(OFFSET(貼付け_2024実績,$A395,AZ$1+3),"")</f>
        <v/>
      </c>
      <c r="BA395" s="828" t="str">
        <f t="shared" ref="BA395:BA405" ca="1" si="625">IFERROR(OFFSET(貼付け_2025実績,$A395,BA$1+3),"")</f>
        <v/>
      </c>
      <c r="BB395" s="828" t="str">
        <f t="shared" ref="BB395:BB405" ca="1" si="626">IFERROR(OFFSET(貼付け_2026実績,$A395,BB$1+3),"")</f>
        <v/>
      </c>
      <c r="BC395" s="828" t="str">
        <f t="shared" ref="BC395:BC405" ca="1" si="627">IFERROR(OFFSET(貼付け_2027実績,$A395,BC$1+3),"")</f>
        <v/>
      </c>
      <c r="BD395" s="828" t="str">
        <f t="shared" ref="BD395:BD405" ca="1" si="628">IFERROR(OFFSET(貼付け_2024実績,$A395,BD$1+3),"")</f>
        <v/>
      </c>
      <c r="BE395" s="828" t="str">
        <f t="shared" ref="BE395:BE405" ca="1" si="629">IFERROR(OFFSET(貼付け_2025実績,$A395,BE$1+3),"")</f>
        <v/>
      </c>
      <c r="BF395" s="828" t="str">
        <f t="shared" ref="BF395:BF405" ca="1" si="630">IFERROR(OFFSET(貼付け_2026実績,$A395,BF$1+3),"")</f>
        <v/>
      </c>
      <c r="BG395" s="828" t="str">
        <f t="shared" ref="BG395:BG405" ca="1" si="631">IFERROR(OFFSET(貼付け_2027実績,$A395,BG$1+3),"")</f>
        <v/>
      </c>
      <c r="BH395" s="828" t="str">
        <f t="shared" ref="BH395:BH405" ca="1" si="632">IFERROR(OFFSET(貼付け_2024実績,$A395,BH$1+3),"")</f>
        <v/>
      </c>
      <c r="BI395" s="828" t="str">
        <f t="shared" ref="BI395:BI405" ca="1" si="633">IFERROR(OFFSET(貼付け_2025実績,$A395,BI$1+3),"")</f>
        <v/>
      </c>
      <c r="BJ395" s="828" t="str">
        <f t="shared" ref="BJ395:BJ405" ca="1" si="634">IFERROR(OFFSET(貼付け_2026実績,$A395,BJ$1+3),"")</f>
        <v/>
      </c>
      <c r="BK395" s="828" t="str">
        <f t="shared" ref="BK395:BK405" ca="1" si="635">IFERROR(OFFSET(貼付け_2027実績,$A395,BK$1+3),"")</f>
        <v/>
      </c>
      <c r="BL395" s="828" t="str">
        <f t="shared" ref="BL395:BL405" ca="1" si="636">IFERROR(OFFSET(貼付け_2024実績,$A395,BL$1+3),"")</f>
        <v/>
      </c>
      <c r="BM395" s="828" t="str">
        <f t="shared" ref="BM395:BM405" ca="1" si="637">IFERROR(OFFSET(貼付け_2025実績,$A395,BM$1+3),"")</f>
        <v/>
      </c>
      <c r="BN395" s="828" t="str">
        <f t="shared" ref="BN395:BN405" ca="1" si="638">IFERROR(OFFSET(貼付け_2026実績,$A395,BN$1+3),"")</f>
        <v/>
      </c>
      <c r="BO395" s="828" t="str">
        <f t="shared" ref="BO395:BO405" ca="1" si="639">IFERROR(OFFSET(貼付け_2027実績,$A395,BO$1+3),"")</f>
        <v/>
      </c>
      <c r="BP395" s="841"/>
    </row>
    <row r="396" spans="1:68" ht="20.100000000000001" customHeight="1">
      <c r="A396" s="823">
        <v>58</v>
      </c>
      <c r="B396" s="1870"/>
      <c r="C396" s="1872"/>
      <c r="D396" s="824" t="s">
        <v>4423</v>
      </c>
      <c r="E396" s="829"/>
      <c r="F396" s="849"/>
      <c r="G396" s="826" t="s">
        <v>4196</v>
      </c>
      <c r="H396" s="827">
        <f t="shared" ca="1" si="593"/>
        <v>1.19</v>
      </c>
      <c r="I396" s="827">
        <f t="shared" ca="1" si="593"/>
        <v>1.19</v>
      </c>
      <c r="J396" s="827">
        <f t="shared" ca="1" si="593"/>
        <v>1.19</v>
      </c>
      <c r="K396" s="827">
        <f t="shared" ca="1" si="593"/>
        <v>1.19</v>
      </c>
      <c r="L396" s="828">
        <f t="shared" ca="1" si="594"/>
        <v>0</v>
      </c>
      <c r="M396" s="828">
        <f t="shared" ca="1" si="594"/>
        <v>0</v>
      </c>
      <c r="N396" s="828">
        <f t="shared" ca="1" si="594"/>
        <v>0</v>
      </c>
      <c r="O396" s="828">
        <f t="shared" ca="1" si="594"/>
        <v>0</v>
      </c>
      <c r="P396" s="828">
        <f ca="1">SUM(SUMIFS(OFFSET(貼付け_2024実績,$A396,12,1,199),OFFSET(貼付け_2024実績,4,9,1,199),{"横浜*","川崎*"}))</f>
        <v>0</v>
      </c>
      <c r="Q396" s="828">
        <f ca="1">SUM(SUMIFS(OFFSET(貼付け_2025実績,$A396,12,1,199),OFFSET(貼付け_2025実績,4,9,1,199),{"横浜*","川崎*"}))</f>
        <v>0</v>
      </c>
      <c r="R396" s="828">
        <f ca="1">SUM(SUMIFS(OFFSET(貼付け_2026実績,$A396,12,1,199),OFFSET(貼付け_2026実績,4,9,1,199),{"横浜*","川崎*"}))</f>
        <v>0</v>
      </c>
      <c r="S396" s="828">
        <f ca="1">SUM(SUMIFS(OFFSET(貼付け_2027実績,$A396,12,1,199),OFFSET(貼付け_2027実績,4,9,1,199),{"横浜*","川崎*"}))</f>
        <v>0</v>
      </c>
      <c r="T396" s="828">
        <f t="shared" ca="1" si="595"/>
        <v>0</v>
      </c>
      <c r="U396" s="828">
        <f t="shared" ca="1" si="595"/>
        <v>0</v>
      </c>
      <c r="V396" s="828">
        <f t="shared" ca="1" si="595"/>
        <v>0</v>
      </c>
      <c r="W396" s="828">
        <f t="shared" ca="1" si="595"/>
        <v>0</v>
      </c>
      <c r="X396" s="828">
        <f t="shared" ca="1" si="596"/>
        <v>0</v>
      </c>
      <c r="Y396" s="828">
        <f t="shared" ca="1" si="597"/>
        <v>0</v>
      </c>
      <c r="Z396" s="828">
        <f t="shared" ca="1" si="598"/>
        <v>0</v>
      </c>
      <c r="AA396" s="828">
        <f t="shared" ca="1" si="599"/>
        <v>0</v>
      </c>
      <c r="AB396" s="828" t="str">
        <f t="shared" ca="1" si="600"/>
        <v/>
      </c>
      <c r="AC396" s="828" t="str">
        <f t="shared" ca="1" si="601"/>
        <v/>
      </c>
      <c r="AD396" s="828" t="str">
        <f t="shared" ca="1" si="602"/>
        <v/>
      </c>
      <c r="AE396" s="828" t="str">
        <f t="shared" ca="1" si="603"/>
        <v/>
      </c>
      <c r="AF396" s="828" t="str">
        <f t="shared" ca="1" si="604"/>
        <v/>
      </c>
      <c r="AG396" s="828" t="str">
        <f t="shared" ca="1" si="605"/>
        <v/>
      </c>
      <c r="AH396" s="828" t="str">
        <f t="shared" ca="1" si="606"/>
        <v/>
      </c>
      <c r="AI396" s="828" t="str">
        <f t="shared" ca="1" si="607"/>
        <v/>
      </c>
      <c r="AJ396" s="828" t="str">
        <f t="shared" ca="1" si="608"/>
        <v/>
      </c>
      <c r="AK396" s="828" t="str">
        <f t="shared" ca="1" si="609"/>
        <v/>
      </c>
      <c r="AL396" s="828" t="str">
        <f t="shared" ca="1" si="610"/>
        <v/>
      </c>
      <c r="AM396" s="828" t="str">
        <f t="shared" ca="1" si="611"/>
        <v/>
      </c>
      <c r="AN396" s="828" t="str">
        <f t="shared" ca="1" si="612"/>
        <v/>
      </c>
      <c r="AO396" s="828" t="str">
        <f t="shared" ca="1" si="613"/>
        <v/>
      </c>
      <c r="AP396" s="828" t="str">
        <f t="shared" ca="1" si="614"/>
        <v/>
      </c>
      <c r="AQ396" s="828" t="str">
        <f t="shared" ca="1" si="615"/>
        <v/>
      </c>
      <c r="AR396" s="828" t="str">
        <f t="shared" ca="1" si="616"/>
        <v/>
      </c>
      <c r="AS396" s="828" t="str">
        <f t="shared" ca="1" si="617"/>
        <v/>
      </c>
      <c r="AT396" s="828" t="str">
        <f t="shared" ca="1" si="618"/>
        <v/>
      </c>
      <c r="AU396" s="828" t="str">
        <f t="shared" ca="1" si="619"/>
        <v/>
      </c>
      <c r="AV396" s="828" t="str">
        <f t="shared" ca="1" si="620"/>
        <v/>
      </c>
      <c r="AW396" s="828" t="str">
        <f t="shared" ca="1" si="621"/>
        <v/>
      </c>
      <c r="AX396" s="828" t="str">
        <f t="shared" ca="1" si="622"/>
        <v/>
      </c>
      <c r="AY396" s="828" t="str">
        <f t="shared" ca="1" si="623"/>
        <v/>
      </c>
      <c r="AZ396" s="828" t="str">
        <f t="shared" ca="1" si="624"/>
        <v/>
      </c>
      <c r="BA396" s="828" t="str">
        <f t="shared" ca="1" si="625"/>
        <v/>
      </c>
      <c r="BB396" s="828" t="str">
        <f t="shared" ca="1" si="626"/>
        <v/>
      </c>
      <c r="BC396" s="828" t="str">
        <f t="shared" ca="1" si="627"/>
        <v/>
      </c>
      <c r="BD396" s="828" t="str">
        <f t="shared" ca="1" si="628"/>
        <v/>
      </c>
      <c r="BE396" s="828" t="str">
        <f t="shared" ca="1" si="629"/>
        <v/>
      </c>
      <c r="BF396" s="828" t="str">
        <f t="shared" ca="1" si="630"/>
        <v/>
      </c>
      <c r="BG396" s="828" t="str">
        <f t="shared" ca="1" si="631"/>
        <v/>
      </c>
      <c r="BH396" s="828" t="str">
        <f t="shared" ca="1" si="632"/>
        <v/>
      </c>
      <c r="BI396" s="828" t="str">
        <f t="shared" ca="1" si="633"/>
        <v/>
      </c>
      <c r="BJ396" s="828" t="str">
        <f t="shared" ca="1" si="634"/>
        <v/>
      </c>
      <c r="BK396" s="828" t="str">
        <f t="shared" ca="1" si="635"/>
        <v/>
      </c>
      <c r="BL396" s="828" t="str">
        <f t="shared" ca="1" si="636"/>
        <v/>
      </c>
      <c r="BM396" s="828" t="str">
        <f t="shared" ca="1" si="637"/>
        <v/>
      </c>
      <c r="BN396" s="828" t="str">
        <f t="shared" ca="1" si="638"/>
        <v/>
      </c>
      <c r="BO396" s="828" t="str">
        <f t="shared" ca="1" si="639"/>
        <v/>
      </c>
      <c r="BP396" s="841"/>
    </row>
    <row r="397" spans="1:68" ht="20.100000000000001" customHeight="1">
      <c r="A397" s="823">
        <v>60</v>
      </c>
      <c r="B397" s="1870"/>
      <c r="C397" s="1872"/>
      <c r="D397" s="824" t="s">
        <v>4424</v>
      </c>
      <c r="E397" s="829"/>
      <c r="F397" s="849"/>
      <c r="G397" s="826" t="s">
        <v>4196</v>
      </c>
      <c r="H397" s="827">
        <f t="shared" ca="1" si="593"/>
        <v>1.19</v>
      </c>
      <c r="I397" s="827">
        <f t="shared" ca="1" si="593"/>
        <v>1.19</v>
      </c>
      <c r="J397" s="827">
        <f t="shared" ca="1" si="593"/>
        <v>1.19</v>
      </c>
      <c r="K397" s="827">
        <f t="shared" ca="1" si="593"/>
        <v>1.19</v>
      </c>
      <c r="L397" s="828">
        <f t="shared" ca="1" si="594"/>
        <v>0</v>
      </c>
      <c r="M397" s="828">
        <f t="shared" ca="1" si="594"/>
        <v>0</v>
      </c>
      <c r="N397" s="828">
        <f t="shared" ca="1" si="594"/>
        <v>0</v>
      </c>
      <c r="O397" s="828">
        <f t="shared" ca="1" si="594"/>
        <v>0</v>
      </c>
      <c r="P397" s="828">
        <f ca="1">SUM(SUMIFS(OFFSET(貼付け_2024実績,$A397,12,1,199),OFFSET(貼付け_2024実績,4,9,1,199),{"横浜*","川崎*"}))</f>
        <v>0</v>
      </c>
      <c r="Q397" s="828">
        <f ca="1">SUM(SUMIFS(OFFSET(貼付け_2025実績,$A397,12,1,199),OFFSET(貼付け_2025実績,4,9,1,199),{"横浜*","川崎*"}))</f>
        <v>0</v>
      </c>
      <c r="R397" s="828">
        <f ca="1">SUM(SUMIFS(OFFSET(貼付け_2026実績,$A397,12,1,199),OFFSET(貼付け_2026実績,4,9,1,199),{"横浜*","川崎*"}))</f>
        <v>0</v>
      </c>
      <c r="S397" s="828">
        <f ca="1">SUM(SUMIFS(OFFSET(貼付け_2027実績,$A397,12,1,199),OFFSET(貼付け_2027実績,4,9,1,199),{"横浜*","川崎*"}))</f>
        <v>0</v>
      </c>
      <c r="T397" s="828">
        <f t="shared" ca="1" si="595"/>
        <v>0</v>
      </c>
      <c r="U397" s="828">
        <f t="shared" ca="1" si="595"/>
        <v>0</v>
      </c>
      <c r="V397" s="828">
        <f t="shared" ca="1" si="595"/>
        <v>0</v>
      </c>
      <c r="W397" s="828">
        <f t="shared" ca="1" si="595"/>
        <v>0</v>
      </c>
      <c r="X397" s="828">
        <f t="shared" ca="1" si="596"/>
        <v>0</v>
      </c>
      <c r="Y397" s="828">
        <f t="shared" ca="1" si="597"/>
        <v>0</v>
      </c>
      <c r="Z397" s="828">
        <f t="shared" ca="1" si="598"/>
        <v>0</v>
      </c>
      <c r="AA397" s="828">
        <f t="shared" ca="1" si="599"/>
        <v>0</v>
      </c>
      <c r="AB397" s="828" t="str">
        <f t="shared" ca="1" si="600"/>
        <v/>
      </c>
      <c r="AC397" s="828" t="str">
        <f t="shared" ca="1" si="601"/>
        <v/>
      </c>
      <c r="AD397" s="828" t="str">
        <f t="shared" ca="1" si="602"/>
        <v/>
      </c>
      <c r="AE397" s="828" t="str">
        <f t="shared" ca="1" si="603"/>
        <v/>
      </c>
      <c r="AF397" s="828" t="str">
        <f t="shared" ca="1" si="604"/>
        <v/>
      </c>
      <c r="AG397" s="828" t="str">
        <f t="shared" ca="1" si="605"/>
        <v/>
      </c>
      <c r="AH397" s="828" t="str">
        <f t="shared" ca="1" si="606"/>
        <v/>
      </c>
      <c r="AI397" s="828" t="str">
        <f t="shared" ca="1" si="607"/>
        <v/>
      </c>
      <c r="AJ397" s="828" t="str">
        <f t="shared" ca="1" si="608"/>
        <v/>
      </c>
      <c r="AK397" s="828" t="str">
        <f t="shared" ca="1" si="609"/>
        <v/>
      </c>
      <c r="AL397" s="828" t="str">
        <f t="shared" ca="1" si="610"/>
        <v/>
      </c>
      <c r="AM397" s="828" t="str">
        <f t="shared" ca="1" si="611"/>
        <v/>
      </c>
      <c r="AN397" s="828" t="str">
        <f t="shared" ca="1" si="612"/>
        <v/>
      </c>
      <c r="AO397" s="828" t="str">
        <f t="shared" ca="1" si="613"/>
        <v/>
      </c>
      <c r="AP397" s="828" t="str">
        <f t="shared" ca="1" si="614"/>
        <v/>
      </c>
      <c r="AQ397" s="828" t="str">
        <f t="shared" ca="1" si="615"/>
        <v/>
      </c>
      <c r="AR397" s="828" t="str">
        <f t="shared" ca="1" si="616"/>
        <v/>
      </c>
      <c r="AS397" s="828" t="str">
        <f t="shared" ca="1" si="617"/>
        <v/>
      </c>
      <c r="AT397" s="828" t="str">
        <f t="shared" ca="1" si="618"/>
        <v/>
      </c>
      <c r="AU397" s="828" t="str">
        <f t="shared" ca="1" si="619"/>
        <v/>
      </c>
      <c r="AV397" s="828" t="str">
        <f t="shared" ca="1" si="620"/>
        <v/>
      </c>
      <c r="AW397" s="828" t="str">
        <f t="shared" ca="1" si="621"/>
        <v/>
      </c>
      <c r="AX397" s="828" t="str">
        <f t="shared" ca="1" si="622"/>
        <v/>
      </c>
      <c r="AY397" s="828" t="str">
        <f t="shared" ca="1" si="623"/>
        <v/>
      </c>
      <c r="AZ397" s="828" t="str">
        <f t="shared" ca="1" si="624"/>
        <v/>
      </c>
      <c r="BA397" s="828" t="str">
        <f t="shared" ca="1" si="625"/>
        <v/>
      </c>
      <c r="BB397" s="828" t="str">
        <f t="shared" ca="1" si="626"/>
        <v/>
      </c>
      <c r="BC397" s="828" t="str">
        <f t="shared" ca="1" si="627"/>
        <v/>
      </c>
      <c r="BD397" s="828" t="str">
        <f t="shared" ca="1" si="628"/>
        <v/>
      </c>
      <c r="BE397" s="828" t="str">
        <f t="shared" ca="1" si="629"/>
        <v/>
      </c>
      <c r="BF397" s="828" t="str">
        <f t="shared" ca="1" si="630"/>
        <v/>
      </c>
      <c r="BG397" s="828" t="str">
        <f t="shared" ca="1" si="631"/>
        <v/>
      </c>
      <c r="BH397" s="828" t="str">
        <f t="shared" ca="1" si="632"/>
        <v/>
      </c>
      <c r="BI397" s="828" t="str">
        <f t="shared" ca="1" si="633"/>
        <v/>
      </c>
      <c r="BJ397" s="828" t="str">
        <f t="shared" ca="1" si="634"/>
        <v/>
      </c>
      <c r="BK397" s="828" t="str">
        <f t="shared" ca="1" si="635"/>
        <v/>
      </c>
      <c r="BL397" s="828" t="str">
        <f t="shared" ca="1" si="636"/>
        <v/>
      </c>
      <c r="BM397" s="828" t="str">
        <f t="shared" ca="1" si="637"/>
        <v/>
      </c>
      <c r="BN397" s="828" t="str">
        <f t="shared" ca="1" si="638"/>
        <v/>
      </c>
      <c r="BO397" s="828" t="str">
        <f t="shared" ca="1" si="639"/>
        <v/>
      </c>
      <c r="BP397" s="841"/>
    </row>
    <row r="398" spans="1:68" ht="20.100000000000001" customHeight="1">
      <c r="A398" s="823">
        <v>62</v>
      </c>
      <c r="B398" s="1870"/>
      <c r="C398" s="1872"/>
      <c r="D398" s="824" t="s">
        <v>4425</v>
      </c>
      <c r="E398" s="829"/>
      <c r="F398" s="849"/>
      <c r="G398" s="826" t="s">
        <v>4196</v>
      </c>
      <c r="H398" s="827">
        <f t="shared" ca="1" si="593"/>
        <v>1.19</v>
      </c>
      <c r="I398" s="827">
        <f t="shared" ca="1" si="593"/>
        <v>1.19</v>
      </c>
      <c r="J398" s="827">
        <f t="shared" ca="1" si="593"/>
        <v>1.19</v>
      </c>
      <c r="K398" s="827">
        <f t="shared" ca="1" si="593"/>
        <v>1.19</v>
      </c>
      <c r="L398" s="828">
        <f t="shared" ca="1" si="594"/>
        <v>0</v>
      </c>
      <c r="M398" s="828">
        <f t="shared" ca="1" si="594"/>
        <v>0</v>
      </c>
      <c r="N398" s="828">
        <f t="shared" ca="1" si="594"/>
        <v>0</v>
      </c>
      <c r="O398" s="828">
        <f t="shared" ca="1" si="594"/>
        <v>0</v>
      </c>
      <c r="P398" s="828">
        <f ca="1">SUM(SUMIFS(OFFSET(貼付け_2024実績,$A398,12,1,199),OFFSET(貼付け_2024実績,4,9,1,199),{"横浜*","川崎*"}))</f>
        <v>0</v>
      </c>
      <c r="Q398" s="828">
        <f ca="1">SUM(SUMIFS(OFFSET(貼付け_2025実績,$A398,12,1,199),OFFSET(貼付け_2025実績,4,9,1,199),{"横浜*","川崎*"}))</f>
        <v>0</v>
      </c>
      <c r="R398" s="828">
        <f ca="1">SUM(SUMIFS(OFFSET(貼付け_2026実績,$A398,12,1,199),OFFSET(貼付け_2026実績,4,9,1,199),{"横浜*","川崎*"}))</f>
        <v>0</v>
      </c>
      <c r="S398" s="828">
        <f ca="1">SUM(SUMIFS(OFFSET(貼付け_2027実績,$A398,12,1,199),OFFSET(貼付け_2027実績,4,9,1,199),{"横浜*","川崎*"}))</f>
        <v>0</v>
      </c>
      <c r="T398" s="828">
        <f t="shared" ca="1" si="595"/>
        <v>0</v>
      </c>
      <c r="U398" s="828">
        <f t="shared" ca="1" si="595"/>
        <v>0</v>
      </c>
      <c r="V398" s="828">
        <f t="shared" ca="1" si="595"/>
        <v>0</v>
      </c>
      <c r="W398" s="828">
        <f t="shared" ca="1" si="595"/>
        <v>0</v>
      </c>
      <c r="X398" s="828">
        <f t="shared" ca="1" si="596"/>
        <v>0</v>
      </c>
      <c r="Y398" s="828">
        <f t="shared" ca="1" si="597"/>
        <v>0</v>
      </c>
      <c r="Z398" s="828">
        <f t="shared" ca="1" si="598"/>
        <v>0</v>
      </c>
      <c r="AA398" s="828">
        <f t="shared" ca="1" si="599"/>
        <v>0</v>
      </c>
      <c r="AB398" s="828" t="str">
        <f t="shared" ca="1" si="600"/>
        <v/>
      </c>
      <c r="AC398" s="828" t="str">
        <f t="shared" ca="1" si="601"/>
        <v/>
      </c>
      <c r="AD398" s="828" t="str">
        <f t="shared" ca="1" si="602"/>
        <v/>
      </c>
      <c r="AE398" s="828" t="str">
        <f t="shared" ca="1" si="603"/>
        <v/>
      </c>
      <c r="AF398" s="828" t="str">
        <f t="shared" ca="1" si="604"/>
        <v/>
      </c>
      <c r="AG398" s="828" t="str">
        <f t="shared" ca="1" si="605"/>
        <v/>
      </c>
      <c r="AH398" s="828" t="str">
        <f t="shared" ca="1" si="606"/>
        <v/>
      </c>
      <c r="AI398" s="828" t="str">
        <f t="shared" ca="1" si="607"/>
        <v/>
      </c>
      <c r="AJ398" s="828" t="str">
        <f t="shared" ca="1" si="608"/>
        <v/>
      </c>
      <c r="AK398" s="828" t="str">
        <f t="shared" ca="1" si="609"/>
        <v/>
      </c>
      <c r="AL398" s="828" t="str">
        <f t="shared" ca="1" si="610"/>
        <v/>
      </c>
      <c r="AM398" s="828" t="str">
        <f t="shared" ca="1" si="611"/>
        <v/>
      </c>
      <c r="AN398" s="828" t="str">
        <f t="shared" ca="1" si="612"/>
        <v/>
      </c>
      <c r="AO398" s="828" t="str">
        <f t="shared" ca="1" si="613"/>
        <v/>
      </c>
      <c r="AP398" s="828" t="str">
        <f t="shared" ca="1" si="614"/>
        <v/>
      </c>
      <c r="AQ398" s="828" t="str">
        <f t="shared" ca="1" si="615"/>
        <v/>
      </c>
      <c r="AR398" s="828" t="str">
        <f t="shared" ca="1" si="616"/>
        <v/>
      </c>
      <c r="AS398" s="828" t="str">
        <f t="shared" ca="1" si="617"/>
        <v/>
      </c>
      <c r="AT398" s="828" t="str">
        <f t="shared" ca="1" si="618"/>
        <v/>
      </c>
      <c r="AU398" s="828" t="str">
        <f t="shared" ca="1" si="619"/>
        <v/>
      </c>
      <c r="AV398" s="828" t="str">
        <f t="shared" ca="1" si="620"/>
        <v/>
      </c>
      <c r="AW398" s="828" t="str">
        <f t="shared" ca="1" si="621"/>
        <v/>
      </c>
      <c r="AX398" s="828" t="str">
        <f t="shared" ca="1" si="622"/>
        <v/>
      </c>
      <c r="AY398" s="828" t="str">
        <f t="shared" ca="1" si="623"/>
        <v/>
      </c>
      <c r="AZ398" s="828" t="str">
        <f t="shared" ca="1" si="624"/>
        <v/>
      </c>
      <c r="BA398" s="828" t="str">
        <f t="shared" ca="1" si="625"/>
        <v/>
      </c>
      <c r="BB398" s="828" t="str">
        <f t="shared" ca="1" si="626"/>
        <v/>
      </c>
      <c r="BC398" s="828" t="str">
        <f t="shared" ca="1" si="627"/>
        <v/>
      </c>
      <c r="BD398" s="828" t="str">
        <f t="shared" ca="1" si="628"/>
        <v/>
      </c>
      <c r="BE398" s="828" t="str">
        <f t="shared" ca="1" si="629"/>
        <v/>
      </c>
      <c r="BF398" s="828" t="str">
        <f t="shared" ca="1" si="630"/>
        <v/>
      </c>
      <c r="BG398" s="828" t="str">
        <f t="shared" ca="1" si="631"/>
        <v/>
      </c>
      <c r="BH398" s="828" t="str">
        <f t="shared" ca="1" si="632"/>
        <v/>
      </c>
      <c r="BI398" s="828" t="str">
        <f t="shared" ca="1" si="633"/>
        <v/>
      </c>
      <c r="BJ398" s="828" t="str">
        <f t="shared" ca="1" si="634"/>
        <v/>
      </c>
      <c r="BK398" s="828" t="str">
        <f t="shared" ca="1" si="635"/>
        <v/>
      </c>
      <c r="BL398" s="828" t="str">
        <f t="shared" ca="1" si="636"/>
        <v/>
      </c>
      <c r="BM398" s="828" t="str">
        <f t="shared" ca="1" si="637"/>
        <v/>
      </c>
      <c r="BN398" s="828" t="str">
        <f t="shared" ca="1" si="638"/>
        <v/>
      </c>
      <c r="BO398" s="828" t="str">
        <f t="shared" ca="1" si="639"/>
        <v/>
      </c>
      <c r="BP398" s="841"/>
    </row>
    <row r="399" spans="1:68" ht="20.100000000000001" customHeight="1">
      <c r="A399" s="823">
        <v>64</v>
      </c>
      <c r="B399" s="1870"/>
      <c r="C399" s="1872"/>
      <c r="D399" s="851" t="s">
        <v>4426</v>
      </c>
      <c r="E399" s="831" t="str">
        <f ca="1">E61</f>
        <v/>
      </c>
      <c r="F399" s="833"/>
      <c r="G399" s="826" t="s">
        <v>4196</v>
      </c>
      <c r="H399" s="827">
        <f t="shared" ca="1" si="593"/>
        <v>0</v>
      </c>
      <c r="I399" s="827">
        <f t="shared" ca="1" si="593"/>
        <v>0</v>
      </c>
      <c r="J399" s="827">
        <f t="shared" ca="1" si="593"/>
        <v>0</v>
      </c>
      <c r="K399" s="827">
        <f t="shared" ca="1" si="593"/>
        <v>0</v>
      </c>
      <c r="L399" s="828">
        <f t="shared" ca="1" si="594"/>
        <v>0</v>
      </c>
      <c r="M399" s="828">
        <f t="shared" ca="1" si="594"/>
        <v>0</v>
      </c>
      <c r="N399" s="828">
        <f t="shared" ca="1" si="594"/>
        <v>0</v>
      </c>
      <c r="O399" s="828">
        <f t="shared" ca="1" si="594"/>
        <v>0</v>
      </c>
      <c r="P399" s="828">
        <f ca="1">SUM(SUMIFS(OFFSET(貼付け_2024実績,$A399,12,1,199),OFFSET(貼付け_2024実績,4,9,1,199),{"横浜*","川崎*"}))</f>
        <v>0</v>
      </c>
      <c r="Q399" s="828">
        <f ca="1">SUM(SUMIFS(OFFSET(貼付け_2025実績,$A399,12,1,199),OFFSET(貼付け_2025実績,4,9,1,199),{"横浜*","川崎*"}))</f>
        <v>0</v>
      </c>
      <c r="R399" s="828">
        <f ca="1">SUM(SUMIFS(OFFSET(貼付け_2026実績,$A399,12,1,199),OFFSET(貼付け_2026実績,4,9,1,199),{"横浜*","川崎*"}))</f>
        <v>0</v>
      </c>
      <c r="S399" s="828">
        <f ca="1">SUM(SUMIFS(OFFSET(貼付け_2027実績,$A399,12,1,199),OFFSET(貼付け_2027実績,4,9,1,199),{"横浜*","川崎*"}))</f>
        <v>0</v>
      </c>
      <c r="T399" s="828">
        <f t="shared" ca="1" si="595"/>
        <v>0</v>
      </c>
      <c r="U399" s="828">
        <f t="shared" ca="1" si="595"/>
        <v>0</v>
      </c>
      <c r="V399" s="828">
        <f t="shared" ca="1" si="595"/>
        <v>0</v>
      </c>
      <c r="W399" s="828">
        <f t="shared" ca="1" si="595"/>
        <v>0</v>
      </c>
      <c r="X399" s="828">
        <f t="shared" ca="1" si="596"/>
        <v>0</v>
      </c>
      <c r="Y399" s="828">
        <f t="shared" ca="1" si="597"/>
        <v>0</v>
      </c>
      <c r="Z399" s="828">
        <f t="shared" ca="1" si="598"/>
        <v>0</v>
      </c>
      <c r="AA399" s="828">
        <f t="shared" ca="1" si="599"/>
        <v>0</v>
      </c>
      <c r="AB399" s="828" t="str">
        <f t="shared" ca="1" si="600"/>
        <v/>
      </c>
      <c r="AC399" s="828" t="str">
        <f t="shared" ca="1" si="601"/>
        <v/>
      </c>
      <c r="AD399" s="828" t="str">
        <f t="shared" ca="1" si="602"/>
        <v/>
      </c>
      <c r="AE399" s="828" t="str">
        <f t="shared" ca="1" si="603"/>
        <v/>
      </c>
      <c r="AF399" s="828" t="str">
        <f t="shared" ca="1" si="604"/>
        <v/>
      </c>
      <c r="AG399" s="828" t="str">
        <f t="shared" ca="1" si="605"/>
        <v/>
      </c>
      <c r="AH399" s="828" t="str">
        <f t="shared" ca="1" si="606"/>
        <v/>
      </c>
      <c r="AI399" s="828" t="str">
        <f t="shared" ca="1" si="607"/>
        <v/>
      </c>
      <c r="AJ399" s="828" t="str">
        <f t="shared" ca="1" si="608"/>
        <v/>
      </c>
      <c r="AK399" s="828" t="str">
        <f t="shared" ca="1" si="609"/>
        <v/>
      </c>
      <c r="AL399" s="828" t="str">
        <f t="shared" ca="1" si="610"/>
        <v/>
      </c>
      <c r="AM399" s="828" t="str">
        <f t="shared" ca="1" si="611"/>
        <v/>
      </c>
      <c r="AN399" s="828" t="str">
        <f t="shared" ca="1" si="612"/>
        <v/>
      </c>
      <c r="AO399" s="828" t="str">
        <f t="shared" ca="1" si="613"/>
        <v/>
      </c>
      <c r="AP399" s="828" t="str">
        <f t="shared" ca="1" si="614"/>
        <v/>
      </c>
      <c r="AQ399" s="828" t="str">
        <f t="shared" ca="1" si="615"/>
        <v/>
      </c>
      <c r="AR399" s="828" t="str">
        <f t="shared" ca="1" si="616"/>
        <v/>
      </c>
      <c r="AS399" s="828" t="str">
        <f t="shared" ca="1" si="617"/>
        <v/>
      </c>
      <c r="AT399" s="828" t="str">
        <f t="shared" ca="1" si="618"/>
        <v/>
      </c>
      <c r="AU399" s="828" t="str">
        <f t="shared" ca="1" si="619"/>
        <v/>
      </c>
      <c r="AV399" s="828" t="str">
        <f t="shared" ca="1" si="620"/>
        <v/>
      </c>
      <c r="AW399" s="828" t="str">
        <f t="shared" ca="1" si="621"/>
        <v/>
      </c>
      <c r="AX399" s="828" t="str">
        <f t="shared" ca="1" si="622"/>
        <v/>
      </c>
      <c r="AY399" s="828" t="str">
        <f t="shared" ca="1" si="623"/>
        <v/>
      </c>
      <c r="AZ399" s="828" t="str">
        <f t="shared" ca="1" si="624"/>
        <v/>
      </c>
      <c r="BA399" s="828" t="str">
        <f t="shared" ca="1" si="625"/>
        <v/>
      </c>
      <c r="BB399" s="828" t="str">
        <f t="shared" ca="1" si="626"/>
        <v/>
      </c>
      <c r="BC399" s="828" t="str">
        <f t="shared" ca="1" si="627"/>
        <v/>
      </c>
      <c r="BD399" s="828" t="str">
        <f t="shared" ca="1" si="628"/>
        <v/>
      </c>
      <c r="BE399" s="828" t="str">
        <f t="shared" ca="1" si="629"/>
        <v/>
      </c>
      <c r="BF399" s="828" t="str">
        <f t="shared" ca="1" si="630"/>
        <v/>
      </c>
      <c r="BG399" s="828" t="str">
        <f t="shared" ca="1" si="631"/>
        <v/>
      </c>
      <c r="BH399" s="828" t="str">
        <f t="shared" ca="1" si="632"/>
        <v/>
      </c>
      <c r="BI399" s="828" t="str">
        <f t="shared" ca="1" si="633"/>
        <v/>
      </c>
      <c r="BJ399" s="828" t="str">
        <f t="shared" ca="1" si="634"/>
        <v/>
      </c>
      <c r="BK399" s="828" t="str">
        <f t="shared" ca="1" si="635"/>
        <v/>
      </c>
      <c r="BL399" s="828" t="str">
        <f t="shared" ca="1" si="636"/>
        <v/>
      </c>
      <c r="BM399" s="828" t="str">
        <f t="shared" ca="1" si="637"/>
        <v/>
      </c>
      <c r="BN399" s="828" t="str">
        <f t="shared" ca="1" si="638"/>
        <v/>
      </c>
      <c r="BO399" s="828" t="str">
        <f t="shared" ca="1" si="639"/>
        <v/>
      </c>
      <c r="BP399" s="841"/>
    </row>
    <row r="400" spans="1:68" ht="20.100000000000001" customHeight="1">
      <c r="A400" s="823">
        <v>66</v>
      </c>
      <c r="B400" s="1870"/>
      <c r="C400" s="1872" t="s">
        <v>4427</v>
      </c>
      <c r="D400" s="852" t="s">
        <v>4428</v>
      </c>
      <c r="E400" s="824"/>
      <c r="F400" s="849"/>
      <c r="G400" s="826" t="s">
        <v>4196</v>
      </c>
      <c r="H400" s="827">
        <f t="shared" ca="1" si="593"/>
        <v>0</v>
      </c>
      <c r="I400" s="827">
        <f t="shared" ca="1" si="593"/>
        <v>0</v>
      </c>
      <c r="J400" s="827">
        <f t="shared" ca="1" si="593"/>
        <v>0</v>
      </c>
      <c r="K400" s="827">
        <f t="shared" ca="1" si="593"/>
        <v>0</v>
      </c>
      <c r="L400" s="828">
        <f t="shared" ca="1" si="594"/>
        <v>0</v>
      </c>
      <c r="M400" s="828">
        <f t="shared" ca="1" si="594"/>
        <v>0</v>
      </c>
      <c r="N400" s="828">
        <f t="shared" ca="1" si="594"/>
        <v>0</v>
      </c>
      <c r="O400" s="828">
        <f t="shared" ca="1" si="594"/>
        <v>0</v>
      </c>
      <c r="P400" s="828">
        <f ca="1">SUM(SUMIFS(OFFSET(貼付け_2024実績,$A400,12,1,199),OFFSET(貼付け_2024実績,4,9,1,199),{"横浜*","川崎*"}))</f>
        <v>0</v>
      </c>
      <c r="Q400" s="828">
        <f ca="1">SUM(SUMIFS(OFFSET(貼付け_2025実績,$A400,12,1,199),OFFSET(貼付け_2025実績,4,9,1,199),{"横浜*","川崎*"}))</f>
        <v>0</v>
      </c>
      <c r="R400" s="828">
        <f ca="1">SUM(SUMIFS(OFFSET(貼付け_2026実績,$A400,12,1,199),OFFSET(貼付け_2026実績,4,9,1,199),{"横浜*","川崎*"}))</f>
        <v>0</v>
      </c>
      <c r="S400" s="828">
        <f ca="1">SUM(SUMIFS(OFFSET(貼付け_2027実績,$A400,12,1,199),OFFSET(貼付け_2027実績,4,9,1,199),{"横浜*","川崎*"}))</f>
        <v>0</v>
      </c>
      <c r="T400" s="828">
        <f t="shared" ca="1" si="595"/>
        <v>0</v>
      </c>
      <c r="U400" s="828">
        <f t="shared" ca="1" si="595"/>
        <v>0</v>
      </c>
      <c r="V400" s="828">
        <f t="shared" ca="1" si="595"/>
        <v>0</v>
      </c>
      <c r="W400" s="828">
        <f t="shared" ca="1" si="595"/>
        <v>0</v>
      </c>
      <c r="X400" s="828">
        <f t="shared" ca="1" si="596"/>
        <v>0</v>
      </c>
      <c r="Y400" s="828">
        <f t="shared" ca="1" si="597"/>
        <v>0</v>
      </c>
      <c r="Z400" s="828">
        <f t="shared" ca="1" si="598"/>
        <v>0</v>
      </c>
      <c r="AA400" s="828">
        <f t="shared" ca="1" si="599"/>
        <v>0</v>
      </c>
      <c r="AB400" s="828" t="str">
        <f t="shared" ca="1" si="600"/>
        <v/>
      </c>
      <c r="AC400" s="828" t="str">
        <f t="shared" ca="1" si="601"/>
        <v/>
      </c>
      <c r="AD400" s="828" t="str">
        <f t="shared" ca="1" si="602"/>
        <v/>
      </c>
      <c r="AE400" s="828" t="str">
        <f t="shared" ca="1" si="603"/>
        <v/>
      </c>
      <c r="AF400" s="828" t="str">
        <f t="shared" ca="1" si="604"/>
        <v/>
      </c>
      <c r="AG400" s="828" t="str">
        <f t="shared" ca="1" si="605"/>
        <v/>
      </c>
      <c r="AH400" s="828" t="str">
        <f t="shared" ca="1" si="606"/>
        <v/>
      </c>
      <c r="AI400" s="828" t="str">
        <f t="shared" ca="1" si="607"/>
        <v/>
      </c>
      <c r="AJ400" s="828" t="str">
        <f t="shared" ca="1" si="608"/>
        <v/>
      </c>
      <c r="AK400" s="828" t="str">
        <f t="shared" ca="1" si="609"/>
        <v/>
      </c>
      <c r="AL400" s="828" t="str">
        <f t="shared" ca="1" si="610"/>
        <v/>
      </c>
      <c r="AM400" s="828" t="str">
        <f t="shared" ca="1" si="611"/>
        <v/>
      </c>
      <c r="AN400" s="828" t="str">
        <f t="shared" ca="1" si="612"/>
        <v/>
      </c>
      <c r="AO400" s="828" t="str">
        <f t="shared" ca="1" si="613"/>
        <v/>
      </c>
      <c r="AP400" s="828" t="str">
        <f t="shared" ca="1" si="614"/>
        <v/>
      </c>
      <c r="AQ400" s="828" t="str">
        <f t="shared" ca="1" si="615"/>
        <v/>
      </c>
      <c r="AR400" s="828" t="str">
        <f t="shared" ca="1" si="616"/>
        <v/>
      </c>
      <c r="AS400" s="828" t="str">
        <f t="shared" ca="1" si="617"/>
        <v/>
      </c>
      <c r="AT400" s="828" t="str">
        <f t="shared" ca="1" si="618"/>
        <v/>
      </c>
      <c r="AU400" s="828" t="str">
        <f t="shared" ca="1" si="619"/>
        <v/>
      </c>
      <c r="AV400" s="828" t="str">
        <f t="shared" ca="1" si="620"/>
        <v/>
      </c>
      <c r="AW400" s="828" t="str">
        <f t="shared" ca="1" si="621"/>
        <v/>
      </c>
      <c r="AX400" s="828" t="str">
        <f t="shared" ca="1" si="622"/>
        <v/>
      </c>
      <c r="AY400" s="828" t="str">
        <f t="shared" ca="1" si="623"/>
        <v/>
      </c>
      <c r="AZ400" s="828" t="str">
        <f t="shared" ca="1" si="624"/>
        <v/>
      </c>
      <c r="BA400" s="828" t="str">
        <f t="shared" ca="1" si="625"/>
        <v/>
      </c>
      <c r="BB400" s="828" t="str">
        <f t="shared" ca="1" si="626"/>
        <v/>
      </c>
      <c r="BC400" s="828" t="str">
        <f t="shared" ca="1" si="627"/>
        <v/>
      </c>
      <c r="BD400" s="828" t="str">
        <f t="shared" ca="1" si="628"/>
        <v/>
      </c>
      <c r="BE400" s="828" t="str">
        <f t="shared" ca="1" si="629"/>
        <v/>
      </c>
      <c r="BF400" s="828" t="str">
        <f t="shared" ca="1" si="630"/>
        <v/>
      </c>
      <c r="BG400" s="828" t="str">
        <f t="shared" ca="1" si="631"/>
        <v/>
      </c>
      <c r="BH400" s="828" t="str">
        <f t="shared" ca="1" si="632"/>
        <v/>
      </c>
      <c r="BI400" s="828" t="str">
        <f t="shared" ca="1" si="633"/>
        <v/>
      </c>
      <c r="BJ400" s="828" t="str">
        <f t="shared" ca="1" si="634"/>
        <v/>
      </c>
      <c r="BK400" s="828" t="str">
        <f t="shared" ca="1" si="635"/>
        <v/>
      </c>
      <c r="BL400" s="828" t="str">
        <f t="shared" ca="1" si="636"/>
        <v/>
      </c>
      <c r="BM400" s="828" t="str">
        <f t="shared" ca="1" si="637"/>
        <v/>
      </c>
      <c r="BN400" s="828" t="str">
        <f t="shared" ca="1" si="638"/>
        <v/>
      </c>
      <c r="BO400" s="828" t="str">
        <f t="shared" ca="1" si="639"/>
        <v/>
      </c>
      <c r="BP400" s="841"/>
    </row>
    <row r="401" spans="1:68" ht="20.100000000000001" customHeight="1">
      <c r="A401" s="823">
        <v>67</v>
      </c>
      <c r="B401" s="1870"/>
      <c r="C401" s="1872"/>
      <c r="D401" s="852" t="s">
        <v>4429</v>
      </c>
      <c r="E401" s="824"/>
      <c r="F401" s="849"/>
      <c r="G401" s="826" t="s">
        <v>4196</v>
      </c>
      <c r="H401" s="827">
        <f t="shared" ca="1" si="593"/>
        <v>0</v>
      </c>
      <c r="I401" s="827">
        <f t="shared" ca="1" si="593"/>
        <v>0</v>
      </c>
      <c r="J401" s="827">
        <f t="shared" ca="1" si="593"/>
        <v>0</v>
      </c>
      <c r="K401" s="827">
        <f t="shared" ca="1" si="593"/>
        <v>0</v>
      </c>
      <c r="L401" s="828">
        <f t="shared" ca="1" si="594"/>
        <v>0</v>
      </c>
      <c r="M401" s="828">
        <f t="shared" ca="1" si="594"/>
        <v>0</v>
      </c>
      <c r="N401" s="828">
        <f t="shared" ca="1" si="594"/>
        <v>0</v>
      </c>
      <c r="O401" s="828">
        <f t="shared" ca="1" si="594"/>
        <v>0</v>
      </c>
      <c r="P401" s="828">
        <f ca="1">SUM(SUMIFS(OFFSET(貼付け_2024実績,$A401,12,1,199),OFFSET(貼付け_2024実績,4,9,1,199),{"横浜*","川崎*"}))</f>
        <v>0</v>
      </c>
      <c r="Q401" s="828">
        <f ca="1">SUM(SUMIFS(OFFSET(貼付け_2025実績,$A401,12,1,199),OFFSET(貼付け_2025実績,4,9,1,199),{"横浜*","川崎*"}))</f>
        <v>0</v>
      </c>
      <c r="R401" s="828">
        <f ca="1">SUM(SUMIFS(OFFSET(貼付け_2026実績,$A401,12,1,199),OFFSET(貼付け_2026実績,4,9,1,199),{"横浜*","川崎*"}))</f>
        <v>0</v>
      </c>
      <c r="S401" s="828">
        <f ca="1">SUM(SUMIFS(OFFSET(貼付け_2027実績,$A401,12,1,199),OFFSET(貼付け_2027実績,4,9,1,199),{"横浜*","川崎*"}))</f>
        <v>0</v>
      </c>
      <c r="T401" s="828">
        <f t="shared" ca="1" si="595"/>
        <v>0</v>
      </c>
      <c r="U401" s="828">
        <f t="shared" ca="1" si="595"/>
        <v>0</v>
      </c>
      <c r="V401" s="828">
        <f t="shared" ca="1" si="595"/>
        <v>0</v>
      </c>
      <c r="W401" s="828">
        <f t="shared" ca="1" si="595"/>
        <v>0</v>
      </c>
      <c r="X401" s="828">
        <f t="shared" ca="1" si="596"/>
        <v>0</v>
      </c>
      <c r="Y401" s="828">
        <f t="shared" ca="1" si="597"/>
        <v>0</v>
      </c>
      <c r="Z401" s="828">
        <f t="shared" ca="1" si="598"/>
        <v>0</v>
      </c>
      <c r="AA401" s="828">
        <f t="shared" ca="1" si="599"/>
        <v>0</v>
      </c>
      <c r="AB401" s="828" t="str">
        <f t="shared" ca="1" si="600"/>
        <v/>
      </c>
      <c r="AC401" s="828" t="str">
        <f t="shared" ca="1" si="601"/>
        <v/>
      </c>
      <c r="AD401" s="828" t="str">
        <f t="shared" ca="1" si="602"/>
        <v/>
      </c>
      <c r="AE401" s="828" t="str">
        <f t="shared" ca="1" si="603"/>
        <v/>
      </c>
      <c r="AF401" s="828" t="str">
        <f t="shared" ca="1" si="604"/>
        <v/>
      </c>
      <c r="AG401" s="828" t="str">
        <f t="shared" ca="1" si="605"/>
        <v/>
      </c>
      <c r="AH401" s="828" t="str">
        <f t="shared" ca="1" si="606"/>
        <v/>
      </c>
      <c r="AI401" s="828" t="str">
        <f t="shared" ca="1" si="607"/>
        <v/>
      </c>
      <c r="AJ401" s="828" t="str">
        <f t="shared" ca="1" si="608"/>
        <v/>
      </c>
      <c r="AK401" s="828" t="str">
        <f t="shared" ca="1" si="609"/>
        <v/>
      </c>
      <c r="AL401" s="828" t="str">
        <f t="shared" ca="1" si="610"/>
        <v/>
      </c>
      <c r="AM401" s="828" t="str">
        <f t="shared" ca="1" si="611"/>
        <v/>
      </c>
      <c r="AN401" s="828" t="str">
        <f t="shared" ca="1" si="612"/>
        <v/>
      </c>
      <c r="AO401" s="828" t="str">
        <f t="shared" ca="1" si="613"/>
        <v/>
      </c>
      <c r="AP401" s="828" t="str">
        <f t="shared" ca="1" si="614"/>
        <v/>
      </c>
      <c r="AQ401" s="828" t="str">
        <f t="shared" ca="1" si="615"/>
        <v/>
      </c>
      <c r="AR401" s="828" t="str">
        <f t="shared" ca="1" si="616"/>
        <v/>
      </c>
      <c r="AS401" s="828" t="str">
        <f t="shared" ca="1" si="617"/>
        <v/>
      </c>
      <c r="AT401" s="828" t="str">
        <f t="shared" ca="1" si="618"/>
        <v/>
      </c>
      <c r="AU401" s="828" t="str">
        <f t="shared" ca="1" si="619"/>
        <v/>
      </c>
      <c r="AV401" s="828" t="str">
        <f t="shared" ca="1" si="620"/>
        <v/>
      </c>
      <c r="AW401" s="828" t="str">
        <f t="shared" ca="1" si="621"/>
        <v/>
      </c>
      <c r="AX401" s="828" t="str">
        <f t="shared" ca="1" si="622"/>
        <v/>
      </c>
      <c r="AY401" s="828" t="str">
        <f t="shared" ca="1" si="623"/>
        <v/>
      </c>
      <c r="AZ401" s="828" t="str">
        <f t="shared" ca="1" si="624"/>
        <v/>
      </c>
      <c r="BA401" s="828" t="str">
        <f t="shared" ca="1" si="625"/>
        <v/>
      </c>
      <c r="BB401" s="828" t="str">
        <f t="shared" ca="1" si="626"/>
        <v/>
      </c>
      <c r="BC401" s="828" t="str">
        <f t="shared" ca="1" si="627"/>
        <v/>
      </c>
      <c r="BD401" s="828" t="str">
        <f t="shared" ca="1" si="628"/>
        <v/>
      </c>
      <c r="BE401" s="828" t="str">
        <f t="shared" ca="1" si="629"/>
        <v/>
      </c>
      <c r="BF401" s="828" t="str">
        <f t="shared" ca="1" si="630"/>
        <v/>
      </c>
      <c r="BG401" s="828" t="str">
        <f t="shared" ca="1" si="631"/>
        <v/>
      </c>
      <c r="BH401" s="828" t="str">
        <f t="shared" ca="1" si="632"/>
        <v/>
      </c>
      <c r="BI401" s="828" t="str">
        <f t="shared" ca="1" si="633"/>
        <v/>
      </c>
      <c r="BJ401" s="828" t="str">
        <f t="shared" ca="1" si="634"/>
        <v/>
      </c>
      <c r="BK401" s="828" t="str">
        <f t="shared" ca="1" si="635"/>
        <v/>
      </c>
      <c r="BL401" s="828" t="str">
        <f t="shared" ca="1" si="636"/>
        <v/>
      </c>
      <c r="BM401" s="828" t="str">
        <f t="shared" ca="1" si="637"/>
        <v/>
      </c>
      <c r="BN401" s="828" t="str">
        <f t="shared" ca="1" si="638"/>
        <v/>
      </c>
      <c r="BO401" s="828" t="str">
        <f t="shared" ca="1" si="639"/>
        <v/>
      </c>
      <c r="BP401" s="841"/>
    </row>
    <row r="402" spans="1:68" ht="20.100000000000001" customHeight="1">
      <c r="A402" s="823">
        <v>68</v>
      </c>
      <c r="B402" s="1870"/>
      <c r="C402" s="1872"/>
      <c r="D402" s="852" t="s">
        <v>4430</v>
      </c>
      <c r="E402" s="824"/>
      <c r="F402" s="849"/>
      <c r="G402" s="826" t="s">
        <v>4196</v>
      </c>
      <c r="H402" s="827">
        <f t="shared" ca="1" si="593"/>
        <v>0</v>
      </c>
      <c r="I402" s="827">
        <f t="shared" ca="1" si="593"/>
        <v>0</v>
      </c>
      <c r="J402" s="827">
        <f t="shared" ca="1" si="593"/>
        <v>0</v>
      </c>
      <c r="K402" s="827">
        <f t="shared" ca="1" si="593"/>
        <v>0</v>
      </c>
      <c r="L402" s="828">
        <f t="shared" ca="1" si="594"/>
        <v>0</v>
      </c>
      <c r="M402" s="828">
        <f t="shared" ca="1" si="594"/>
        <v>0</v>
      </c>
      <c r="N402" s="828">
        <f t="shared" ca="1" si="594"/>
        <v>0</v>
      </c>
      <c r="O402" s="828">
        <f t="shared" ca="1" si="594"/>
        <v>0</v>
      </c>
      <c r="P402" s="828">
        <f ca="1">SUM(SUMIFS(OFFSET(貼付け_2024実績,$A402,12,1,199),OFFSET(貼付け_2024実績,4,9,1,199),{"横浜*","川崎*"}))</f>
        <v>0</v>
      </c>
      <c r="Q402" s="828">
        <f ca="1">SUM(SUMIFS(OFFSET(貼付け_2025実績,$A402,12,1,199),OFFSET(貼付け_2025実績,4,9,1,199),{"横浜*","川崎*"}))</f>
        <v>0</v>
      </c>
      <c r="R402" s="828">
        <f ca="1">SUM(SUMIFS(OFFSET(貼付け_2026実績,$A402,12,1,199),OFFSET(貼付け_2026実績,4,9,1,199),{"横浜*","川崎*"}))</f>
        <v>0</v>
      </c>
      <c r="S402" s="828">
        <f ca="1">SUM(SUMIFS(OFFSET(貼付け_2027実績,$A402,12,1,199),OFFSET(貼付け_2027実績,4,9,1,199),{"横浜*","川崎*"}))</f>
        <v>0</v>
      </c>
      <c r="T402" s="828">
        <f t="shared" ca="1" si="595"/>
        <v>0</v>
      </c>
      <c r="U402" s="828">
        <f t="shared" ca="1" si="595"/>
        <v>0</v>
      </c>
      <c r="V402" s="828">
        <f t="shared" ca="1" si="595"/>
        <v>0</v>
      </c>
      <c r="W402" s="828">
        <f t="shared" ca="1" si="595"/>
        <v>0</v>
      </c>
      <c r="X402" s="828">
        <f t="shared" ca="1" si="596"/>
        <v>0</v>
      </c>
      <c r="Y402" s="828">
        <f t="shared" ca="1" si="597"/>
        <v>0</v>
      </c>
      <c r="Z402" s="828">
        <f t="shared" ca="1" si="598"/>
        <v>0</v>
      </c>
      <c r="AA402" s="828">
        <f t="shared" ca="1" si="599"/>
        <v>0</v>
      </c>
      <c r="AB402" s="828" t="str">
        <f t="shared" ca="1" si="600"/>
        <v/>
      </c>
      <c r="AC402" s="828" t="str">
        <f t="shared" ca="1" si="601"/>
        <v/>
      </c>
      <c r="AD402" s="828" t="str">
        <f t="shared" ca="1" si="602"/>
        <v/>
      </c>
      <c r="AE402" s="828" t="str">
        <f t="shared" ca="1" si="603"/>
        <v/>
      </c>
      <c r="AF402" s="828" t="str">
        <f t="shared" ca="1" si="604"/>
        <v/>
      </c>
      <c r="AG402" s="828" t="str">
        <f t="shared" ca="1" si="605"/>
        <v/>
      </c>
      <c r="AH402" s="828" t="str">
        <f t="shared" ca="1" si="606"/>
        <v/>
      </c>
      <c r="AI402" s="828" t="str">
        <f t="shared" ca="1" si="607"/>
        <v/>
      </c>
      <c r="AJ402" s="828" t="str">
        <f t="shared" ca="1" si="608"/>
        <v/>
      </c>
      <c r="AK402" s="828" t="str">
        <f t="shared" ca="1" si="609"/>
        <v/>
      </c>
      <c r="AL402" s="828" t="str">
        <f t="shared" ca="1" si="610"/>
        <v/>
      </c>
      <c r="AM402" s="828" t="str">
        <f t="shared" ca="1" si="611"/>
        <v/>
      </c>
      <c r="AN402" s="828" t="str">
        <f t="shared" ca="1" si="612"/>
        <v/>
      </c>
      <c r="AO402" s="828" t="str">
        <f t="shared" ca="1" si="613"/>
        <v/>
      </c>
      <c r="AP402" s="828" t="str">
        <f t="shared" ca="1" si="614"/>
        <v/>
      </c>
      <c r="AQ402" s="828" t="str">
        <f t="shared" ca="1" si="615"/>
        <v/>
      </c>
      <c r="AR402" s="828" t="str">
        <f t="shared" ca="1" si="616"/>
        <v/>
      </c>
      <c r="AS402" s="828" t="str">
        <f t="shared" ca="1" si="617"/>
        <v/>
      </c>
      <c r="AT402" s="828" t="str">
        <f t="shared" ca="1" si="618"/>
        <v/>
      </c>
      <c r="AU402" s="828" t="str">
        <f t="shared" ca="1" si="619"/>
        <v/>
      </c>
      <c r="AV402" s="828" t="str">
        <f t="shared" ca="1" si="620"/>
        <v/>
      </c>
      <c r="AW402" s="828" t="str">
        <f t="shared" ca="1" si="621"/>
        <v/>
      </c>
      <c r="AX402" s="828" t="str">
        <f t="shared" ca="1" si="622"/>
        <v/>
      </c>
      <c r="AY402" s="828" t="str">
        <f t="shared" ca="1" si="623"/>
        <v/>
      </c>
      <c r="AZ402" s="828" t="str">
        <f t="shared" ca="1" si="624"/>
        <v/>
      </c>
      <c r="BA402" s="828" t="str">
        <f t="shared" ca="1" si="625"/>
        <v/>
      </c>
      <c r="BB402" s="828" t="str">
        <f t="shared" ca="1" si="626"/>
        <v/>
      </c>
      <c r="BC402" s="828" t="str">
        <f t="shared" ca="1" si="627"/>
        <v/>
      </c>
      <c r="BD402" s="828" t="str">
        <f t="shared" ca="1" si="628"/>
        <v/>
      </c>
      <c r="BE402" s="828" t="str">
        <f t="shared" ca="1" si="629"/>
        <v/>
      </c>
      <c r="BF402" s="828" t="str">
        <f t="shared" ca="1" si="630"/>
        <v/>
      </c>
      <c r="BG402" s="828" t="str">
        <f t="shared" ca="1" si="631"/>
        <v/>
      </c>
      <c r="BH402" s="828" t="str">
        <f t="shared" ca="1" si="632"/>
        <v/>
      </c>
      <c r="BI402" s="828" t="str">
        <f t="shared" ca="1" si="633"/>
        <v/>
      </c>
      <c r="BJ402" s="828" t="str">
        <f t="shared" ca="1" si="634"/>
        <v/>
      </c>
      <c r="BK402" s="828" t="str">
        <f t="shared" ca="1" si="635"/>
        <v/>
      </c>
      <c r="BL402" s="828" t="str">
        <f t="shared" ca="1" si="636"/>
        <v/>
      </c>
      <c r="BM402" s="828" t="str">
        <f t="shared" ca="1" si="637"/>
        <v/>
      </c>
      <c r="BN402" s="828" t="str">
        <f t="shared" ca="1" si="638"/>
        <v/>
      </c>
      <c r="BO402" s="828" t="str">
        <f t="shared" ca="1" si="639"/>
        <v/>
      </c>
      <c r="BP402" s="841"/>
    </row>
    <row r="403" spans="1:68" ht="20.100000000000001" customHeight="1">
      <c r="A403" s="823">
        <v>69</v>
      </c>
      <c r="B403" s="1870"/>
      <c r="C403" s="1872"/>
      <c r="D403" s="852" t="s">
        <v>4431</v>
      </c>
      <c r="E403" s="824"/>
      <c r="F403" s="849"/>
      <c r="G403" s="826" t="s">
        <v>4196</v>
      </c>
      <c r="H403" s="827">
        <f t="shared" ca="1" si="593"/>
        <v>0</v>
      </c>
      <c r="I403" s="827">
        <f t="shared" ca="1" si="593"/>
        <v>0</v>
      </c>
      <c r="J403" s="827">
        <f t="shared" ca="1" si="593"/>
        <v>0</v>
      </c>
      <c r="K403" s="827">
        <f t="shared" ca="1" si="593"/>
        <v>0</v>
      </c>
      <c r="L403" s="828">
        <f t="shared" ca="1" si="594"/>
        <v>0</v>
      </c>
      <c r="M403" s="828">
        <f t="shared" ca="1" si="594"/>
        <v>0</v>
      </c>
      <c r="N403" s="828">
        <f t="shared" ca="1" si="594"/>
        <v>0</v>
      </c>
      <c r="O403" s="828">
        <f t="shared" ca="1" si="594"/>
        <v>0</v>
      </c>
      <c r="P403" s="828">
        <f ca="1">SUM(SUMIFS(OFFSET(貼付け_2024実績,$A403,12,1,199),OFFSET(貼付け_2024実績,4,9,1,199),{"横浜*","川崎*"}))</f>
        <v>0</v>
      </c>
      <c r="Q403" s="828">
        <f ca="1">SUM(SUMIFS(OFFSET(貼付け_2025実績,$A403,12,1,199),OFFSET(貼付け_2025実績,4,9,1,199),{"横浜*","川崎*"}))</f>
        <v>0</v>
      </c>
      <c r="R403" s="828">
        <f ca="1">SUM(SUMIFS(OFFSET(貼付け_2026実績,$A403,12,1,199),OFFSET(貼付け_2026実績,4,9,1,199),{"横浜*","川崎*"}))</f>
        <v>0</v>
      </c>
      <c r="S403" s="828">
        <f ca="1">SUM(SUMIFS(OFFSET(貼付け_2027実績,$A403,12,1,199),OFFSET(貼付け_2027実績,4,9,1,199),{"横浜*","川崎*"}))</f>
        <v>0</v>
      </c>
      <c r="T403" s="828">
        <f t="shared" ca="1" si="595"/>
        <v>0</v>
      </c>
      <c r="U403" s="828">
        <f t="shared" ca="1" si="595"/>
        <v>0</v>
      </c>
      <c r="V403" s="828">
        <f t="shared" ca="1" si="595"/>
        <v>0</v>
      </c>
      <c r="W403" s="828">
        <f t="shared" ca="1" si="595"/>
        <v>0</v>
      </c>
      <c r="X403" s="828">
        <f t="shared" ca="1" si="596"/>
        <v>0</v>
      </c>
      <c r="Y403" s="828">
        <f t="shared" ca="1" si="597"/>
        <v>0</v>
      </c>
      <c r="Z403" s="828">
        <f t="shared" ca="1" si="598"/>
        <v>0</v>
      </c>
      <c r="AA403" s="828">
        <f t="shared" ca="1" si="599"/>
        <v>0</v>
      </c>
      <c r="AB403" s="828" t="str">
        <f t="shared" ca="1" si="600"/>
        <v/>
      </c>
      <c r="AC403" s="828" t="str">
        <f t="shared" ca="1" si="601"/>
        <v/>
      </c>
      <c r="AD403" s="828" t="str">
        <f t="shared" ca="1" si="602"/>
        <v/>
      </c>
      <c r="AE403" s="828" t="str">
        <f t="shared" ca="1" si="603"/>
        <v/>
      </c>
      <c r="AF403" s="828" t="str">
        <f t="shared" ca="1" si="604"/>
        <v/>
      </c>
      <c r="AG403" s="828" t="str">
        <f t="shared" ca="1" si="605"/>
        <v/>
      </c>
      <c r="AH403" s="828" t="str">
        <f t="shared" ca="1" si="606"/>
        <v/>
      </c>
      <c r="AI403" s="828" t="str">
        <f t="shared" ca="1" si="607"/>
        <v/>
      </c>
      <c r="AJ403" s="828" t="str">
        <f t="shared" ca="1" si="608"/>
        <v/>
      </c>
      <c r="AK403" s="828" t="str">
        <f t="shared" ca="1" si="609"/>
        <v/>
      </c>
      <c r="AL403" s="828" t="str">
        <f t="shared" ca="1" si="610"/>
        <v/>
      </c>
      <c r="AM403" s="828" t="str">
        <f t="shared" ca="1" si="611"/>
        <v/>
      </c>
      <c r="AN403" s="828" t="str">
        <f t="shared" ca="1" si="612"/>
        <v/>
      </c>
      <c r="AO403" s="828" t="str">
        <f t="shared" ca="1" si="613"/>
        <v/>
      </c>
      <c r="AP403" s="828" t="str">
        <f t="shared" ca="1" si="614"/>
        <v/>
      </c>
      <c r="AQ403" s="828" t="str">
        <f t="shared" ca="1" si="615"/>
        <v/>
      </c>
      <c r="AR403" s="828" t="str">
        <f t="shared" ca="1" si="616"/>
        <v/>
      </c>
      <c r="AS403" s="828" t="str">
        <f t="shared" ca="1" si="617"/>
        <v/>
      </c>
      <c r="AT403" s="828" t="str">
        <f t="shared" ca="1" si="618"/>
        <v/>
      </c>
      <c r="AU403" s="828" t="str">
        <f t="shared" ca="1" si="619"/>
        <v/>
      </c>
      <c r="AV403" s="828" t="str">
        <f t="shared" ca="1" si="620"/>
        <v/>
      </c>
      <c r="AW403" s="828" t="str">
        <f t="shared" ca="1" si="621"/>
        <v/>
      </c>
      <c r="AX403" s="828" t="str">
        <f t="shared" ca="1" si="622"/>
        <v/>
      </c>
      <c r="AY403" s="828" t="str">
        <f t="shared" ca="1" si="623"/>
        <v/>
      </c>
      <c r="AZ403" s="828" t="str">
        <f t="shared" ca="1" si="624"/>
        <v/>
      </c>
      <c r="BA403" s="828" t="str">
        <f t="shared" ca="1" si="625"/>
        <v/>
      </c>
      <c r="BB403" s="828" t="str">
        <f t="shared" ca="1" si="626"/>
        <v/>
      </c>
      <c r="BC403" s="828" t="str">
        <f t="shared" ca="1" si="627"/>
        <v/>
      </c>
      <c r="BD403" s="828" t="str">
        <f t="shared" ca="1" si="628"/>
        <v/>
      </c>
      <c r="BE403" s="828" t="str">
        <f t="shared" ca="1" si="629"/>
        <v/>
      </c>
      <c r="BF403" s="828" t="str">
        <f t="shared" ca="1" si="630"/>
        <v/>
      </c>
      <c r="BG403" s="828" t="str">
        <f t="shared" ca="1" si="631"/>
        <v/>
      </c>
      <c r="BH403" s="828" t="str">
        <f t="shared" ca="1" si="632"/>
        <v/>
      </c>
      <c r="BI403" s="828" t="str">
        <f t="shared" ca="1" si="633"/>
        <v/>
      </c>
      <c r="BJ403" s="828" t="str">
        <f t="shared" ca="1" si="634"/>
        <v/>
      </c>
      <c r="BK403" s="828" t="str">
        <f t="shared" ca="1" si="635"/>
        <v/>
      </c>
      <c r="BL403" s="828" t="str">
        <f t="shared" ca="1" si="636"/>
        <v/>
      </c>
      <c r="BM403" s="828" t="str">
        <f t="shared" ca="1" si="637"/>
        <v/>
      </c>
      <c r="BN403" s="828" t="str">
        <f t="shared" ca="1" si="638"/>
        <v/>
      </c>
      <c r="BO403" s="828" t="str">
        <f t="shared" ca="1" si="639"/>
        <v/>
      </c>
      <c r="BP403" s="841"/>
    </row>
    <row r="404" spans="1:68" ht="20.100000000000001" customHeight="1">
      <c r="A404" s="823">
        <v>70</v>
      </c>
      <c r="B404" s="1870"/>
      <c r="C404" s="1872"/>
      <c r="D404" s="853" t="s">
        <v>4432</v>
      </c>
      <c r="E404" s="831" t="str">
        <f ca="1">E66</f>
        <v/>
      </c>
      <c r="F404" s="833"/>
      <c r="G404" s="826" t="s">
        <v>4196</v>
      </c>
      <c r="H404" s="827">
        <f t="shared" ca="1" si="593"/>
        <v>0</v>
      </c>
      <c r="I404" s="827">
        <f t="shared" ca="1" si="593"/>
        <v>0</v>
      </c>
      <c r="J404" s="827">
        <f t="shared" ca="1" si="593"/>
        <v>0</v>
      </c>
      <c r="K404" s="827">
        <f t="shared" ca="1" si="593"/>
        <v>0</v>
      </c>
      <c r="L404" s="828">
        <f t="shared" ca="1" si="594"/>
        <v>0</v>
      </c>
      <c r="M404" s="828">
        <f t="shared" ca="1" si="594"/>
        <v>0</v>
      </c>
      <c r="N404" s="828">
        <f t="shared" ca="1" si="594"/>
        <v>0</v>
      </c>
      <c r="O404" s="828">
        <f t="shared" ca="1" si="594"/>
        <v>0</v>
      </c>
      <c r="P404" s="828">
        <f ca="1">SUM(SUMIFS(OFFSET(貼付け_2024実績,$A404,12,1,199),OFFSET(貼付け_2024実績,4,9,1,199),{"横浜*","川崎*"}))</f>
        <v>0</v>
      </c>
      <c r="Q404" s="828">
        <f ca="1">SUM(SUMIFS(OFFSET(貼付け_2025実績,$A404,12,1,199),OFFSET(貼付け_2025実績,4,9,1,199),{"横浜*","川崎*"}))</f>
        <v>0</v>
      </c>
      <c r="R404" s="828">
        <f ca="1">SUM(SUMIFS(OFFSET(貼付け_2026実績,$A404,12,1,199),OFFSET(貼付け_2026実績,4,9,1,199),{"横浜*","川崎*"}))</f>
        <v>0</v>
      </c>
      <c r="S404" s="828">
        <f ca="1">SUM(SUMIFS(OFFSET(貼付け_2027実績,$A404,12,1,199),OFFSET(貼付け_2027実績,4,9,1,199),{"横浜*","川崎*"}))</f>
        <v>0</v>
      </c>
      <c r="T404" s="828">
        <f t="shared" ca="1" si="595"/>
        <v>0</v>
      </c>
      <c r="U404" s="828">
        <f t="shared" ca="1" si="595"/>
        <v>0</v>
      </c>
      <c r="V404" s="828">
        <f t="shared" ca="1" si="595"/>
        <v>0</v>
      </c>
      <c r="W404" s="828">
        <f t="shared" ca="1" si="595"/>
        <v>0</v>
      </c>
      <c r="X404" s="828">
        <f t="shared" ca="1" si="596"/>
        <v>0</v>
      </c>
      <c r="Y404" s="828">
        <f t="shared" ca="1" si="597"/>
        <v>0</v>
      </c>
      <c r="Z404" s="828">
        <f t="shared" ca="1" si="598"/>
        <v>0</v>
      </c>
      <c r="AA404" s="828">
        <f t="shared" ca="1" si="599"/>
        <v>0</v>
      </c>
      <c r="AB404" s="828" t="str">
        <f t="shared" ca="1" si="600"/>
        <v/>
      </c>
      <c r="AC404" s="828" t="str">
        <f t="shared" ca="1" si="601"/>
        <v/>
      </c>
      <c r="AD404" s="828" t="str">
        <f t="shared" ca="1" si="602"/>
        <v/>
      </c>
      <c r="AE404" s="828" t="str">
        <f t="shared" ca="1" si="603"/>
        <v/>
      </c>
      <c r="AF404" s="828" t="str">
        <f t="shared" ca="1" si="604"/>
        <v/>
      </c>
      <c r="AG404" s="828" t="str">
        <f t="shared" ca="1" si="605"/>
        <v/>
      </c>
      <c r="AH404" s="828" t="str">
        <f t="shared" ca="1" si="606"/>
        <v/>
      </c>
      <c r="AI404" s="828" t="str">
        <f t="shared" ca="1" si="607"/>
        <v/>
      </c>
      <c r="AJ404" s="828" t="str">
        <f t="shared" ca="1" si="608"/>
        <v/>
      </c>
      <c r="AK404" s="828" t="str">
        <f t="shared" ca="1" si="609"/>
        <v/>
      </c>
      <c r="AL404" s="828" t="str">
        <f t="shared" ca="1" si="610"/>
        <v/>
      </c>
      <c r="AM404" s="828" t="str">
        <f t="shared" ca="1" si="611"/>
        <v/>
      </c>
      <c r="AN404" s="828" t="str">
        <f t="shared" ca="1" si="612"/>
        <v/>
      </c>
      <c r="AO404" s="828" t="str">
        <f t="shared" ca="1" si="613"/>
        <v/>
      </c>
      <c r="AP404" s="828" t="str">
        <f t="shared" ca="1" si="614"/>
        <v/>
      </c>
      <c r="AQ404" s="828" t="str">
        <f t="shared" ca="1" si="615"/>
        <v/>
      </c>
      <c r="AR404" s="828" t="str">
        <f t="shared" ca="1" si="616"/>
        <v/>
      </c>
      <c r="AS404" s="828" t="str">
        <f t="shared" ca="1" si="617"/>
        <v/>
      </c>
      <c r="AT404" s="828" t="str">
        <f t="shared" ca="1" si="618"/>
        <v/>
      </c>
      <c r="AU404" s="828" t="str">
        <f t="shared" ca="1" si="619"/>
        <v/>
      </c>
      <c r="AV404" s="828" t="str">
        <f t="shared" ca="1" si="620"/>
        <v/>
      </c>
      <c r="AW404" s="828" t="str">
        <f t="shared" ca="1" si="621"/>
        <v/>
      </c>
      <c r="AX404" s="828" t="str">
        <f t="shared" ca="1" si="622"/>
        <v/>
      </c>
      <c r="AY404" s="828" t="str">
        <f t="shared" ca="1" si="623"/>
        <v/>
      </c>
      <c r="AZ404" s="828" t="str">
        <f t="shared" ca="1" si="624"/>
        <v/>
      </c>
      <c r="BA404" s="828" t="str">
        <f t="shared" ca="1" si="625"/>
        <v/>
      </c>
      <c r="BB404" s="828" t="str">
        <f t="shared" ca="1" si="626"/>
        <v/>
      </c>
      <c r="BC404" s="828" t="str">
        <f t="shared" ca="1" si="627"/>
        <v/>
      </c>
      <c r="BD404" s="828" t="str">
        <f t="shared" ca="1" si="628"/>
        <v/>
      </c>
      <c r="BE404" s="828" t="str">
        <f t="shared" ca="1" si="629"/>
        <v/>
      </c>
      <c r="BF404" s="828" t="str">
        <f t="shared" ca="1" si="630"/>
        <v/>
      </c>
      <c r="BG404" s="828" t="str">
        <f t="shared" ca="1" si="631"/>
        <v/>
      </c>
      <c r="BH404" s="828" t="str">
        <f t="shared" ca="1" si="632"/>
        <v/>
      </c>
      <c r="BI404" s="828" t="str">
        <f t="shared" ca="1" si="633"/>
        <v/>
      </c>
      <c r="BJ404" s="828" t="str">
        <f t="shared" ca="1" si="634"/>
        <v/>
      </c>
      <c r="BK404" s="828" t="str">
        <f t="shared" ca="1" si="635"/>
        <v/>
      </c>
      <c r="BL404" s="828" t="str">
        <f t="shared" ca="1" si="636"/>
        <v/>
      </c>
      <c r="BM404" s="828" t="str">
        <f t="shared" ca="1" si="637"/>
        <v/>
      </c>
      <c r="BN404" s="828" t="str">
        <f t="shared" ca="1" si="638"/>
        <v/>
      </c>
      <c r="BO404" s="828" t="str">
        <f t="shared" ca="1" si="639"/>
        <v/>
      </c>
      <c r="BP404" s="841"/>
    </row>
    <row r="405" spans="1:68" ht="20.100000000000001" customHeight="1">
      <c r="A405" s="823">
        <v>71</v>
      </c>
      <c r="B405" s="1870"/>
      <c r="C405" s="1872"/>
      <c r="D405" s="853" t="s">
        <v>4433</v>
      </c>
      <c r="E405" s="831" t="str">
        <f ca="1">E67</f>
        <v/>
      </c>
      <c r="F405" s="833"/>
      <c r="G405" s="826" t="s">
        <v>4196</v>
      </c>
      <c r="H405" s="827">
        <f t="shared" ca="1" si="593"/>
        <v>0</v>
      </c>
      <c r="I405" s="827">
        <f t="shared" ca="1" si="593"/>
        <v>0</v>
      </c>
      <c r="J405" s="827">
        <f t="shared" ca="1" si="593"/>
        <v>0</v>
      </c>
      <c r="K405" s="827">
        <f t="shared" ca="1" si="593"/>
        <v>0</v>
      </c>
      <c r="L405" s="828">
        <f t="shared" ca="1" si="594"/>
        <v>0</v>
      </c>
      <c r="M405" s="828">
        <f t="shared" ca="1" si="594"/>
        <v>0</v>
      </c>
      <c r="N405" s="828">
        <f t="shared" ca="1" si="594"/>
        <v>0</v>
      </c>
      <c r="O405" s="828">
        <f t="shared" ca="1" si="594"/>
        <v>0</v>
      </c>
      <c r="P405" s="828">
        <f ca="1">SUM(SUMIFS(OFFSET(貼付け_2024実績,$A405,12,1,199),OFFSET(貼付け_2024実績,4,9,1,199),{"横浜*","川崎*"}))</f>
        <v>0</v>
      </c>
      <c r="Q405" s="828">
        <f ca="1">SUM(SUMIFS(OFFSET(貼付け_2025実績,$A405,12,1,199),OFFSET(貼付け_2025実績,4,9,1,199),{"横浜*","川崎*"}))</f>
        <v>0</v>
      </c>
      <c r="R405" s="828">
        <f ca="1">SUM(SUMIFS(OFFSET(貼付け_2026実績,$A405,12,1,199),OFFSET(貼付け_2026実績,4,9,1,199),{"横浜*","川崎*"}))</f>
        <v>0</v>
      </c>
      <c r="S405" s="828">
        <f ca="1">SUM(SUMIFS(OFFSET(貼付け_2027実績,$A405,12,1,199),OFFSET(貼付け_2027実績,4,9,1,199),{"横浜*","川崎*"}))</f>
        <v>0</v>
      </c>
      <c r="T405" s="828">
        <f t="shared" ca="1" si="595"/>
        <v>0</v>
      </c>
      <c r="U405" s="828">
        <f t="shared" ca="1" si="595"/>
        <v>0</v>
      </c>
      <c r="V405" s="828">
        <f t="shared" ca="1" si="595"/>
        <v>0</v>
      </c>
      <c r="W405" s="828">
        <f t="shared" ca="1" si="595"/>
        <v>0</v>
      </c>
      <c r="X405" s="828">
        <f t="shared" ca="1" si="596"/>
        <v>0</v>
      </c>
      <c r="Y405" s="828">
        <f t="shared" ca="1" si="597"/>
        <v>0</v>
      </c>
      <c r="Z405" s="828">
        <f t="shared" ca="1" si="598"/>
        <v>0</v>
      </c>
      <c r="AA405" s="828">
        <f t="shared" ca="1" si="599"/>
        <v>0</v>
      </c>
      <c r="AB405" s="828" t="str">
        <f t="shared" ca="1" si="600"/>
        <v/>
      </c>
      <c r="AC405" s="828" t="str">
        <f t="shared" ca="1" si="601"/>
        <v/>
      </c>
      <c r="AD405" s="828" t="str">
        <f t="shared" ca="1" si="602"/>
        <v/>
      </c>
      <c r="AE405" s="828" t="str">
        <f t="shared" ca="1" si="603"/>
        <v/>
      </c>
      <c r="AF405" s="828" t="str">
        <f t="shared" ca="1" si="604"/>
        <v/>
      </c>
      <c r="AG405" s="828" t="str">
        <f t="shared" ca="1" si="605"/>
        <v/>
      </c>
      <c r="AH405" s="828" t="str">
        <f t="shared" ca="1" si="606"/>
        <v/>
      </c>
      <c r="AI405" s="828" t="str">
        <f t="shared" ca="1" si="607"/>
        <v/>
      </c>
      <c r="AJ405" s="828" t="str">
        <f t="shared" ca="1" si="608"/>
        <v/>
      </c>
      <c r="AK405" s="828" t="str">
        <f t="shared" ca="1" si="609"/>
        <v/>
      </c>
      <c r="AL405" s="828" t="str">
        <f t="shared" ca="1" si="610"/>
        <v/>
      </c>
      <c r="AM405" s="828" t="str">
        <f t="shared" ca="1" si="611"/>
        <v/>
      </c>
      <c r="AN405" s="828" t="str">
        <f t="shared" ca="1" si="612"/>
        <v/>
      </c>
      <c r="AO405" s="828" t="str">
        <f t="shared" ca="1" si="613"/>
        <v/>
      </c>
      <c r="AP405" s="828" t="str">
        <f t="shared" ca="1" si="614"/>
        <v/>
      </c>
      <c r="AQ405" s="828" t="str">
        <f t="shared" ca="1" si="615"/>
        <v/>
      </c>
      <c r="AR405" s="828" t="str">
        <f t="shared" ca="1" si="616"/>
        <v/>
      </c>
      <c r="AS405" s="828" t="str">
        <f t="shared" ca="1" si="617"/>
        <v/>
      </c>
      <c r="AT405" s="828" t="str">
        <f t="shared" ca="1" si="618"/>
        <v/>
      </c>
      <c r="AU405" s="828" t="str">
        <f t="shared" ca="1" si="619"/>
        <v/>
      </c>
      <c r="AV405" s="828" t="str">
        <f t="shared" ca="1" si="620"/>
        <v/>
      </c>
      <c r="AW405" s="828" t="str">
        <f t="shared" ca="1" si="621"/>
        <v/>
      </c>
      <c r="AX405" s="828" t="str">
        <f t="shared" ca="1" si="622"/>
        <v/>
      </c>
      <c r="AY405" s="828" t="str">
        <f t="shared" ca="1" si="623"/>
        <v/>
      </c>
      <c r="AZ405" s="828" t="str">
        <f t="shared" ca="1" si="624"/>
        <v/>
      </c>
      <c r="BA405" s="828" t="str">
        <f t="shared" ca="1" si="625"/>
        <v/>
      </c>
      <c r="BB405" s="828" t="str">
        <f t="shared" ca="1" si="626"/>
        <v/>
      </c>
      <c r="BC405" s="828" t="str">
        <f t="shared" ca="1" si="627"/>
        <v/>
      </c>
      <c r="BD405" s="828" t="str">
        <f t="shared" ca="1" si="628"/>
        <v/>
      </c>
      <c r="BE405" s="828" t="str">
        <f t="shared" ca="1" si="629"/>
        <v/>
      </c>
      <c r="BF405" s="828" t="str">
        <f t="shared" ca="1" si="630"/>
        <v/>
      </c>
      <c r="BG405" s="828" t="str">
        <f t="shared" ca="1" si="631"/>
        <v/>
      </c>
      <c r="BH405" s="828" t="str">
        <f t="shared" ca="1" si="632"/>
        <v/>
      </c>
      <c r="BI405" s="828" t="str">
        <f t="shared" ca="1" si="633"/>
        <v/>
      </c>
      <c r="BJ405" s="828" t="str">
        <f t="shared" ca="1" si="634"/>
        <v/>
      </c>
      <c r="BK405" s="828" t="str">
        <f t="shared" ca="1" si="635"/>
        <v/>
      </c>
      <c r="BL405" s="828" t="str">
        <f t="shared" ca="1" si="636"/>
        <v/>
      </c>
      <c r="BM405" s="828" t="str">
        <f t="shared" ca="1" si="637"/>
        <v/>
      </c>
      <c r="BN405" s="828" t="str">
        <f t="shared" ca="1" si="638"/>
        <v/>
      </c>
      <c r="BO405" s="828" t="str">
        <f t="shared" ca="1" si="639"/>
        <v/>
      </c>
      <c r="BP405" s="841"/>
    </row>
    <row r="406" spans="1:68" ht="20.100000000000001" customHeight="1" outlineLevel="1">
      <c r="A406" s="823"/>
      <c r="B406" s="1869" t="s">
        <v>4434</v>
      </c>
      <c r="C406" s="933" t="s">
        <v>4435</v>
      </c>
      <c r="D406" s="934"/>
      <c r="E406" s="829"/>
      <c r="F406" s="849"/>
      <c r="G406" s="826" t="s">
        <v>4594</v>
      </c>
      <c r="H406" s="882"/>
      <c r="I406" s="882"/>
      <c r="J406" s="882"/>
      <c r="K406" s="882"/>
      <c r="L406" s="943"/>
      <c r="M406" s="943"/>
      <c r="N406" s="943"/>
      <c r="O406" s="943"/>
      <c r="P406" s="943"/>
      <c r="Q406" s="943"/>
      <c r="R406" s="943"/>
      <c r="S406" s="943"/>
      <c r="T406" s="943"/>
      <c r="U406" s="943"/>
      <c r="V406" s="943"/>
      <c r="W406" s="943"/>
      <c r="X406" s="943"/>
      <c r="Y406" s="943"/>
      <c r="Z406" s="943"/>
      <c r="AA406" s="943"/>
      <c r="AB406" s="943"/>
      <c r="AC406" s="943"/>
      <c r="AD406" s="943"/>
      <c r="AE406" s="943"/>
      <c r="AF406" s="943"/>
      <c r="AG406" s="943"/>
      <c r="AH406" s="943"/>
      <c r="AI406" s="943"/>
      <c r="AJ406" s="943"/>
      <c r="AK406" s="943"/>
      <c r="AL406" s="943"/>
      <c r="AM406" s="943"/>
      <c r="AN406" s="943"/>
      <c r="AO406" s="943"/>
      <c r="AP406" s="943"/>
      <c r="AQ406" s="943"/>
      <c r="AR406" s="943"/>
      <c r="AS406" s="943"/>
      <c r="AT406" s="943"/>
      <c r="AU406" s="943"/>
      <c r="AV406" s="943"/>
      <c r="AW406" s="943"/>
      <c r="AX406" s="943"/>
      <c r="AY406" s="943"/>
      <c r="AZ406" s="943"/>
      <c r="BA406" s="943"/>
      <c r="BB406" s="943"/>
      <c r="BC406" s="943"/>
      <c r="BD406" s="943"/>
      <c r="BE406" s="943"/>
      <c r="BF406" s="943"/>
      <c r="BG406" s="943"/>
      <c r="BH406" s="943"/>
      <c r="BI406" s="943"/>
      <c r="BJ406" s="943"/>
      <c r="BK406" s="943"/>
      <c r="BL406" s="943"/>
      <c r="BM406" s="943"/>
      <c r="BN406" s="943"/>
      <c r="BO406" s="943"/>
      <c r="BP406" s="841"/>
    </row>
    <row r="407" spans="1:68" ht="20.100000000000001" customHeight="1" outlineLevel="1">
      <c r="A407" s="823"/>
      <c r="B407" s="1870"/>
      <c r="C407" s="1872" t="s">
        <v>4436</v>
      </c>
      <c r="D407" s="851" t="s">
        <v>4437</v>
      </c>
      <c r="E407" s="824"/>
      <c r="F407" s="849"/>
      <c r="G407" s="826" t="s">
        <v>4594</v>
      </c>
      <c r="H407" s="882"/>
      <c r="I407" s="882"/>
      <c r="J407" s="882"/>
      <c r="K407" s="882"/>
      <c r="L407" s="943"/>
      <c r="M407" s="943"/>
      <c r="N407" s="943"/>
      <c r="O407" s="943"/>
      <c r="P407" s="943"/>
      <c r="Q407" s="943"/>
      <c r="R407" s="943"/>
      <c r="S407" s="943"/>
      <c r="T407" s="943"/>
      <c r="U407" s="943"/>
      <c r="V407" s="943"/>
      <c r="W407" s="943"/>
      <c r="X407" s="943"/>
      <c r="Y407" s="943"/>
      <c r="Z407" s="943"/>
      <c r="AA407" s="943"/>
      <c r="AB407" s="943"/>
      <c r="AC407" s="943"/>
      <c r="AD407" s="943"/>
      <c r="AE407" s="943"/>
      <c r="AF407" s="943"/>
      <c r="AG407" s="943"/>
      <c r="AH407" s="943"/>
      <c r="AI407" s="943"/>
      <c r="AJ407" s="943"/>
      <c r="AK407" s="943"/>
      <c r="AL407" s="943"/>
      <c r="AM407" s="943"/>
      <c r="AN407" s="943"/>
      <c r="AO407" s="943"/>
      <c r="AP407" s="943"/>
      <c r="AQ407" s="943"/>
      <c r="AR407" s="943"/>
      <c r="AS407" s="943"/>
      <c r="AT407" s="943"/>
      <c r="AU407" s="943"/>
      <c r="AV407" s="943"/>
      <c r="AW407" s="943"/>
      <c r="AX407" s="943"/>
      <c r="AY407" s="943"/>
      <c r="AZ407" s="943"/>
      <c r="BA407" s="943"/>
      <c r="BB407" s="943"/>
      <c r="BC407" s="943"/>
      <c r="BD407" s="943"/>
      <c r="BE407" s="943"/>
      <c r="BF407" s="943"/>
      <c r="BG407" s="943"/>
      <c r="BH407" s="943"/>
      <c r="BI407" s="943"/>
      <c r="BJ407" s="943"/>
      <c r="BK407" s="943"/>
      <c r="BL407" s="943"/>
      <c r="BM407" s="943"/>
      <c r="BN407" s="943"/>
      <c r="BO407" s="943"/>
      <c r="BP407" s="841"/>
    </row>
    <row r="408" spans="1:68" ht="20.100000000000001" customHeight="1" outlineLevel="1">
      <c r="A408" s="823"/>
      <c r="B408" s="1870"/>
      <c r="C408" s="1872"/>
      <c r="D408" s="853" t="s">
        <v>4438</v>
      </c>
      <c r="E408" s="824"/>
      <c r="F408" s="849"/>
      <c r="G408" s="826" t="s">
        <v>4594</v>
      </c>
      <c r="H408" s="882"/>
      <c r="I408" s="882"/>
      <c r="J408" s="882"/>
      <c r="K408" s="882"/>
      <c r="L408" s="943"/>
      <c r="M408" s="943"/>
      <c r="N408" s="943"/>
      <c r="O408" s="943"/>
      <c r="P408" s="943"/>
      <c r="Q408" s="943"/>
      <c r="R408" s="943"/>
      <c r="S408" s="943"/>
      <c r="T408" s="943"/>
      <c r="U408" s="943"/>
      <c r="V408" s="943"/>
      <c r="W408" s="943"/>
      <c r="X408" s="943"/>
      <c r="Y408" s="943"/>
      <c r="Z408" s="943"/>
      <c r="AA408" s="943"/>
      <c r="AB408" s="943"/>
      <c r="AC408" s="943"/>
      <c r="AD408" s="943"/>
      <c r="AE408" s="943"/>
      <c r="AF408" s="943"/>
      <c r="AG408" s="943"/>
      <c r="AH408" s="943"/>
      <c r="AI408" s="943"/>
      <c r="AJ408" s="943"/>
      <c r="AK408" s="943"/>
      <c r="AL408" s="943"/>
      <c r="AM408" s="943"/>
      <c r="AN408" s="943"/>
      <c r="AO408" s="943"/>
      <c r="AP408" s="943"/>
      <c r="AQ408" s="943"/>
      <c r="AR408" s="943"/>
      <c r="AS408" s="943"/>
      <c r="AT408" s="943"/>
      <c r="AU408" s="943"/>
      <c r="AV408" s="943"/>
      <c r="AW408" s="943"/>
      <c r="AX408" s="943"/>
      <c r="AY408" s="943"/>
      <c r="AZ408" s="943"/>
      <c r="BA408" s="943"/>
      <c r="BB408" s="943"/>
      <c r="BC408" s="943"/>
      <c r="BD408" s="943"/>
      <c r="BE408" s="943"/>
      <c r="BF408" s="943"/>
      <c r="BG408" s="943"/>
      <c r="BH408" s="943"/>
      <c r="BI408" s="943"/>
      <c r="BJ408" s="943"/>
      <c r="BK408" s="943"/>
      <c r="BL408" s="943"/>
      <c r="BM408" s="943"/>
      <c r="BN408" s="943"/>
      <c r="BO408" s="943"/>
      <c r="BP408" s="841"/>
    </row>
    <row r="409" spans="1:68" ht="20.100000000000001" customHeight="1" outlineLevel="1">
      <c r="A409" s="823"/>
      <c r="B409" s="1870"/>
      <c r="C409" s="1872"/>
      <c r="D409" s="853" t="s">
        <v>4250</v>
      </c>
      <c r="E409" s="831" t="str">
        <f ca="1">E71</f>
        <v/>
      </c>
      <c r="F409" s="833"/>
      <c r="G409" s="826" t="s">
        <v>4594</v>
      </c>
      <c r="H409" s="882"/>
      <c r="I409" s="882"/>
      <c r="J409" s="882"/>
      <c r="K409" s="882"/>
      <c r="L409" s="943"/>
      <c r="M409" s="943"/>
      <c r="N409" s="943"/>
      <c r="O409" s="943"/>
      <c r="P409" s="943"/>
      <c r="Q409" s="943"/>
      <c r="R409" s="943"/>
      <c r="S409" s="943"/>
      <c r="T409" s="943"/>
      <c r="U409" s="943"/>
      <c r="V409" s="943"/>
      <c r="W409" s="943"/>
      <c r="X409" s="943"/>
      <c r="Y409" s="943"/>
      <c r="Z409" s="943"/>
      <c r="AA409" s="943"/>
      <c r="AB409" s="943"/>
      <c r="AC409" s="943"/>
      <c r="AD409" s="943"/>
      <c r="AE409" s="943"/>
      <c r="AF409" s="943"/>
      <c r="AG409" s="943"/>
      <c r="AH409" s="943"/>
      <c r="AI409" s="943"/>
      <c r="AJ409" s="943"/>
      <c r="AK409" s="943"/>
      <c r="AL409" s="943"/>
      <c r="AM409" s="943"/>
      <c r="AN409" s="943"/>
      <c r="AO409" s="943"/>
      <c r="AP409" s="943"/>
      <c r="AQ409" s="943"/>
      <c r="AR409" s="943"/>
      <c r="AS409" s="943"/>
      <c r="AT409" s="943"/>
      <c r="AU409" s="943"/>
      <c r="AV409" s="943"/>
      <c r="AW409" s="943"/>
      <c r="AX409" s="943"/>
      <c r="AY409" s="943"/>
      <c r="AZ409" s="943"/>
      <c r="BA409" s="943"/>
      <c r="BB409" s="943"/>
      <c r="BC409" s="943"/>
      <c r="BD409" s="943"/>
      <c r="BE409" s="943"/>
      <c r="BF409" s="943"/>
      <c r="BG409" s="943"/>
      <c r="BH409" s="943"/>
      <c r="BI409" s="943"/>
      <c r="BJ409" s="943"/>
      <c r="BK409" s="943"/>
      <c r="BL409" s="943"/>
      <c r="BM409" s="943"/>
      <c r="BN409" s="943"/>
      <c r="BO409" s="943"/>
      <c r="BP409" s="841"/>
    </row>
    <row r="410" spans="1:68" ht="20.100000000000001" customHeight="1" outlineLevel="1">
      <c r="A410" s="823"/>
      <c r="B410" s="1870"/>
      <c r="C410" s="1872"/>
      <c r="D410" s="944" t="s">
        <v>4251</v>
      </c>
      <c r="E410" s="831" t="str">
        <f ca="1">E73</f>
        <v/>
      </c>
      <c r="F410" s="833"/>
      <c r="G410" s="826" t="s">
        <v>4594</v>
      </c>
      <c r="H410" s="882"/>
      <c r="I410" s="882"/>
      <c r="J410" s="882"/>
      <c r="K410" s="882"/>
      <c r="L410" s="943"/>
      <c r="M410" s="943"/>
      <c r="N410" s="943"/>
      <c r="O410" s="943"/>
      <c r="P410" s="943"/>
      <c r="Q410" s="943"/>
      <c r="R410" s="943"/>
      <c r="S410" s="943"/>
      <c r="T410" s="943"/>
      <c r="U410" s="943"/>
      <c r="V410" s="943"/>
      <c r="W410" s="943"/>
      <c r="X410" s="943"/>
      <c r="Y410" s="943"/>
      <c r="Z410" s="943"/>
      <c r="AA410" s="943"/>
      <c r="AB410" s="943"/>
      <c r="AC410" s="943"/>
      <c r="AD410" s="943"/>
      <c r="AE410" s="943"/>
      <c r="AF410" s="943"/>
      <c r="AG410" s="943"/>
      <c r="AH410" s="943"/>
      <c r="AI410" s="943"/>
      <c r="AJ410" s="943"/>
      <c r="AK410" s="943"/>
      <c r="AL410" s="943"/>
      <c r="AM410" s="943"/>
      <c r="AN410" s="943"/>
      <c r="AO410" s="943"/>
      <c r="AP410" s="943"/>
      <c r="AQ410" s="943"/>
      <c r="AR410" s="943"/>
      <c r="AS410" s="943"/>
      <c r="AT410" s="943"/>
      <c r="AU410" s="943"/>
      <c r="AV410" s="943"/>
      <c r="AW410" s="943"/>
      <c r="AX410" s="943"/>
      <c r="AY410" s="943"/>
      <c r="AZ410" s="943"/>
      <c r="BA410" s="943"/>
      <c r="BB410" s="943"/>
      <c r="BC410" s="943"/>
      <c r="BD410" s="943"/>
      <c r="BE410" s="943"/>
      <c r="BF410" s="943"/>
      <c r="BG410" s="943"/>
      <c r="BH410" s="943"/>
      <c r="BI410" s="943"/>
      <c r="BJ410" s="943"/>
      <c r="BK410" s="943"/>
      <c r="BL410" s="943"/>
      <c r="BM410" s="943"/>
      <c r="BN410" s="943"/>
      <c r="BO410" s="943"/>
      <c r="BP410" s="841"/>
    </row>
    <row r="411" spans="1:68" ht="20.100000000000001" customHeight="1" outlineLevel="1">
      <c r="A411" s="823"/>
      <c r="B411" s="1870"/>
      <c r="C411" s="1872" t="s">
        <v>4439</v>
      </c>
      <c r="D411" s="853" t="s">
        <v>4440</v>
      </c>
      <c r="E411" s="824"/>
      <c r="F411" s="875"/>
      <c r="G411" s="826" t="s">
        <v>4594</v>
      </c>
      <c r="H411" s="882"/>
      <c r="I411" s="882"/>
      <c r="J411" s="882"/>
      <c r="K411" s="882"/>
      <c r="L411" s="943"/>
      <c r="M411" s="943"/>
      <c r="N411" s="943"/>
      <c r="O411" s="943"/>
      <c r="P411" s="943"/>
      <c r="Q411" s="943"/>
      <c r="R411" s="943"/>
      <c r="S411" s="943"/>
      <c r="T411" s="943"/>
      <c r="U411" s="943"/>
      <c r="V411" s="943"/>
      <c r="W411" s="943"/>
      <c r="X411" s="943"/>
      <c r="Y411" s="943"/>
      <c r="Z411" s="943"/>
      <c r="AA411" s="943"/>
      <c r="AB411" s="943"/>
      <c r="AC411" s="943"/>
      <c r="AD411" s="943"/>
      <c r="AE411" s="943"/>
      <c r="AF411" s="943"/>
      <c r="AG411" s="943"/>
      <c r="AH411" s="943"/>
      <c r="AI411" s="943"/>
      <c r="AJ411" s="943"/>
      <c r="AK411" s="943"/>
      <c r="AL411" s="943"/>
      <c r="AM411" s="943"/>
      <c r="AN411" s="943"/>
      <c r="AO411" s="943"/>
      <c r="AP411" s="943"/>
      <c r="AQ411" s="943"/>
      <c r="AR411" s="943"/>
      <c r="AS411" s="943"/>
      <c r="AT411" s="943"/>
      <c r="AU411" s="943"/>
      <c r="AV411" s="943"/>
      <c r="AW411" s="943"/>
      <c r="AX411" s="943"/>
      <c r="AY411" s="943"/>
      <c r="AZ411" s="943"/>
      <c r="BA411" s="943"/>
      <c r="BB411" s="943"/>
      <c r="BC411" s="943"/>
      <c r="BD411" s="943"/>
      <c r="BE411" s="943"/>
      <c r="BF411" s="943"/>
      <c r="BG411" s="943"/>
      <c r="BH411" s="943"/>
      <c r="BI411" s="943"/>
      <c r="BJ411" s="943"/>
      <c r="BK411" s="943"/>
      <c r="BL411" s="943"/>
      <c r="BM411" s="943"/>
      <c r="BN411" s="943"/>
      <c r="BO411" s="943"/>
      <c r="BP411" s="841"/>
    </row>
    <row r="412" spans="1:68" ht="20.100000000000001" customHeight="1" outlineLevel="1">
      <c r="A412" s="823"/>
      <c r="B412" s="1870"/>
      <c r="C412" s="1872"/>
      <c r="D412" s="853" t="s">
        <v>4441</v>
      </c>
      <c r="E412" s="824"/>
      <c r="F412" s="875"/>
      <c r="G412" s="826" t="s">
        <v>4216</v>
      </c>
      <c r="H412" s="882"/>
      <c r="I412" s="882"/>
      <c r="J412" s="882"/>
      <c r="K412" s="882"/>
      <c r="L412" s="943"/>
      <c r="M412" s="943"/>
      <c r="N412" s="943"/>
      <c r="O412" s="943"/>
      <c r="P412" s="943"/>
      <c r="Q412" s="943"/>
      <c r="R412" s="943"/>
      <c r="S412" s="943"/>
      <c r="T412" s="943"/>
      <c r="U412" s="943"/>
      <c r="V412" s="943"/>
      <c r="W412" s="943"/>
      <c r="X412" s="943"/>
      <c r="Y412" s="943"/>
      <c r="Z412" s="943"/>
      <c r="AA412" s="943"/>
      <c r="AB412" s="943"/>
      <c r="AC412" s="943"/>
      <c r="AD412" s="943"/>
      <c r="AE412" s="943"/>
      <c r="AF412" s="943"/>
      <c r="AG412" s="943"/>
      <c r="AH412" s="943"/>
      <c r="AI412" s="943"/>
      <c r="AJ412" s="943"/>
      <c r="AK412" s="943"/>
      <c r="AL412" s="943"/>
      <c r="AM412" s="943"/>
      <c r="AN412" s="943"/>
      <c r="AO412" s="943"/>
      <c r="AP412" s="943"/>
      <c r="AQ412" s="943"/>
      <c r="AR412" s="943"/>
      <c r="AS412" s="943"/>
      <c r="AT412" s="943"/>
      <c r="AU412" s="943"/>
      <c r="AV412" s="943"/>
      <c r="AW412" s="943"/>
      <c r="AX412" s="943"/>
      <c r="AY412" s="943"/>
      <c r="AZ412" s="943"/>
      <c r="BA412" s="943"/>
      <c r="BB412" s="943"/>
      <c r="BC412" s="943"/>
      <c r="BD412" s="943"/>
      <c r="BE412" s="943"/>
      <c r="BF412" s="943"/>
      <c r="BG412" s="943"/>
      <c r="BH412" s="943"/>
      <c r="BI412" s="943"/>
      <c r="BJ412" s="943"/>
      <c r="BK412" s="943"/>
      <c r="BL412" s="943"/>
      <c r="BM412" s="943"/>
      <c r="BN412" s="943"/>
      <c r="BO412" s="943"/>
      <c r="BP412" s="841"/>
    </row>
    <row r="413" spans="1:68" ht="20.100000000000001" customHeight="1" outlineLevel="1">
      <c r="A413" s="823"/>
      <c r="B413" s="1870"/>
      <c r="C413" s="1872"/>
      <c r="D413" s="853" t="s">
        <v>4442</v>
      </c>
      <c r="E413" s="824"/>
      <c r="F413" s="875"/>
      <c r="G413" s="826" t="s">
        <v>4594</v>
      </c>
      <c r="H413" s="882"/>
      <c r="I413" s="882"/>
      <c r="J413" s="882"/>
      <c r="K413" s="882"/>
      <c r="L413" s="943"/>
      <c r="M413" s="943"/>
      <c r="N413" s="943"/>
      <c r="O413" s="943"/>
      <c r="P413" s="943"/>
      <c r="Q413" s="943"/>
      <c r="R413" s="943"/>
      <c r="S413" s="943"/>
      <c r="T413" s="943"/>
      <c r="U413" s="943"/>
      <c r="V413" s="943"/>
      <c r="W413" s="943"/>
      <c r="X413" s="943"/>
      <c r="Y413" s="943"/>
      <c r="Z413" s="943"/>
      <c r="AA413" s="943"/>
      <c r="AB413" s="943"/>
      <c r="AC413" s="943"/>
      <c r="AD413" s="943"/>
      <c r="AE413" s="943"/>
      <c r="AF413" s="943"/>
      <c r="AG413" s="943"/>
      <c r="AH413" s="943"/>
      <c r="AI413" s="943"/>
      <c r="AJ413" s="943"/>
      <c r="AK413" s="943"/>
      <c r="AL413" s="943"/>
      <c r="AM413" s="943"/>
      <c r="AN413" s="943"/>
      <c r="AO413" s="943"/>
      <c r="AP413" s="943"/>
      <c r="AQ413" s="943"/>
      <c r="AR413" s="943"/>
      <c r="AS413" s="943"/>
      <c r="AT413" s="943"/>
      <c r="AU413" s="943"/>
      <c r="AV413" s="943"/>
      <c r="AW413" s="943"/>
      <c r="AX413" s="943"/>
      <c r="AY413" s="943"/>
      <c r="AZ413" s="943"/>
      <c r="BA413" s="943"/>
      <c r="BB413" s="943"/>
      <c r="BC413" s="943"/>
      <c r="BD413" s="943"/>
      <c r="BE413" s="943"/>
      <c r="BF413" s="943"/>
      <c r="BG413" s="943"/>
      <c r="BH413" s="943"/>
      <c r="BI413" s="943"/>
      <c r="BJ413" s="943"/>
      <c r="BK413" s="943"/>
      <c r="BL413" s="943"/>
      <c r="BM413" s="943"/>
      <c r="BN413" s="943"/>
      <c r="BO413" s="943"/>
      <c r="BP413" s="841"/>
    </row>
    <row r="414" spans="1:68" ht="20.100000000000001" customHeight="1" outlineLevel="1">
      <c r="A414" s="823"/>
      <c r="B414" s="1870"/>
      <c r="C414" s="1872"/>
      <c r="D414" s="853" t="s">
        <v>4443</v>
      </c>
      <c r="E414" s="824"/>
      <c r="F414" s="875"/>
      <c r="G414" s="826" t="s">
        <v>4216</v>
      </c>
      <c r="H414" s="882"/>
      <c r="I414" s="882"/>
      <c r="J414" s="882"/>
      <c r="K414" s="882"/>
      <c r="L414" s="943"/>
      <c r="M414" s="943"/>
      <c r="N414" s="943"/>
      <c r="O414" s="943"/>
      <c r="P414" s="943"/>
      <c r="Q414" s="943"/>
      <c r="R414" s="943"/>
      <c r="S414" s="943"/>
      <c r="T414" s="943"/>
      <c r="U414" s="943"/>
      <c r="V414" s="943"/>
      <c r="W414" s="943"/>
      <c r="X414" s="943"/>
      <c r="Y414" s="943"/>
      <c r="Z414" s="943"/>
      <c r="AA414" s="943"/>
      <c r="AB414" s="943"/>
      <c r="AC414" s="943"/>
      <c r="AD414" s="943"/>
      <c r="AE414" s="943"/>
      <c r="AF414" s="943"/>
      <c r="AG414" s="943"/>
      <c r="AH414" s="943"/>
      <c r="AI414" s="943"/>
      <c r="AJ414" s="943"/>
      <c r="AK414" s="943"/>
      <c r="AL414" s="943"/>
      <c r="AM414" s="943"/>
      <c r="AN414" s="943"/>
      <c r="AO414" s="943"/>
      <c r="AP414" s="943"/>
      <c r="AQ414" s="943"/>
      <c r="AR414" s="943"/>
      <c r="AS414" s="943"/>
      <c r="AT414" s="943"/>
      <c r="AU414" s="943"/>
      <c r="AV414" s="943"/>
      <c r="AW414" s="943"/>
      <c r="AX414" s="943"/>
      <c r="AY414" s="943"/>
      <c r="AZ414" s="943"/>
      <c r="BA414" s="943"/>
      <c r="BB414" s="943"/>
      <c r="BC414" s="943"/>
      <c r="BD414" s="943"/>
      <c r="BE414" s="943"/>
      <c r="BF414" s="943"/>
      <c r="BG414" s="943"/>
      <c r="BH414" s="943"/>
      <c r="BI414" s="943"/>
      <c r="BJ414" s="943"/>
      <c r="BK414" s="943"/>
      <c r="BL414" s="943"/>
      <c r="BM414" s="943"/>
      <c r="BN414" s="943"/>
      <c r="BO414" s="943"/>
      <c r="BP414" s="841"/>
    </row>
    <row r="415" spans="1:68" ht="20.100000000000001" customHeight="1" outlineLevel="1">
      <c r="A415" s="823"/>
      <c r="B415" s="1870"/>
      <c r="C415" s="1872"/>
      <c r="D415" s="853" t="s">
        <v>4444</v>
      </c>
      <c r="E415" s="824"/>
      <c r="F415" s="875"/>
      <c r="G415" s="826" t="s">
        <v>4594</v>
      </c>
      <c r="H415" s="882"/>
      <c r="I415" s="882"/>
      <c r="J415" s="882"/>
      <c r="K415" s="882"/>
      <c r="L415" s="943"/>
      <c r="M415" s="943"/>
      <c r="N415" s="943"/>
      <c r="O415" s="943"/>
      <c r="P415" s="943"/>
      <c r="Q415" s="943"/>
      <c r="R415" s="943"/>
      <c r="S415" s="943"/>
      <c r="T415" s="943"/>
      <c r="U415" s="943"/>
      <c r="V415" s="943"/>
      <c r="W415" s="943"/>
      <c r="X415" s="943"/>
      <c r="Y415" s="943"/>
      <c r="Z415" s="943"/>
      <c r="AA415" s="943"/>
      <c r="AB415" s="943"/>
      <c r="AC415" s="943"/>
      <c r="AD415" s="943"/>
      <c r="AE415" s="943"/>
      <c r="AF415" s="943"/>
      <c r="AG415" s="943"/>
      <c r="AH415" s="943"/>
      <c r="AI415" s="943"/>
      <c r="AJ415" s="943"/>
      <c r="AK415" s="943"/>
      <c r="AL415" s="943"/>
      <c r="AM415" s="943"/>
      <c r="AN415" s="943"/>
      <c r="AO415" s="943"/>
      <c r="AP415" s="943"/>
      <c r="AQ415" s="943"/>
      <c r="AR415" s="943"/>
      <c r="AS415" s="943"/>
      <c r="AT415" s="943"/>
      <c r="AU415" s="943"/>
      <c r="AV415" s="943"/>
      <c r="AW415" s="943"/>
      <c r="AX415" s="943"/>
      <c r="AY415" s="943"/>
      <c r="AZ415" s="943"/>
      <c r="BA415" s="943"/>
      <c r="BB415" s="943"/>
      <c r="BC415" s="943"/>
      <c r="BD415" s="943"/>
      <c r="BE415" s="943"/>
      <c r="BF415" s="943"/>
      <c r="BG415" s="943"/>
      <c r="BH415" s="943"/>
      <c r="BI415" s="943"/>
      <c r="BJ415" s="943"/>
      <c r="BK415" s="943"/>
      <c r="BL415" s="943"/>
      <c r="BM415" s="943"/>
      <c r="BN415" s="943"/>
      <c r="BO415" s="943"/>
      <c r="BP415" s="841"/>
    </row>
    <row r="416" spans="1:68" ht="20.100000000000001" customHeight="1" outlineLevel="1">
      <c r="A416" s="823"/>
      <c r="B416" s="1870"/>
      <c r="C416" s="1872"/>
      <c r="D416" s="853" t="s">
        <v>4445</v>
      </c>
      <c r="E416" s="824"/>
      <c r="F416" s="875"/>
      <c r="G416" s="826" t="s">
        <v>4216</v>
      </c>
      <c r="H416" s="882"/>
      <c r="I416" s="882"/>
      <c r="J416" s="882"/>
      <c r="K416" s="882"/>
      <c r="L416" s="943"/>
      <c r="M416" s="943"/>
      <c r="N416" s="943"/>
      <c r="O416" s="943"/>
      <c r="P416" s="943"/>
      <c r="Q416" s="943"/>
      <c r="R416" s="943"/>
      <c r="S416" s="943"/>
      <c r="T416" s="943"/>
      <c r="U416" s="943"/>
      <c r="V416" s="943"/>
      <c r="W416" s="943"/>
      <c r="X416" s="943"/>
      <c r="Y416" s="943"/>
      <c r="Z416" s="943"/>
      <c r="AA416" s="943"/>
      <c r="AB416" s="943"/>
      <c r="AC416" s="943"/>
      <c r="AD416" s="943"/>
      <c r="AE416" s="943"/>
      <c r="AF416" s="943"/>
      <c r="AG416" s="943"/>
      <c r="AH416" s="943"/>
      <c r="AI416" s="943"/>
      <c r="AJ416" s="943"/>
      <c r="AK416" s="943"/>
      <c r="AL416" s="943"/>
      <c r="AM416" s="943"/>
      <c r="AN416" s="943"/>
      <c r="AO416" s="943"/>
      <c r="AP416" s="943"/>
      <c r="AQ416" s="943"/>
      <c r="AR416" s="943"/>
      <c r="AS416" s="943"/>
      <c r="AT416" s="943"/>
      <c r="AU416" s="943"/>
      <c r="AV416" s="943"/>
      <c r="AW416" s="943"/>
      <c r="AX416" s="943"/>
      <c r="AY416" s="943"/>
      <c r="AZ416" s="943"/>
      <c r="BA416" s="943"/>
      <c r="BB416" s="943"/>
      <c r="BC416" s="943"/>
      <c r="BD416" s="943"/>
      <c r="BE416" s="943"/>
      <c r="BF416" s="943"/>
      <c r="BG416" s="943"/>
      <c r="BH416" s="943"/>
      <c r="BI416" s="943"/>
      <c r="BJ416" s="943"/>
      <c r="BK416" s="943"/>
      <c r="BL416" s="943"/>
      <c r="BM416" s="943"/>
      <c r="BN416" s="943"/>
      <c r="BO416" s="943"/>
      <c r="BP416" s="841"/>
    </row>
    <row r="417" spans="1:68" ht="20.100000000000001" customHeight="1" outlineLevel="1">
      <c r="A417" s="823"/>
      <c r="B417" s="1870"/>
      <c r="C417" s="1872"/>
      <c r="D417" s="853" t="s">
        <v>4446</v>
      </c>
      <c r="E417" s="824"/>
      <c r="F417" s="875"/>
      <c r="G417" s="826" t="s">
        <v>4594</v>
      </c>
      <c r="H417" s="882"/>
      <c r="I417" s="882"/>
      <c r="J417" s="882"/>
      <c r="K417" s="882"/>
      <c r="L417" s="943"/>
      <c r="M417" s="943"/>
      <c r="N417" s="943"/>
      <c r="O417" s="943"/>
      <c r="P417" s="943"/>
      <c r="Q417" s="943"/>
      <c r="R417" s="943"/>
      <c r="S417" s="943"/>
      <c r="T417" s="943"/>
      <c r="U417" s="943"/>
      <c r="V417" s="943"/>
      <c r="W417" s="943"/>
      <c r="X417" s="943"/>
      <c r="Y417" s="943"/>
      <c r="Z417" s="943"/>
      <c r="AA417" s="943"/>
      <c r="AB417" s="943"/>
      <c r="AC417" s="943"/>
      <c r="AD417" s="943"/>
      <c r="AE417" s="943"/>
      <c r="AF417" s="943"/>
      <c r="AG417" s="943"/>
      <c r="AH417" s="943"/>
      <c r="AI417" s="943"/>
      <c r="AJ417" s="943"/>
      <c r="AK417" s="943"/>
      <c r="AL417" s="943"/>
      <c r="AM417" s="943"/>
      <c r="AN417" s="943"/>
      <c r="AO417" s="943"/>
      <c r="AP417" s="943"/>
      <c r="AQ417" s="943"/>
      <c r="AR417" s="943"/>
      <c r="AS417" s="943"/>
      <c r="AT417" s="943"/>
      <c r="AU417" s="943"/>
      <c r="AV417" s="943"/>
      <c r="AW417" s="943"/>
      <c r="AX417" s="943"/>
      <c r="AY417" s="943"/>
      <c r="AZ417" s="943"/>
      <c r="BA417" s="943"/>
      <c r="BB417" s="943"/>
      <c r="BC417" s="943"/>
      <c r="BD417" s="943"/>
      <c r="BE417" s="943"/>
      <c r="BF417" s="943"/>
      <c r="BG417" s="943"/>
      <c r="BH417" s="943"/>
      <c r="BI417" s="943"/>
      <c r="BJ417" s="943"/>
      <c r="BK417" s="943"/>
      <c r="BL417" s="943"/>
      <c r="BM417" s="943"/>
      <c r="BN417" s="943"/>
      <c r="BO417" s="943"/>
      <c r="BP417" s="841"/>
    </row>
    <row r="418" spans="1:68" ht="20.100000000000001" customHeight="1" outlineLevel="1">
      <c r="A418" s="823"/>
      <c r="B418" s="1870"/>
      <c r="C418" s="1872"/>
      <c r="D418" s="853" t="s">
        <v>4447</v>
      </c>
      <c r="E418" s="824"/>
      <c r="F418" s="875"/>
      <c r="G418" s="826" t="s">
        <v>4216</v>
      </c>
      <c r="H418" s="882"/>
      <c r="I418" s="882"/>
      <c r="J418" s="882"/>
      <c r="K418" s="882"/>
      <c r="L418" s="943"/>
      <c r="M418" s="943"/>
      <c r="N418" s="943"/>
      <c r="O418" s="943"/>
      <c r="P418" s="943"/>
      <c r="Q418" s="943"/>
      <c r="R418" s="943"/>
      <c r="S418" s="943"/>
      <c r="T418" s="943"/>
      <c r="U418" s="943"/>
      <c r="V418" s="943"/>
      <c r="W418" s="943"/>
      <c r="X418" s="943"/>
      <c r="Y418" s="943"/>
      <c r="Z418" s="943"/>
      <c r="AA418" s="943"/>
      <c r="AB418" s="943"/>
      <c r="AC418" s="943"/>
      <c r="AD418" s="943"/>
      <c r="AE418" s="943"/>
      <c r="AF418" s="943"/>
      <c r="AG418" s="943"/>
      <c r="AH418" s="943"/>
      <c r="AI418" s="943"/>
      <c r="AJ418" s="943"/>
      <c r="AK418" s="943"/>
      <c r="AL418" s="943"/>
      <c r="AM418" s="943"/>
      <c r="AN418" s="943"/>
      <c r="AO418" s="943"/>
      <c r="AP418" s="943"/>
      <c r="AQ418" s="943"/>
      <c r="AR418" s="943"/>
      <c r="AS418" s="943"/>
      <c r="AT418" s="943"/>
      <c r="AU418" s="943"/>
      <c r="AV418" s="943"/>
      <c r="AW418" s="943"/>
      <c r="AX418" s="943"/>
      <c r="AY418" s="943"/>
      <c r="AZ418" s="943"/>
      <c r="BA418" s="943"/>
      <c r="BB418" s="943"/>
      <c r="BC418" s="943"/>
      <c r="BD418" s="943"/>
      <c r="BE418" s="943"/>
      <c r="BF418" s="943"/>
      <c r="BG418" s="943"/>
      <c r="BH418" s="943"/>
      <c r="BI418" s="943"/>
      <c r="BJ418" s="943"/>
      <c r="BK418" s="943"/>
      <c r="BL418" s="943"/>
      <c r="BM418" s="943"/>
      <c r="BN418" s="943"/>
      <c r="BO418" s="943"/>
      <c r="BP418" s="841"/>
    </row>
    <row r="419" spans="1:68" ht="20.100000000000001" customHeight="1" outlineLevel="1">
      <c r="A419" s="823"/>
      <c r="B419" s="1870"/>
      <c r="C419" s="1872"/>
      <c r="D419" s="1893" t="s">
        <v>4448</v>
      </c>
      <c r="E419" s="877" t="str">
        <f ca="1">E83</f>
        <v/>
      </c>
      <c r="F419" s="878"/>
      <c r="G419" s="826" t="s">
        <v>4594</v>
      </c>
      <c r="H419" s="882"/>
      <c r="I419" s="882"/>
      <c r="J419" s="882"/>
      <c r="K419" s="882"/>
      <c r="L419" s="943"/>
      <c r="M419" s="943"/>
      <c r="N419" s="943"/>
      <c r="O419" s="943"/>
      <c r="P419" s="943"/>
      <c r="Q419" s="943"/>
      <c r="R419" s="943"/>
      <c r="S419" s="943"/>
      <c r="T419" s="943"/>
      <c r="U419" s="943"/>
      <c r="V419" s="943"/>
      <c r="W419" s="943"/>
      <c r="X419" s="943"/>
      <c r="Y419" s="943"/>
      <c r="Z419" s="943"/>
      <c r="AA419" s="943"/>
      <c r="AB419" s="943"/>
      <c r="AC419" s="943"/>
      <c r="AD419" s="943"/>
      <c r="AE419" s="943"/>
      <c r="AF419" s="943"/>
      <c r="AG419" s="943"/>
      <c r="AH419" s="943"/>
      <c r="AI419" s="943"/>
      <c r="AJ419" s="943"/>
      <c r="AK419" s="943"/>
      <c r="AL419" s="943"/>
      <c r="AM419" s="943"/>
      <c r="AN419" s="943"/>
      <c r="AO419" s="943"/>
      <c r="AP419" s="943"/>
      <c r="AQ419" s="943"/>
      <c r="AR419" s="943"/>
      <c r="AS419" s="943"/>
      <c r="AT419" s="943"/>
      <c r="AU419" s="943"/>
      <c r="AV419" s="943"/>
      <c r="AW419" s="943"/>
      <c r="AX419" s="943"/>
      <c r="AY419" s="943"/>
      <c r="AZ419" s="943"/>
      <c r="BA419" s="943"/>
      <c r="BB419" s="943"/>
      <c r="BC419" s="943"/>
      <c r="BD419" s="943"/>
      <c r="BE419" s="943"/>
      <c r="BF419" s="943"/>
      <c r="BG419" s="943"/>
      <c r="BH419" s="943"/>
      <c r="BI419" s="943"/>
      <c r="BJ419" s="943"/>
      <c r="BK419" s="943"/>
      <c r="BL419" s="943"/>
      <c r="BM419" s="943"/>
      <c r="BN419" s="943"/>
      <c r="BO419" s="943"/>
      <c r="BP419" s="841"/>
    </row>
    <row r="420" spans="1:68" ht="20.100000000000001" customHeight="1" outlineLevel="1">
      <c r="A420" s="823"/>
      <c r="B420" s="1870"/>
      <c r="C420" s="1872"/>
      <c r="D420" s="1893"/>
      <c r="E420" s="879"/>
      <c r="F420" s="880"/>
      <c r="G420" s="826" t="s">
        <v>4216</v>
      </c>
      <c r="H420" s="882"/>
      <c r="I420" s="882"/>
      <c r="J420" s="882"/>
      <c r="K420" s="882"/>
      <c r="L420" s="943"/>
      <c r="M420" s="943"/>
      <c r="N420" s="943"/>
      <c r="O420" s="943"/>
      <c r="P420" s="943"/>
      <c r="Q420" s="943"/>
      <c r="R420" s="943"/>
      <c r="S420" s="943"/>
      <c r="T420" s="943"/>
      <c r="U420" s="943"/>
      <c r="V420" s="943"/>
      <c r="W420" s="943"/>
      <c r="X420" s="943"/>
      <c r="Y420" s="943"/>
      <c r="Z420" s="943"/>
      <c r="AA420" s="943"/>
      <c r="AB420" s="943"/>
      <c r="AC420" s="943"/>
      <c r="AD420" s="943"/>
      <c r="AE420" s="943"/>
      <c r="AF420" s="943"/>
      <c r="AG420" s="943"/>
      <c r="AH420" s="943"/>
      <c r="AI420" s="943"/>
      <c r="AJ420" s="943"/>
      <c r="AK420" s="943"/>
      <c r="AL420" s="943"/>
      <c r="AM420" s="943"/>
      <c r="AN420" s="943"/>
      <c r="AO420" s="943"/>
      <c r="AP420" s="943"/>
      <c r="AQ420" s="943"/>
      <c r="AR420" s="943"/>
      <c r="AS420" s="943"/>
      <c r="AT420" s="943"/>
      <c r="AU420" s="943"/>
      <c r="AV420" s="943"/>
      <c r="AW420" s="943"/>
      <c r="AX420" s="943"/>
      <c r="AY420" s="943"/>
      <c r="AZ420" s="943"/>
      <c r="BA420" s="943"/>
      <c r="BB420" s="943"/>
      <c r="BC420" s="943"/>
      <c r="BD420" s="943"/>
      <c r="BE420" s="943"/>
      <c r="BF420" s="943"/>
      <c r="BG420" s="943"/>
      <c r="BH420" s="943"/>
      <c r="BI420" s="943"/>
      <c r="BJ420" s="943"/>
      <c r="BK420" s="943"/>
      <c r="BL420" s="943"/>
      <c r="BM420" s="943"/>
      <c r="BN420" s="943"/>
      <c r="BO420" s="943"/>
      <c r="BP420" s="841"/>
    </row>
    <row r="421" spans="1:68" ht="20.100000000000001" customHeight="1" outlineLevel="1">
      <c r="A421" s="823"/>
      <c r="B421" s="1870"/>
      <c r="C421" s="1872"/>
      <c r="D421" s="1893" t="s">
        <v>4449</v>
      </c>
      <c r="E421" s="877" t="str">
        <f ca="1">E85</f>
        <v/>
      </c>
      <c r="F421" s="878"/>
      <c r="G421" s="826" t="s">
        <v>4594</v>
      </c>
      <c r="H421" s="882"/>
      <c r="I421" s="882"/>
      <c r="J421" s="882"/>
      <c r="K421" s="882"/>
      <c r="L421" s="943"/>
      <c r="M421" s="943"/>
      <c r="N421" s="943"/>
      <c r="O421" s="943"/>
      <c r="P421" s="943"/>
      <c r="Q421" s="943"/>
      <c r="R421" s="943"/>
      <c r="S421" s="943"/>
      <c r="T421" s="943"/>
      <c r="U421" s="943"/>
      <c r="V421" s="943"/>
      <c r="W421" s="943"/>
      <c r="X421" s="943"/>
      <c r="Y421" s="943"/>
      <c r="Z421" s="943"/>
      <c r="AA421" s="943"/>
      <c r="AB421" s="943"/>
      <c r="AC421" s="943"/>
      <c r="AD421" s="943"/>
      <c r="AE421" s="943"/>
      <c r="AF421" s="943"/>
      <c r="AG421" s="943"/>
      <c r="AH421" s="943"/>
      <c r="AI421" s="943"/>
      <c r="AJ421" s="943"/>
      <c r="AK421" s="943"/>
      <c r="AL421" s="943"/>
      <c r="AM421" s="943"/>
      <c r="AN421" s="943"/>
      <c r="AO421" s="943"/>
      <c r="AP421" s="943"/>
      <c r="AQ421" s="943"/>
      <c r="AR421" s="943"/>
      <c r="AS421" s="943"/>
      <c r="AT421" s="943"/>
      <c r="AU421" s="943"/>
      <c r="AV421" s="943"/>
      <c r="AW421" s="943"/>
      <c r="AX421" s="943"/>
      <c r="AY421" s="943"/>
      <c r="AZ421" s="943"/>
      <c r="BA421" s="943"/>
      <c r="BB421" s="943"/>
      <c r="BC421" s="943"/>
      <c r="BD421" s="943"/>
      <c r="BE421" s="943"/>
      <c r="BF421" s="943"/>
      <c r="BG421" s="943"/>
      <c r="BH421" s="943"/>
      <c r="BI421" s="943"/>
      <c r="BJ421" s="943"/>
      <c r="BK421" s="943"/>
      <c r="BL421" s="943"/>
      <c r="BM421" s="943"/>
      <c r="BN421" s="943"/>
      <c r="BO421" s="943"/>
      <c r="BP421" s="841"/>
    </row>
    <row r="422" spans="1:68" ht="20.100000000000001" customHeight="1" outlineLevel="1">
      <c r="A422" s="823"/>
      <c r="B422" s="1870"/>
      <c r="C422" s="1872"/>
      <c r="D422" s="1893"/>
      <c r="E422" s="879"/>
      <c r="F422" s="880"/>
      <c r="G422" s="826" t="s">
        <v>4216</v>
      </c>
      <c r="H422" s="882"/>
      <c r="I422" s="882"/>
      <c r="J422" s="882"/>
      <c r="K422" s="882"/>
      <c r="L422" s="943"/>
      <c r="M422" s="943"/>
      <c r="N422" s="943"/>
      <c r="O422" s="943"/>
      <c r="P422" s="943"/>
      <c r="Q422" s="943"/>
      <c r="R422" s="943"/>
      <c r="S422" s="943"/>
      <c r="T422" s="943"/>
      <c r="U422" s="943"/>
      <c r="V422" s="943"/>
      <c r="W422" s="943"/>
      <c r="X422" s="943"/>
      <c r="Y422" s="943"/>
      <c r="Z422" s="943"/>
      <c r="AA422" s="943"/>
      <c r="AB422" s="943"/>
      <c r="AC422" s="943"/>
      <c r="AD422" s="943"/>
      <c r="AE422" s="943"/>
      <c r="AF422" s="943"/>
      <c r="AG422" s="943"/>
      <c r="AH422" s="943"/>
      <c r="AI422" s="943"/>
      <c r="AJ422" s="943"/>
      <c r="AK422" s="943"/>
      <c r="AL422" s="943"/>
      <c r="AM422" s="943"/>
      <c r="AN422" s="943"/>
      <c r="AO422" s="943"/>
      <c r="AP422" s="943"/>
      <c r="AQ422" s="943"/>
      <c r="AR422" s="943"/>
      <c r="AS422" s="943"/>
      <c r="AT422" s="943"/>
      <c r="AU422" s="943"/>
      <c r="AV422" s="943"/>
      <c r="AW422" s="943"/>
      <c r="AX422" s="943"/>
      <c r="AY422" s="943"/>
      <c r="AZ422" s="943"/>
      <c r="BA422" s="943"/>
      <c r="BB422" s="943"/>
      <c r="BC422" s="943"/>
      <c r="BD422" s="943"/>
      <c r="BE422" s="943"/>
      <c r="BF422" s="943"/>
      <c r="BG422" s="943"/>
      <c r="BH422" s="943"/>
      <c r="BI422" s="943"/>
      <c r="BJ422" s="943"/>
      <c r="BK422" s="943"/>
      <c r="BL422" s="943"/>
      <c r="BM422" s="943"/>
      <c r="BN422" s="943"/>
      <c r="BO422" s="943"/>
      <c r="BP422" s="841"/>
    </row>
    <row r="423" spans="1:68" ht="20.100000000000001" customHeight="1" outlineLevel="1">
      <c r="A423" s="823"/>
      <c r="B423" s="1870"/>
      <c r="C423" s="1872"/>
      <c r="D423" s="853" t="s">
        <v>4254</v>
      </c>
      <c r="E423" s="831" t="str">
        <f ca="1">E87</f>
        <v/>
      </c>
      <c r="F423" s="825" t="s">
        <v>4660</v>
      </c>
      <c r="G423" s="826" t="s">
        <v>4594</v>
      </c>
      <c r="H423" s="882"/>
      <c r="I423" s="882"/>
      <c r="J423" s="882"/>
      <c r="K423" s="882"/>
      <c r="L423" s="943"/>
      <c r="M423" s="943"/>
      <c r="N423" s="943"/>
      <c r="O423" s="943"/>
      <c r="P423" s="943"/>
      <c r="Q423" s="943"/>
      <c r="R423" s="943"/>
      <c r="S423" s="943"/>
      <c r="T423" s="943"/>
      <c r="U423" s="943"/>
      <c r="V423" s="943"/>
      <c r="W423" s="943"/>
      <c r="X423" s="943"/>
      <c r="Y423" s="943"/>
      <c r="Z423" s="943"/>
      <c r="AA423" s="943"/>
      <c r="AB423" s="943"/>
      <c r="AC423" s="943"/>
      <c r="AD423" s="943"/>
      <c r="AE423" s="943"/>
      <c r="AF423" s="943"/>
      <c r="AG423" s="943"/>
      <c r="AH423" s="943"/>
      <c r="AI423" s="943"/>
      <c r="AJ423" s="943"/>
      <c r="AK423" s="943"/>
      <c r="AL423" s="943"/>
      <c r="AM423" s="943"/>
      <c r="AN423" s="943"/>
      <c r="AO423" s="943"/>
      <c r="AP423" s="943"/>
      <c r="AQ423" s="943"/>
      <c r="AR423" s="943"/>
      <c r="AS423" s="943"/>
      <c r="AT423" s="943"/>
      <c r="AU423" s="943"/>
      <c r="AV423" s="943"/>
      <c r="AW423" s="943"/>
      <c r="AX423" s="943"/>
      <c r="AY423" s="943"/>
      <c r="AZ423" s="943"/>
      <c r="BA423" s="943"/>
      <c r="BB423" s="943"/>
      <c r="BC423" s="943"/>
      <c r="BD423" s="943"/>
      <c r="BE423" s="943"/>
      <c r="BF423" s="943"/>
      <c r="BG423" s="943"/>
      <c r="BH423" s="943"/>
      <c r="BI423" s="943"/>
      <c r="BJ423" s="943"/>
      <c r="BK423" s="943"/>
      <c r="BL423" s="943"/>
      <c r="BM423" s="943"/>
      <c r="BN423" s="943"/>
      <c r="BO423" s="943"/>
      <c r="BP423" s="841"/>
    </row>
    <row r="424" spans="1:68" ht="20.100000000000001" customHeight="1" outlineLevel="1">
      <c r="A424" s="823"/>
      <c r="B424" s="1870"/>
      <c r="C424" s="1872"/>
      <c r="D424" s="853" t="s">
        <v>4255</v>
      </c>
      <c r="E424" s="831" t="str">
        <f ca="1">E88</f>
        <v/>
      </c>
      <c r="F424" s="881" t="s">
        <v>4661</v>
      </c>
      <c r="G424" s="826" t="s">
        <v>4594</v>
      </c>
      <c r="H424" s="882"/>
      <c r="I424" s="882"/>
      <c r="J424" s="882"/>
      <c r="K424" s="882"/>
      <c r="L424" s="943"/>
      <c r="M424" s="943"/>
      <c r="N424" s="943"/>
      <c r="O424" s="943"/>
      <c r="P424" s="943"/>
      <c r="Q424" s="943"/>
      <c r="R424" s="943"/>
      <c r="S424" s="943"/>
      <c r="T424" s="943"/>
      <c r="U424" s="943"/>
      <c r="V424" s="943"/>
      <c r="W424" s="943"/>
      <c r="X424" s="943"/>
      <c r="Y424" s="943"/>
      <c r="Z424" s="943"/>
      <c r="AA424" s="943"/>
      <c r="AB424" s="943"/>
      <c r="AC424" s="943"/>
      <c r="AD424" s="943"/>
      <c r="AE424" s="943"/>
      <c r="AF424" s="943"/>
      <c r="AG424" s="943"/>
      <c r="AH424" s="943"/>
      <c r="AI424" s="943"/>
      <c r="AJ424" s="943"/>
      <c r="AK424" s="943"/>
      <c r="AL424" s="943"/>
      <c r="AM424" s="943"/>
      <c r="AN424" s="943"/>
      <c r="AO424" s="943"/>
      <c r="AP424" s="943"/>
      <c r="AQ424" s="943"/>
      <c r="AR424" s="943"/>
      <c r="AS424" s="943"/>
      <c r="AT424" s="943"/>
      <c r="AU424" s="943"/>
      <c r="AV424" s="943"/>
      <c r="AW424" s="943"/>
      <c r="AX424" s="943"/>
      <c r="AY424" s="943"/>
      <c r="AZ424" s="943"/>
      <c r="BA424" s="943"/>
      <c r="BB424" s="943"/>
      <c r="BC424" s="943"/>
      <c r="BD424" s="943"/>
      <c r="BE424" s="943"/>
      <c r="BF424" s="943"/>
      <c r="BG424" s="943"/>
      <c r="BH424" s="943"/>
      <c r="BI424" s="943"/>
      <c r="BJ424" s="943"/>
      <c r="BK424" s="943"/>
      <c r="BL424" s="943"/>
      <c r="BM424" s="943"/>
      <c r="BN424" s="943"/>
      <c r="BO424" s="943"/>
      <c r="BP424" s="841"/>
    </row>
    <row r="425" spans="1:68" ht="20.100000000000001" customHeight="1" outlineLevel="1">
      <c r="A425" s="823"/>
      <c r="B425" s="1870"/>
      <c r="C425" s="1872"/>
      <c r="D425" s="853" t="s">
        <v>4256</v>
      </c>
      <c r="E425" s="831" t="str">
        <f ca="1">E89</f>
        <v/>
      </c>
      <c r="F425" s="881" t="s">
        <v>4662</v>
      </c>
      <c r="G425" s="826" t="s">
        <v>4594</v>
      </c>
      <c r="H425" s="882"/>
      <c r="I425" s="882"/>
      <c r="J425" s="882"/>
      <c r="K425" s="882"/>
      <c r="L425" s="943"/>
      <c r="M425" s="943"/>
      <c r="N425" s="943"/>
      <c r="O425" s="943"/>
      <c r="P425" s="943"/>
      <c r="Q425" s="943"/>
      <c r="R425" s="943"/>
      <c r="S425" s="943"/>
      <c r="T425" s="943"/>
      <c r="U425" s="943"/>
      <c r="V425" s="943"/>
      <c r="W425" s="943"/>
      <c r="X425" s="943"/>
      <c r="Y425" s="943"/>
      <c r="Z425" s="943"/>
      <c r="AA425" s="943"/>
      <c r="AB425" s="943"/>
      <c r="AC425" s="943"/>
      <c r="AD425" s="943"/>
      <c r="AE425" s="943"/>
      <c r="AF425" s="943"/>
      <c r="AG425" s="943"/>
      <c r="AH425" s="943"/>
      <c r="AI425" s="943"/>
      <c r="AJ425" s="943"/>
      <c r="AK425" s="943"/>
      <c r="AL425" s="943"/>
      <c r="AM425" s="943"/>
      <c r="AN425" s="943"/>
      <c r="AO425" s="943"/>
      <c r="AP425" s="943"/>
      <c r="AQ425" s="943"/>
      <c r="AR425" s="943"/>
      <c r="AS425" s="943"/>
      <c r="AT425" s="943"/>
      <c r="AU425" s="943"/>
      <c r="AV425" s="943"/>
      <c r="AW425" s="943"/>
      <c r="AX425" s="943"/>
      <c r="AY425" s="943"/>
      <c r="AZ425" s="943"/>
      <c r="BA425" s="943"/>
      <c r="BB425" s="943"/>
      <c r="BC425" s="943"/>
      <c r="BD425" s="943"/>
      <c r="BE425" s="943"/>
      <c r="BF425" s="943"/>
      <c r="BG425" s="943"/>
      <c r="BH425" s="943"/>
      <c r="BI425" s="943"/>
      <c r="BJ425" s="943"/>
      <c r="BK425" s="943"/>
      <c r="BL425" s="943"/>
      <c r="BM425" s="943"/>
      <c r="BN425" s="943"/>
      <c r="BO425" s="943"/>
      <c r="BP425" s="841"/>
    </row>
    <row r="426" spans="1:68" ht="20.100000000000001" customHeight="1" outlineLevel="1">
      <c r="A426" s="823"/>
      <c r="B426" s="1870"/>
      <c r="C426" s="1872"/>
      <c r="D426" s="853" t="s">
        <v>4257</v>
      </c>
      <c r="E426" s="831" t="str">
        <f ca="1">E90</f>
        <v/>
      </c>
      <c r="F426" s="881" t="s">
        <v>4663</v>
      </c>
      <c r="G426" s="826" t="s">
        <v>4594</v>
      </c>
      <c r="H426" s="882"/>
      <c r="I426" s="882"/>
      <c r="J426" s="882"/>
      <c r="K426" s="882"/>
      <c r="L426" s="943"/>
      <c r="M426" s="943"/>
      <c r="N426" s="943"/>
      <c r="O426" s="943"/>
      <c r="P426" s="943"/>
      <c r="Q426" s="943"/>
      <c r="R426" s="943"/>
      <c r="S426" s="943"/>
      <c r="T426" s="943"/>
      <c r="U426" s="943"/>
      <c r="V426" s="943"/>
      <c r="W426" s="943"/>
      <c r="X426" s="943"/>
      <c r="Y426" s="943"/>
      <c r="Z426" s="943"/>
      <c r="AA426" s="943"/>
      <c r="AB426" s="943"/>
      <c r="AC426" s="943"/>
      <c r="AD426" s="943"/>
      <c r="AE426" s="943"/>
      <c r="AF426" s="943"/>
      <c r="AG426" s="943"/>
      <c r="AH426" s="943"/>
      <c r="AI426" s="943"/>
      <c r="AJ426" s="943"/>
      <c r="AK426" s="943"/>
      <c r="AL426" s="943"/>
      <c r="AM426" s="943"/>
      <c r="AN426" s="943"/>
      <c r="AO426" s="943"/>
      <c r="AP426" s="943"/>
      <c r="AQ426" s="943"/>
      <c r="AR426" s="943"/>
      <c r="AS426" s="943"/>
      <c r="AT426" s="943"/>
      <c r="AU426" s="943"/>
      <c r="AV426" s="943"/>
      <c r="AW426" s="943"/>
      <c r="AX426" s="943"/>
      <c r="AY426" s="943"/>
      <c r="AZ426" s="943"/>
      <c r="BA426" s="943"/>
      <c r="BB426" s="943"/>
      <c r="BC426" s="943"/>
      <c r="BD426" s="943"/>
      <c r="BE426" s="943"/>
      <c r="BF426" s="943"/>
      <c r="BG426" s="943"/>
      <c r="BH426" s="943"/>
      <c r="BI426" s="943"/>
      <c r="BJ426" s="943"/>
      <c r="BK426" s="943"/>
      <c r="BL426" s="943"/>
      <c r="BM426" s="943"/>
      <c r="BN426" s="943"/>
      <c r="BO426" s="943"/>
      <c r="BP426" s="841"/>
    </row>
    <row r="427" spans="1:68" ht="20.100000000000001" customHeight="1">
      <c r="A427" s="822"/>
      <c r="B427" s="1872" t="s">
        <v>4676</v>
      </c>
      <c r="C427" s="1872"/>
      <c r="D427" s="824" t="s">
        <v>4597</v>
      </c>
      <c r="E427" s="824"/>
      <c r="F427" s="849" t="s">
        <v>4667</v>
      </c>
      <c r="G427" s="826" t="s">
        <v>4451</v>
      </c>
      <c r="H427" s="882"/>
      <c r="I427" s="882"/>
      <c r="J427" s="882"/>
      <c r="K427" s="882"/>
      <c r="L427" s="943"/>
      <c r="M427" s="943"/>
      <c r="N427" s="943"/>
      <c r="O427" s="943"/>
      <c r="P427" s="943"/>
      <c r="Q427" s="943"/>
      <c r="R427" s="943"/>
      <c r="S427" s="943"/>
      <c r="T427" s="943"/>
      <c r="U427" s="943"/>
      <c r="V427" s="943"/>
      <c r="W427" s="943"/>
      <c r="X427" s="943"/>
      <c r="Y427" s="943"/>
      <c r="Z427" s="943"/>
      <c r="AA427" s="943"/>
      <c r="AB427" s="943"/>
      <c r="AC427" s="943"/>
      <c r="AD427" s="943"/>
      <c r="AE427" s="943"/>
      <c r="AF427" s="943"/>
      <c r="AG427" s="943"/>
      <c r="AH427" s="943"/>
      <c r="AI427" s="943"/>
      <c r="AJ427" s="943"/>
      <c r="AK427" s="943"/>
      <c r="AL427" s="943"/>
      <c r="AM427" s="943"/>
      <c r="AN427" s="943"/>
      <c r="AO427" s="943"/>
      <c r="AP427" s="943"/>
      <c r="AQ427" s="943"/>
      <c r="AR427" s="943"/>
      <c r="AS427" s="943"/>
      <c r="AT427" s="943"/>
      <c r="AU427" s="943"/>
      <c r="AV427" s="943"/>
      <c r="AW427" s="943"/>
      <c r="AX427" s="943"/>
      <c r="AY427" s="943"/>
      <c r="AZ427" s="943"/>
      <c r="BA427" s="943"/>
      <c r="BB427" s="943"/>
      <c r="BC427" s="943"/>
      <c r="BD427" s="943"/>
      <c r="BE427" s="943"/>
      <c r="BF427" s="943"/>
      <c r="BG427" s="943"/>
      <c r="BH427" s="943"/>
      <c r="BI427" s="943"/>
      <c r="BJ427" s="943"/>
      <c r="BK427" s="943"/>
      <c r="BL427" s="943"/>
      <c r="BM427" s="943"/>
      <c r="BN427" s="943"/>
      <c r="BO427" s="943"/>
      <c r="BP427" s="841"/>
    </row>
    <row r="428" spans="1:68" ht="20.100000000000001" customHeight="1">
      <c r="A428" s="822"/>
      <c r="B428" s="1872"/>
      <c r="C428" s="1872"/>
      <c r="D428" s="824" t="s">
        <v>4598</v>
      </c>
      <c r="E428" s="824"/>
      <c r="F428" s="849" t="s">
        <v>4668</v>
      </c>
      <c r="G428" s="826" t="s">
        <v>4451</v>
      </c>
      <c r="H428" s="882"/>
      <c r="I428" s="882"/>
      <c r="J428" s="882"/>
      <c r="K428" s="882"/>
      <c r="L428" s="884">
        <f ca="1">SUMPRODUCT(ROUND((0&amp;L395:L405)*$H395:$H405,0))</f>
        <v>0</v>
      </c>
      <c r="M428" s="884">
        <f ca="1">SUMPRODUCT(ROUND((0&amp;M395:M405)*$I395:$I405,0))</f>
        <v>0</v>
      </c>
      <c r="N428" s="884">
        <f ca="1">SUMPRODUCT(ROUND((0&amp;N395:N405)*$J395:$J405,0))</f>
        <v>0</v>
      </c>
      <c r="O428" s="884">
        <f ca="1">SUMPRODUCT(ROUND((0&amp;O395:O405)*$K395:$K405,0))</f>
        <v>0</v>
      </c>
      <c r="P428" s="884">
        <f ca="1">SUMPRODUCT(ROUND((0&amp;P395:P405)*$H395:$H405,0))</f>
        <v>0</v>
      </c>
      <c r="Q428" s="884">
        <f ca="1">SUMPRODUCT(ROUND((0&amp;Q395:Q405)*$I395:$I405,0))</f>
        <v>0</v>
      </c>
      <c r="R428" s="884">
        <f ca="1">SUMPRODUCT(ROUND((0&amp;R395:R405)*$J395:$J405,0))</f>
        <v>0</v>
      </c>
      <c r="S428" s="884">
        <f ca="1">SUMPRODUCT(ROUND((0&amp;S395:S405)*$K395:$K405,0))</f>
        <v>0</v>
      </c>
      <c r="T428" s="884">
        <f t="shared" ref="T428" ca="1" si="640">SUMPRODUCT(ROUND((0&amp;T395:T405)*$H395:$H405,0))</f>
        <v>0</v>
      </c>
      <c r="U428" s="884">
        <f t="shared" ref="U428" ca="1" si="641">SUMPRODUCT(ROUND((0&amp;U395:U405)*$I395:$I405,0))</f>
        <v>0</v>
      </c>
      <c r="V428" s="884">
        <f t="shared" ref="V428" ca="1" si="642">SUMPRODUCT(ROUND((0&amp;V395:V405)*$J395:$J405,0))</f>
        <v>0</v>
      </c>
      <c r="W428" s="884">
        <f t="shared" ref="W428" ca="1" si="643">SUMPRODUCT(ROUND((0&amp;W395:W405)*$K395:$K405,0))</f>
        <v>0</v>
      </c>
      <c r="X428" s="884">
        <f t="shared" ref="X428" ca="1" si="644">SUMPRODUCT(ROUND((0&amp;X395:X405)*$H395:$H405,0))</f>
        <v>0</v>
      </c>
      <c r="Y428" s="884">
        <f t="shared" ref="Y428" ca="1" si="645">SUMPRODUCT(ROUND((0&amp;Y395:Y405)*$I395:$I405,0))</f>
        <v>0</v>
      </c>
      <c r="Z428" s="884">
        <f t="shared" ref="Z428" ca="1" si="646">SUMPRODUCT(ROUND((0&amp;Z395:Z405)*$J395:$J405,0))</f>
        <v>0</v>
      </c>
      <c r="AA428" s="884">
        <f t="shared" ref="AA428" ca="1" si="647">SUMPRODUCT(ROUND((0&amp;AA395:AA405)*$K395:$K405,0))</f>
        <v>0</v>
      </c>
      <c r="AB428" s="884">
        <f t="shared" ref="AB428" ca="1" si="648">SUMPRODUCT(ROUND((0&amp;AB395:AB405)*$H395:$H405,0))</f>
        <v>0</v>
      </c>
      <c r="AC428" s="884">
        <f t="shared" ref="AC428" ca="1" si="649">SUMPRODUCT(ROUND((0&amp;AC395:AC405)*$I395:$I405,0))</f>
        <v>0</v>
      </c>
      <c r="AD428" s="884">
        <f t="shared" ref="AD428" ca="1" si="650">SUMPRODUCT(ROUND((0&amp;AD395:AD405)*$J395:$J405,0))</f>
        <v>0</v>
      </c>
      <c r="AE428" s="884">
        <f t="shared" ref="AE428" ca="1" si="651">SUMPRODUCT(ROUND((0&amp;AE395:AE405)*$K395:$K405,0))</f>
        <v>0</v>
      </c>
      <c r="AF428" s="884">
        <f t="shared" ref="AF428" ca="1" si="652">SUMPRODUCT(ROUND((0&amp;AF395:AF405)*$H395:$H405,0))</f>
        <v>0</v>
      </c>
      <c r="AG428" s="884">
        <f t="shared" ref="AG428" ca="1" si="653">SUMPRODUCT(ROUND((0&amp;AG395:AG405)*$I395:$I405,0))</f>
        <v>0</v>
      </c>
      <c r="AH428" s="884">
        <f t="shared" ref="AH428" ca="1" si="654">SUMPRODUCT(ROUND((0&amp;AH395:AH405)*$J395:$J405,0))</f>
        <v>0</v>
      </c>
      <c r="AI428" s="884">
        <f t="shared" ref="AI428" ca="1" si="655">SUMPRODUCT(ROUND((0&amp;AI395:AI405)*$K395:$K405,0))</f>
        <v>0</v>
      </c>
      <c r="AJ428" s="884">
        <f t="shared" ref="AJ428" ca="1" si="656">SUMPRODUCT(ROUND((0&amp;AJ395:AJ405)*$H395:$H405,0))</f>
        <v>0</v>
      </c>
      <c r="AK428" s="884">
        <f t="shared" ref="AK428" ca="1" si="657">SUMPRODUCT(ROUND((0&amp;AK395:AK405)*$I395:$I405,0))</f>
        <v>0</v>
      </c>
      <c r="AL428" s="884">
        <f t="shared" ref="AL428" ca="1" si="658">SUMPRODUCT(ROUND((0&amp;AL395:AL405)*$J395:$J405,0))</f>
        <v>0</v>
      </c>
      <c r="AM428" s="884">
        <f t="shared" ref="AM428" ca="1" si="659">SUMPRODUCT(ROUND((0&amp;AM395:AM405)*$K395:$K405,0))</f>
        <v>0</v>
      </c>
      <c r="AN428" s="884">
        <f t="shared" ref="AN428" ca="1" si="660">SUMPRODUCT(ROUND((0&amp;AN395:AN405)*$H395:$H405,0))</f>
        <v>0</v>
      </c>
      <c r="AO428" s="884">
        <f t="shared" ref="AO428" ca="1" si="661">SUMPRODUCT(ROUND((0&amp;AO395:AO405)*$I395:$I405,0))</f>
        <v>0</v>
      </c>
      <c r="AP428" s="884">
        <f t="shared" ref="AP428" ca="1" si="662">SUMPRODUCT(ROUND((0&amp;AP395:AP405)*$J395:$J405,0))</f>
        <v>0</v>
      </c>
      <c r="AQ428" s="884">
        <f t="shared" ref="AQ428" ca="1" si="663">SUMPRODUCT(ROUND((0&amp;AQ395:AQ405)*$K395:$K405,0))</f>
        <v>0</v>
      </c>
      <c r="AR428" s="884">
        <f t="shared" ref="AR428" ca="1" si="664">SUMPRODUCT(ROUND((0&amp;AR395:AR405)*$H395:$H405,0))</f>
        <v>0</v>
      </c>
      <c r="AS428" s="884">
        <f t="shared" ref="AS428" ca="1" si="665">SUMPRODUCT(ROUND((0&amp;AS395:AS405)*$I395:$I405,0))</f>
        <v>0</v>
      </c>
      <c r="AT428" s="884">
        <f t="shared" ref="AT428" ca="1" si="666">SUMPRODUCT(ROUND((0&amp;AT395:AT405)*$J395:$J405,0))</f>
        <v>0</v>
      </c>
      <c r="AU428" s="884">
        <f t="shared" ref="AU428" ca="1" si="667">SUMPRODUCT(ROUND((0&amp;AU395:AU405)*$K395:$K405,0))</f>
        <v>0</v>
      </c>
      <c r="AV428" s="884">
        <f t="shared" ref="AV428" ca="1" si="668">SUMPRODUCT(ROUND((0&amp;AV395:AV405)*$H395:$H405,0))</f>
        <v>0</v>
      </c>
      <c r="AW428" s="884">
        <f t="shared" ref="AW428" ca="1" si="669">SUMPRODUCT(ROUND((0&amp;AW395:AW405)*$I395:$I405,0))</f>
        <v>0</v>
      </c>
      <c r="AX428" s="884">
        <f t="shared" ref="AX428" ca="1" si="670">SUMPRODUCT(ROUND((0&amp;AX395:AX405)*$J395:$J405,0))</f>
        <v>0</v>
      </c>
      <c r="AY428" s="884">
        <f t="shared" ref="AY428" ca="1" si="671">SUMPRODUCT(ROUND((0&amp;AY395:AY405)*$K395:$K405,0))</f>
        <v>0</v>
      </c>
      <c r="AZ428" s="884">
        <f t="shared" ref="AZ428" ca="1" si="672">SUMPRODUCT(ROUND((0&amp;AZ395:AZ405)*$H395:$H405,0))</f>
        <v>0</v>
      </c>
      <c r="BA428" s="884">
        <f t="shared" ref="BA428" ca="1" si="673">SUMPRODUCT(ROUND((0&amp;BA395:BA405)*$I395:$I405,0))</f>
        <v>0</v>
      </c>
      <c r="BB428" s="884">
        <f t="shared" ref="BB428" ca="1" si="674">SUMPRODUCT(ROUND((0&amp;BB395:BB405)*$J395:$J405,0))</f>
        <v>0</v>
      </c>
      <c r="BC428" s="884">
        <f t="shared" ref="BC428" ca="1" si="675">SUMPRODUCT(ROUND((0&amp;BC395:BC405)*$K395:$K405,0))</f>
        <v>0</v>
      </c>
      <c r="BD428" s="884">
        <f t="shared" ref="BD428" ca="1" si="676">SUMPRODUCT(ROUND((0&amp;BD395:BD405)*$H395:$H405,0))</f>
        <v>0</v>
      </c>
      <c r="BE428" s="884">
        <f t="shared" ref="BE428" ca="1" si="677">SUMPRODUCT(ROUND((0&amp;BE395:BE405)*$I395:$I405,0))</f>
        <v>0</v>
      </c>
      <c r="BF428" s="884">
        <f t="shared" ref="BF428" ca="1" si="678">SUMPRODUCT(ROUND((0&amp;BF395:BF405)*$J395:$J405,0))</f>
        <v>0</v>
      </c>
      <c r="BG428" s="884">
        <f t="shared" ref="BG428" ca="1" si="679">SUMPRODUCT(ROUND((0&amp;BG395:BG405)*$K395:$K405,0))</f>
        <v>0</v>
      </c>
      <c r="BH428" s="884">
        <f t="shared" ref="BH428" ca="1" si="680">SUMPRODUCT(ROUND((0&amp;BH395:BH405)*$H395:$H405,0))</f>
        <v>0</v>
      </c>
      <c r="BI428" s="884">
        <f t="shared" ref="BI428" ca="1" si="681">SUMPRODUCT(ROUND((0&amp;BI395:BI405)*$I395:$I405,0))</f>
        <v>0</v>
      </c>
      <c r="BJ428" s="884">
        <f t="shared" ref="BJ428" ca="1" si="682">SUMPRODUCT(ROUND((0&amp;BJ395:BJ405)*$J395:$J405,0))</f>
        <v>0</v>
      </c>
      <c r="BK428" s="884">
        <f t="shared" ref="BK428" ca="1" si="683">SUMPRODUCT(ROUND((0&amp;BK395:BK405)*$K395:$K405,0))</f>
        <v>0</v>
      </c>
      <c r="BL428" s="884">
        <f t="shared" ref="BL428" ca="1" si="684">SUMPRODUCT(ROUND((0&amp;BL395:BL405)*$H395:$H405,0))</f>
        <v>0</v>
      </c>
      <c r="BM428" s="884">
        <f t="shared" ref="BM428" ca="1" si="685">SUMPRODUCT(ROUND((0&amp;BM395:BM405)*$I395:$I405,0))</f>
        <v>0</v>
      </c>
      <c r="BN428" s="884">
        <f t="shared" ref="BN428" ca="1" si="686">SUMPRODUCT(ROUND((0&amp;BN395:BN405)*$J395:$J405,0))</f>
        <v>0</v>
      </c>
      <c r="BO428" s="884">
        <f t="shared" ref="BO428" ca="1" si="687">SUMPRODUCT(ROUND((0&amp;BO395:BO405)*$K395:$K405,0))</f>
        <v>0</v>
      </c>
      <c r="BP428" s="841"/>
    </row>
    <row r="429" spans="1:68" ht="20.100000000000001" customHeight="1">
      <c r="A429" s="822"/>
      <c r="B429" s="1872"/>
      <c r="C429" s="1872"/>
      <c r="D429" s="824" t="s">
        <v>4599</v>
      </c>
      <c r="E429" s="824" t="s">
        <v>4669</v>
      </c>
      <c r="F429" s="849" t="s">
        <v>4670</v>
      </c>
      <c r="G429" s="826" t="s">
        <v>4451</v>
      </c>
      <c r="H429" s="882"/>
      <c r="I429" s="882"/>
      <c r="J429" s="882"/>
      <c r="K429" s="882"/>
      <c r="L429" s="943"/>
      <c r="M429" s="943"/>
      <c r="N429" s="943"/>
      <c r="O429" s="943"/>
      <c r="P429" s="943"/>
      <c r="Q429" s="943"/>
      <c r="R429" s="943"/>
      <c r="S429" s="943"/>
      <c r="T429" s="943"/>
      <c r="U429" s="943"/>
      <c r="V429" s="943"/>
      <c r="W429" s="943"/>
      <c r="X429" s="943"/>
      <c r="Y429" s="943"/>
      <c r="Z429" s="943"/>
      <c r="AA429" s="943"/>
      <c r="AB429" s="943"/>
      <c r="AC429" s="943"/>
      <c r="AD429" s="943"/>
      <c r="AE429" s="943"/>
      <c r="AF429" s="943"/>
      <c r="AG429" s="943"/>
      <c r="AH429" s="943"/>
      <c r="AI429" s="943"/>
      <c r="AJ429" s="943"/>
      <c r="AK429" s="943"/>
      <c r="AL429" s="943"/>
      <c r="AM429" s="943"/>
      <c r="AN429" s="943"/>
      <c r="AO429" s="943"/>
      <c r="AP429" s="943"/>
      <c r="AQ429" s="943"/>
      <c r="AR429" s="943"/>
      <c r="AS429" s="943"/>
      <c r="AT429" s="943"/>
      <c r="AU429" s="943"/>
      <c r="AV429" s="943"/>
      <c r="AW429" s="943"/>
      <c r="AX429" s="943"/>
      <c r="AY429" s="943"/>
      <c r="AZ429" s="943"/>
      <c r="BA429" s="943"/>
      <c r="BB429" s="943"/>
      <c r="BC429" s="943"/>
      <c r="BD429" s="943"/>
      <c r="BE429" s="943"/>
      <c r="BF429" s="943"/>
      <c r="BG429" s="943"/>
      <c r="BH429" s="943"/>
      <c r="BI429" s="943"/>
      <c r="BJ429" s="943"/>
      <c r="BK429" s="943"/>
      <c r="BL429" s="943"/>
      <c r="BM429" s="943"/>
      <c r="BN429" s="943"/>
      <c r="BO429" s="943"/>
      <c r="BP429" s="841"/>
    </row>
    <row r="430" spans="1:68" ht="20.100000000000001" customHeight="1">
      <c r="A430" s="822"/>
      <c r="B430" s="1872"/>
      <c r="C430" s="1872"/>
      <c r="D430" s="824" t="s">
        <v>4454</v>
      </c>
      <c r="E430" s="824" t="s">
        <v>4671</v>
      </c>
      <c r="F430" s="849" t="s">
        <v>4672</v>
      </c>
      <c r="G430" s="826" t="s">
        <v>4451</v>
      </c>
      <c r="H430" s="882"/>
      <c r="I430" s="882"/>
      <c r="J430" s="882"/>
      <c r="K430" s="882"/>
      <c r="L430" s="828">
        <f ca="1">L428</f>
        <v>0</v>
      </c>
      <c r="M430" s="828">
        <f t="shared" ref="M430:BO430" ca="1" si="688">M428</f>
        <v>0</v>
      </c>
      <c r="N430" s="828">
        <f t="shared" ca="1" si="688"/>
        <v>0</v>
      </c>
      <c r="O430" s="828">
        <f t="shared" ca="1" si="688"/>
        <v>0</v>
      </c>
      <c r="P430" s="828">
        <f t="shared" ca="1" si="688"/>
        <v>0</v>
      </c>
      <c r="Q430" s="828">
        <f t="shared" ca="1" si="688"/>
        <v>0</v>
      </c>
      <c r="R430" s="828">
        <f t="shared" ca="1" si="688"/>
        <v>0</v>
      </c>
      <c r="S430" s="828">
        <f t="shared" ca="1" si="688"/>
        <v>0</v>
      </c>
      <c r="T430" s="828">
        <f t="shared" ca="1" si="688"/>
        <v>0</v>
      </c>
      <c r="U430" s="828">
        <f t="shared" ca="1" si="688"/>
        <v>0</v>
      </c>
      <c r="V430" s="828">
        <f t="shared" ca="1" si="688"/>
        <v>0</v>
      </c>
      <c r="W430" s="828">
        <f t="shared" ca="1" si="688"/>
        <v>0</v>
      </c>
      <c r="X430" s="828">
        <f t="shared" ca="1" si="688"/>
        <v>0</v>
      </c>
      <c r="Y430" s="828">
        <f t="shared" ca="1" si="688"/>
        <v>0</v>
      </c>
      <c r="Z430" s="828">
        <f t="shared" ca="1" si="688"/>
        <v>0</v>
      </c>
      <c r="AA430" s="828">
        <f t="shared" ca="1" si="688"/>
        <v>0</v>
      </c>
      <c r="AB430" s="828">
        <f t="shared" ca="1" si="688"/>
        <v>0</v>
      </c>
      <c r="AC430" s="828">
        <f t="shared" ca="1" si="688"/>
        <v>0</v>
      </c>
      <c r="AD430" s="828">
        <f t="shared" ca="1" si="688"/>
        <v>0</v>
      </c>
      <c r="AE430" s="828">
        <f t="shared" ca="1" si="688"/>
        <v>0</v>
      </c>
      <c r="AF430" s="828">
        <f t="shared" ca="1" si="688"/>
        <v>0</v>
      </c>
      <c r="AG430" s="828">
        <f t="shared" ca="1" si="688"/>
        <v>0</v>
      </c>
      <c r="AH430" s="828">
        <f t="shared" ca="1" si="688"/>
        <v>0</v>
      </c>
      <c r="AI430" s="828">
        <f t="shared" ca="1" si="688"/>
        <v>0</v>
      </c>
      <c r="AJ430" s="828">
        <f t="shared" ca="1" si="688"/>
        <v>0</v>
      </c>
      <c r="AK430" s="828">
        <f t="shared" ca="1" si="688"/>
        <v>0</v>
      </c>
      <c r="AL430" s="828">
        <f t="shared" ca="1" si="688"/>
        <v>0</v>
      </c>
      <c r="AM430" s="828">
        <f t="shared" ca="1" si="688"/>
        <v>0</v>
      </c>
      <c r="AN430" s="828">
        <f t="shared" ca="1" si="688"/>
        <v>0</v>
      </c>
      <c r="AO430" s="828">
        <f t="shared" ca="1" si="688"/>
        <v>0</v>
      </c>
      <c r="AP430" s="828">
        <f t="shared" ca="1" si="688"/>
        <v>0</v>
      </c>
      <c r="AQ430" s="828">
        <f t="shared" ca="1" si="688"/>
        <v>0</v>
      </c>
      <c r="AR430" s="828">
        <f t="shared" ca="1" si="688"/>
        <v>0</v>
      </c>
      <c r="AS430" s="828">
        <f t="shared" ca="1" si="688"/>
        <v>0</v>
      </c>
      <c r="AT430" s="828">
        <f t="shared" ca="1" si="688"/>
        <v>0</v>
      </c>
      <c r="AU430" s="828">
        <f t="shared" ca="1" si="688"/>
        <v>0</v>
      </c>
      <c r="AV430" s="828">
        <f t="shared" ca="1" si="688"/>
        <v>0</v>
      </c>
      <c r="AW430" s="828">
        <f t="shared" ca="1" si="688"/>
        <v>0</v>
      </c>
      <c r="AX430" s="828">
        <f t="shared" ca="1" si="688"/>
        <v>0</v>
      </c>
      <c r="AY430" s="828">
        <f t="shared" ca="1" si="688"/>
        <v>0</v>
      </c>
      <c r="AZ430" s="828">
        <f t="shared" ca="1" si="688"/>
        <v>0</v>
      </c>
      <c r="BA430" s="828">
        <f t="shared" ca="1" si="688"/>
        <v>0</v>
      </c>
      <c r="BB430" s="828">
        <f t="shared" ca="1" si="688"/>
        <v>0</v>
      </c>
      <c r="BC430" s="828">
        <f t="shared" ca="1" si="688"/>
        <v>0</v>
      </c>
      <c r="BD430" s="828">
        <f t="shared" ca="1" si="688"/>
        <v>0</v>
      </c>
      <c r="BE430" s="828">
        <f t="shared" ca="1" si="688"/>
        <v>0</v>
      </c>
      <c r="BF430" s="828">
        <f t="shared" ca="1" si="688"/>
        <v>0</v>
      </c>
      <c r="BG430" s="828">
        <f t="shared" ca="1" si="688"/>
        <v>0</v>
      </c>
      <c r="BH430" s="828">
        <f t="shared" ca="1" si="688"/>
        <v>0</v>
      </c>
      <c r="BI430" s="828">
        <f t="shared" ca="1" si="688"/>
        <v>0</v>
      </c>
      <c r="BJ430" s="828">
        <f t="shared" ca="1" si="688"/>
        <v>0</v>
      </c>
      <c r="BK430" s="828">
        <f t="shared" ca="1" si="688"/>
        <v>0</v>
      </c>
      <c r="BL430" s="828">
        <f t="shared" ca="1" si="688"/>
        <v>0</v>
      </c>
      <c r="BM430" s="828">
        <f t="shared" ca="1" si="688"/>
        <v>0</v>
      </c>
      <c r="BN430" s="828">
        <f t="shared" ca="1" si="688"/>
        <v>0</v>
      </c>
      <c r="BO430" s="828">
        <f t="shared" ca="1" si="688"/>
        <v>0</v>
      </c>
      <c r="BP430" s="841"/>
    </row>
    <row r="431" spans="1:68" ht="20.100000000000001" customHeight="1">
      <c r="A431" s="822"/>
      <c r="B431" s="886" t="s">
        <v>4677</v>
      </c>
      <c r="C431" s="887"/>
      <c r="D431" s="824"/>
      <c r="E431" s="824" t="s">
        <v>4674</v>
      </c>
      <c r="F431" s="849"/>
      <c r="G431" s="826" t="s">
        <v>4604</v>
      </c>
      <c r="H431" s="882"/>
      <c r="I431" s="882"/>
      <c r="J431" s="882"/>
      <c r="K431" s="882"/>
      <c r="L431" s="884">
        <f ca="1">ROUND(L430*0.0258,0)</f>
        <v>0</v>
      </c>
      <c r="M431" s="884">
        <f t="shared" ref="M431:BO431" ca="1" si="689">ROUND(M430*0.0258,0)</f>
        <v>0</v>
      </c>
      <c r="N431" s="884">
        <f t="shared" ca="1" si="689"/>
        <v>0</v>
      </c>
      <c r="O431" s="884">
        <f t="shared" ca="1" si="689"/>
        <v>0</v>
      </c>
      <c r="P431" s="884">
        <f t="shared" ca="1" si="689"/>
        <v>0</v>
      </c>
      <c r="Q431" s="884">
        <f t="shared" ca="1" si="689"/>
        <v>0</v>
      </c>
      <c r="R431" s="884">
        <f t="shared" ca="1" si="689"/>
        <v>0</v>
      </c>
      <c r="S431" s="884">
        <f t="shared" ca="1" si="689"/>
        <v>0</v>
      </c>
      <c r="T431" s="884">
        <f t="shared" ca="1" si="689"/>
        <v>0</v>
      </c>
      <c r="U431" s="884">
        <f t="shared" ca="1" si="689"/>
        <v>0</v>
      </c>
      <c r="V431" s="884">
        <f t="shared" ca="1" si="689"/>
        <v>0</v>
      </c>
      <c r="W431" s="884">
        <f t="shared" ca="1" si="689"/>
        <v>0</v>
      </c>
      <c r="X431" s="884">
        <f t="shared" ca="1" si="689"/>
        <v>0</v>
      </c>
      <c r="Y431" s="884">
        <f t="shared" ca="1" si="689"/>
        <v>0</v>
      </c>
      <c r="Z431" s="884">
        <f t="shared" ca="1" si="689"/>
        <v>0</v>
      </c>
      <c r="AA431" s="884">
        <f t="shared" ca="1" si="689"/>
        <v>0</v>
      </c>
      <c r="AB431" s="884">
        <f t="shared" ca="1" si="689"/>
        <v>0</v>
      </c>
      <c r="AC431" s="884">
        <f t="shared" ca="1" si="689"/>
        <v>0</v>
      </c>
      <c r="AD431" s="884">
        <f t="shared" ca="1" si="689"/>
        <v>0</v>
      </c>
      <c r="AE431" s="884">
        <f t="shared" ca="1" si="689"/>
        <v>0</v>
      </c>
      <c r="AF431" s="884">
        <f t="shared" ca="1" si="689"/>
        <v>0</v>
      </c>
      <c r="AG431" s="884">
        <f t="shared" ca="1" si="689"/>
        <v>0</v>
      </c>
      <c r="AH431" s="884">
        <f t="shared" ca="1" si="689"/>
        <v>0</v>
      </c>
      <c r="AI431" s="884">
        <f t="shared" ca="1" si="689"/>
        <v>0</v>
      </c>
      <c r="AJ431" s="884">
        <f t="shared" ca="1" si="689"/>
        <v>0</v>
      </c>
      <c r="AK431" s="884">
        <f t="shared" ca="1" si="689"/>
        <v>0</v>
      </c>
      <c r="AL431" s="884">
        <f t="shared" ca="1" si="689"/>
        <v>0</v>
      </c>
      <c r="AM431" s="884">
        <f t="shared" ca="1" si="689"/>
        <v>0</v>
      </c>
      <c r="AN431" s="884">
        <f t="shared" ca="1" si="689"/>
        <v>0</v>
      </c>
      <c r="AO431" s="884">
        <f t="shared" ca="1" si="689"/>
        <v>0</v>
      </c>
      <c r="AP431" s="884">
        <f t="shared" ca="1" si="689"/>
        <v>0</v>
      </c>
      <c r="AQ431" s="884">
        <f t="shared" ca="1" si="689"/>
        <v>0</v>
      </c>
      <c r="AR431" s="884">
        <f t="shared" ca="1" si="689"/>
        <v>0</v>
      </c>
      <c r="AS431" s="884">
        <f t="shared" ca="1" si="689"/>
        <v>0</v>
      </c>
      <c r="AT431" s="884">
        <f t="shared" ca="1" si="689"/>
        <v>0</v>
      </c>
      <c r="AU431" s="884">
        <f t="shared" ca="1" si="689"/>
        <v>0</v>
      </c>
      <c r="AV431" s="884">
        <f t="shared" ca="1" si="689"/>
        <v>0</v>
      </c>
      <c r="AW431" s="884">
        <f t="shared" ca="1" si="689"/>
        <v>0</v>
      </c>
      <c r="AX431" s="884">
        <f t="shared" ca="1" si="689"/>
        <v>0</v>
      </c>
      <c r="AY431" s="884">
        <f t="shared" ca="1" si="689"/>
        <v>0</v>
      </c>
      <c r="AZ431" s="884">
        <f t="shared" ca="1" si="689"/>
        <v>0</v>
      </c>
      <c r="BA431" s="884">
        <f t="shared" ca="1" si="689"/>
        <v>0</v>
      </c>
      <c r="BB431" s="884">
        <f t="shared" ca="1" si="689"/>
        <v>0</v>
      </c>
      <c r="BC431" s="884">
        <f t="shared" ca="1" si="689"/>
        <v>0</v>
      </c>
      <c r="BD431" s="884">
        <f t="shared" ca="1" si="689"/>
        <v>0</v>
      </c>
      <c r="BE431" s="884">
        <f t="shared" ca="1" si="689"/>
        <v>0</v>
      </c>
      <c r="BF431" s="884">
        <f t="shared" ca="1" si="689"/>
        <v>0</v>
      </c>
      <c r="BG431" s="884">
        <f t="shared" ca="1" si="689"/>
        <v>0</v>
      </c>
      <c r="BH431" s="884">
        <f t="shared" ca="1" si="689"/>
        <v>0</v>
      </c>
      <c r="BI431" s="884">
        <f t="shared" ca="1" si="689"/>
        <v>0</v>
      </c>
      <c r="BJ431" s="884">
        <f t="shared" ca="1" si="689"/>
        <v>0</v>
      </c>
      <c r="BK431" s="884">
        <f t="shared" ca="1" si="689"/>
        <v>0</v>
      </c>
      <c r="BL431" s="884">
        <f t="shared" ca="1" si="689"/>
        <v>0</v>
      </c>
      <c r="BM431" s="884">
        <f t="shared" ca="1" si="689"/>
        <v>0</v>
      </c>
      <c r="BN431" s="884">
        <f t="shared" ca="1" si="689"/>
        <v>0</v>
      </c>
      <c r="BO431" s="884">
        <f t="shared" ca="1" si="689"/>
        <v>0</v>
      </c>
      <c r="BP431" s="841"/>
    </row>
  </sheetData>
  <sheetProtection password="E7B8" sheet="1" formatCells="0" autoFilter="0"/>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201"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5.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4038</v>
      </c>
      <c r="C1" s="787"/>
      <c r="D1" s="787"/>
      <c r="E1" s="787"/>
      <c r="F1" s="787"/>
      <c r="G1" s="788"/>
      <c r="H1" s="789" t="s">
        <v>4380</v>
      </c>
      <c r="J1" s="791" t="s">
        <v>4478</v>
      </c>
      <c r="K1" s="709" t="s">
        <v>4479</v>
      </c>
      <c r="L1" s="790"/>
      <c r="M1" s="709" t="s">
        <v>4480</v>
      </c>
      <c r="N1" s="788"/>
      <c r="O1" s="709" t="s">
        <v>4481</v>
      </c>
      <c r="P1" s="788"/>
      <c r="Q1" s="791" t="s">
        <v>4482</v>
      </c>
      <c r="R1" s="709" t="s">
        <v>4479</v>
      </c>
      <c r="S1" s="790"/>
      <c r="T1" s="709" t="s">
        <v>4480</v>
      </c>
      <c r="U1" s="790"/>
      <c r="AB1" s="786" t="str">
        <f ca="1">参考2_エネ使用量経年!AB1</f>
        <v/>
      </c>
      <c r="AC1" s="786" t="str">
        <f ca="1">参考2_エネ使用量経年!AC1</f>
        <v/>
      </c>
      <c r="AD1" s="786" t="str">
        <f ca="1">参考2_エネ使用量経年!AD1</f>
        <v/>
      </c>
      <c r="AE1" s="786" t="str">
        <f ca="1">参考2_エネ使用量経年!AE1</f>
        <v/>
      </c>
      <c r="AF1" s="786" t="str">
        <f ca="1">参考2_エネ使用量経年!AF1</f>
        <v/>
      </c>
      <c r="AG1" s="786" t="str">
        <f ca="1">参考2_エネ使用量経年!AG1</f>
        <v/>
      </c>
      <c r="AH1" s="786" t="str">
        <f ca="1">参考2_エネ使用量経年!AH1</f>
        <v/>
      </c>
      <c r="AI1" s="786" t="str">
        <f ca="1">参考2_エネ使用量経年!AI1</f>
        <v/>
      </c>
      <c r="AJ1" s="786" t="str">
        <f ca="1">参考2_エネ使用量経年!AJ1</f>
        <v/>
      </c>
      <c r="AK1" s="786" t="str">
        <f ca="1">参考2_エネ使用量経年!AK1</f>
        <v/>
      </c>
      <c r="AL1" s="786" t="str">
        <f ca="1">参考2_エネ使用量経年!AL1</f>
        <v/>
      </c>
      <c r="AM1" s="786" t="str">
        <f ca="1">参考2_エネ使用量経年!AM1</f>
        <v/>
      </c>
      <c r="AN1" s="786" t="str">
        <f ca="1">参考2_エネ使用量経年!AN1</f>
        <v/>
      </c>
      <c r="AO1" s="786" t="str">
        <f ca="1">参考2_エネ使用量経年!AO1</f>
        <v/>
      </c>
      <c r="AP1" s="786" t="str">
        <f ca="1">参考2_エネ使用量経年!AP1</f>
        <v/>
      </c>
      <c r="AQ1" s="786" t="str">
        <f ca="1">参考2_エネ使用量経年!AQ1</f>
        <v/>
      </c>
      <c r="AR1" s="786" t="str">
        <f ca="1">参考2_エネ使用量経年!AR1</f>
        <v/>
      </c>
      <c r="AS1" s="786" t="str">
        <f ca="1">参考2_エネ使用量経年!AS1</f>
        <v/>
      </c>
      <c r="AT1" s="786" t="str">
        <f ca="1">参考2_エネ使用量経年!AT1</f>
        <v/>
      </c>
      <c r="AU1" s="786" t="str">
        <f ca="1">参考2_エネ使用量経年!AU1</f>
        <v/>
      </c>
      <c r="AV1" s="786" t="str">
        <f ca="1">参考2_エネ使用量経年!AV1</f>
        <v/>
      </c>
      <c r="AW1" s="786" t="str">
        <f ca="1">参考2_エネ使用量経年!AW1</f>
        <v/>
      </c>
      <c r="AX1" s="786" t="str">
        <f ca="1">参考2_エネ使用量経年!AX1</f>
        <v/>
      </c>
      <c r="AY1" s="786" t="str">
        <f ca="1">参考2_エネ使用量経年!AY1</f>
        <v/>
      </c>
      <c r="AZ1" s="786" t="str">
        <f ca="1">参考2_エネ使用量経年!AZ1</f>
        <v/>
      </c>
      <c r="BA1" s="786" t="str">
        <f ca="1">参考2_エネ使用量経年!BA1</f>
        <v/>
      </c>
      <c r="BB1" s="786" t="str">
        <f ca="1">参考2_エネ使用量経年!BB1</f>
        <v/>
      </c>
      <c r="BC1" s="786" t="str">
        <f ca="1">参考2_エネ使用量経年!BC1</f>
        <v/>
      </c>
      <c r="BD1" s="786" t="str">
        <f ca="1">参考2_エネ使用量経年!BD1</f>
        <v/>
      </c>
      <c r="BE1" s="786" t="str">
        <f ca="1">参考2_エネ使用量経年!BE1</f>
        <v/>
      </c>
      <c r="BF1" s="786" t="str">
        <f ca="1">参考2_エネ使用量経年!BF1</f>
        <v/>
      </c>
      <c r="BG1" s="786" t="str">
        <f ca="1">参考2_エネ使用量経年!BG1</f>
        <v/>
      </c>
      <c r="BH1" s="786" t="str">
        <f ca="1">参考2_エネ使用量経年!BH1</f>
        <v/>
      </c>
      <c r="BI1" s="786" t="str">
        <f ca="1">参考2_エネ使用量経年!BI1</f>
        <v/>
      </c>
      <c r="BJ1" s="786" t="str">
        <f ca="1">参考2_エネ使用量経年!BJ1</f>
        <v/>
      </c>
      <c r="BK1" s="786" t="str">
        <f ca="1">参考2_エネ使用量経年!BK1</f>
        <v/>
      </c>
      <c r="BL1" s="786" t="str">
        <f ca="1">参考2_エネ使用量経年!BL1</f>
        <v/>
      </c>
      <c r="BM1" s="786" t="str">
        <f ca="1">参考2_エネ使用量経年!BM1</f>
        <v/>
      </c>
      <c r="BN1" s="786" t="str">
        <f ca="1">参考2_エネ使用量経年!BN1</f>
        <v/>
      </c>
      <c r="BO1" s="786" t="str">
        <f ca="1">参考2_エネ使用量経年!BO1</f>
        <v/>
      </c>
    </row>
    <row r="2" spans="1:68" ht="20.100000000000001" customHeight="1">
      <c r="B2" s="792"/>
      <c r="C2" s="793" t="s">
        <v>4381</v>
      </c>
      <c r="D2" s="1860" t="str">
        <f ca="1">参考2_エネ使用量経年!D2</f>
        <v/>
      </c>
      <c r="E2" s="1861"/>
      <c r="F2" s="789"/>
      <c r="H2" s="1862" t="s">
        <v>4483</v>
      </c>
      <c r="I2" s="1863"/>
      <c r="J2" s="1863"/>
      <c r="K2" s="1864"/>
      <c r="L2" s="1865" t="s">
        <v>4678</v>
      </c>
      <c r="M2" s="1863"/>
      <c r="N2" s="1863"/>
      <c r="O2" s="1863"/>
      <c r="P2" s="1862" t="s">
        <v>4382</v>
      </c>
      <c r="Q2" s="1863"/>
      <c r="R2" s="1863"/>
      <c r="S2" s="1864"/>
      <c r="T2" s="1862" t="s">
        <v>4383</v>
      </c>
      <c r="U2" s="1863"/>
      <c r="V2" s="1863"/>
      <c r="W2" s="186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860" t="str">
        <f ca="1">参考2_エネ使用量経年!D3</f>
        <v/>
      </c>
      <c r="E3" s="1861"/>
      <c r="H3" s="798"/>
      <c r="I3" s="799"/>
      <c r="J3" s="800"/>
      <c r="K3" s="801"/>
      <c r="L3" s="802"/>
      <c r="M3" s="803"/>
      <c r="N3" s="803"/>
      <c r="O3" s="804"/>
      <c r="P3" s="798"/>
      <c r="Q3" s="799"/>
      <c r="R3" s="800"/>
      <c r="S3" s="801"/>
      <c r="T3" s="1866"/>
      <c r="U3" s="1867"/>
      <c r="V3" s="1867"/>
      <c r="W3" s="1868"/>
      <c r="X3" s="1866" t="s">
        <v>4385</v>
      </c>
      <c r="Y3" s="1867"/>
      <c r="Z3" s="1867"/>
      <c r="AA3" s="1868"/>
      <c r="AB3" s="1906" t="s">
        <v>4484</v>
      </c>
      <c r="AC3" s="1906"/>
      <c r="AD3" s="1906"/>
      <c r="AE3" s="1906"/>
      <c r="AF3" s="1906" t="s">
        <v>4485</v>
      </c>
      <c r="AG3" s="1906"/>
      <c r="AH3" s="1906"/>
      <c r="AI3" s="1906"/>
      <c r="AJ3" s="1906" t="s">
        <v>4486</v>
      </c>
      <c r="AK3" s="1906"/>
      <c r="AL3" s="1906"/>
      <c r="AM3" s="1906"/>
      <c r="AN3" s="1906" t="s">
        <v>4487</v>
      </c>
      <c r="AO3" s="1906"/>
      <c r="AP3" s="1906"/>
      <c r="AQ3" s="1906"/>
      <c r="AR3" s="1906" t="s">
        <v>4488</v>
      </c>
      <c r="AS3" s="1906"/>
      <c r="AT3" s="1906"/>
      <c r="AU3" s="1906"/>
      <c r="AV3" s="1906" t="s">
        <v>4489</v>
      </c>
      <c r="AW3" s="1906"/>
      <c r="AX3" s="1906"/>
      <c r="AY3" s="1906"/>
      <c r="AZ3" s="1906" t="s">
        <v>4490</v>
      </c>
      <c r="BA3" s="1906"/>
      <c r="BB3" s="1906"/>
      <c r="BC3" s="1906"/>
      <c r="BD3" s="1906" t="s">
        <v>4491</v>
      </c>
      <c r="BE3" s="1906"/>
      <c r="BF3" s="1906"/>
      <c r="BG3" s="1906"/>
      <c r="BH3" s="1906" t="s">
        <v>4492</v>
      </c>
      <c r="BI3" s="1906"/>
      <c r="BJ3" s="1906"/>
      <c r="BK3" s="1906"/>
      <c r="BL3" s="1906" t="s">
        <v>4493</v>
      </c>
      <c r="BM3" s="1906"/>
      <c r="BN3" s="1906"/>
      <c r="BO3" s="1906"/>
    </row>
    <row r="4" spans="1:68" ht="20.100000000000001" customHeight="1">
      <c r="C4" s="793" t="s">
        <v>4386</v>
      </c>
      <c r="D4" s="1877" t="str">
        <f ca="1">参考2_エネ使用量経年!D4</f>
        <v/>
      </c>
      <c r="E4" s="1878"/>
      <c r="F4" s="793"/>
      <c r="H4" s="798"/>
      <c r="I4" s="799"/>
      <c r="J4" s="800"/>
      <c r="K4" s="801"/>
      <c r="L4" s="1882"/>
      <c r="M4" s="1883"/>
      <c r="N4" s="1883"/>
      <c r="O4" s="1884"/>
      <c r="P4" s="798"/>
      <c r="Q4" s="799"/>
      <c r="R4" s="800"/>
      <c r="S4" s="801"/>
      <c r="T4" s="1882"/>
      <c r="U4" s="1883"/>
      <c r="V4" s="1883"/>
      <c r="W4" s="1884"/>
      <c r="X4" s="1885"/>
      <c r="Y4" s="1886"/>
      <c r="Z4" s="1886"/>
      <c r="AA4" s="1887"/>
      <c r="AB4" s="806" t="s">
        <v>4387</v>
      </c>
      <c r="AC4" s="1874" t="str">
        <f ca="1">参考2_エネ使用量経年!AC4</f>
        <v/>
      </c>
      <c r="AD4" s="1875"/>
      <c r="AE4" s="1876"/>
      <c r="AF4" s="806" t="s">
        <v>4387</v>
      </c>
      <c r="AG4" s="1874" t="str">
        <f ca="1">参考2_エネ使用量経年!AG4</f>
        <v/>
      </c>
      <c r="AH4" s="1875"/>
      <c r="AI4" s="1876"/>
      <c r="AJ4" s="806" t="s">
        <v>4387</v>
      </c>
      <c r="AK4" s="1874" t="str">
        <f ca="1">参考2_エネ使用量経年!AK4</f>
        <v/>
      </c>
      <c r="AL4" s="1875"/>
      <c r="AM4" s="1876"/>
      <c r="AN4" s="806" t="s">
        <v>4387</v>
      </c>
      <c r="AO4" s="1874" t="str">
        <f ca="1">参考2_エネ使用量経年!AO4</f>
        <v/>
      </c>
      <c r="AP4" s="1875"/>
      <c r="AQ4" s="1876"/>
      <c r="AR4" s="806" t="s">
        <v>4387</v>
      </c>
      <c r="AS4" s="1874" t="str">
        <f ca="1">参考2_エネ使用量経年!AS4</f>
        <v/>
      </c>
      <c r="AT4" s="1875"/>
      <c r="AU4" s="1876"/>
      <c r="AV4" s="806" t="s">
        <v>4387</v>
      </c>
      <c r="AW4" s="1874" t="str">
        <f ca="1">参考2_エネ使用量経年!AW4</f>
        <v/>
      </c>
      <c r="AX4" s="1875"/>
      <c r="AY4" s="1876"/>
      <c r="AZ4" s="806" t="s">
        <v>4387</v>
      </c>
      <c r="BA4" s="1874" t="str">
        <f ca="1">参考2_エネ使用量経年!BA4</f>
        <v/>
      </c>
      <c r="BB4" s="1875"/>
      <c r="BC4" s="1876"/>
      <c r="BD4" s="806" t="s">
        <v>4387</v>
      </c>
      <c r="BE4" s="1874" t="str">
        <f ca="1">参考2_エネ使用量経年!BE4</f>
        <v/>
      </c>
      <c r="BF4" s="1875"/>
      <c r="BG4" s="1876"/>
      <c r="BH4" s="806" t="s">
        <v>4387</v>
      </c>
      <c r="BI4" s="1874" t="str">
        <f ca="1">参考2_エネ使用量経年!BI4</f>
        <v/>
      </c>
      <c r="BJ4" s="1875"/>
      <c r="BK4" s="1876"/>
      <c r="BL4" s="806" t="s">
        <v>4387</v>
      </c>
      <c r="BM4" s="1874" t="str">
        <f ca="1">参考2_エネ使用量経年!BM4</f>
        <v/>
      </c>
      <c r="BN4" s="1875"/>
      <c r="BO4" s="1876"/>
    </row>
    <row r="5" spans="1:68" ht="20.100000000000001" customHeight="1">
      <c r="G5" s="816" t="s">
        <v>4379</v>
      </c>
      <c r="H5" s="817">
        <v>2024</v>
      </c>
      <c r="I5" s="817">
        <v>2025</v>
      </c>
      <c r="J5" s="817">
        <v>2026</v>
      </c>
      <c r="K5" s="817">
        <v>2027</v>
      </c>
      <c r="L5" s="817">
        <v>2024</v>
      </c>
      <c r="M5" s="817">
        <v>2025</v>
      </c>
      <c r="N5" s="817">
        <v>2026</v>
      </c>
      <c r="O5" s="817">
        <v>2027</v>
      </c>
      <c r="P5" s="817">
        <v>2024</v>
      </c>
      <c r="Q5" s="817">
        <v>2025</v>
      </c>
      <c r="R5" s="817">
        <v>2026</v>
      </c>
      <c r="S5" s="817">
        <v>2027</v>
      </c>
      <c r="T5" s="817">
        <v>2024</v>
      </c>
      <c r="U5" s="817">
        <v>2025</v>
      </c>
      <c r="V5" s="817">
        <v>2026</v>
      </c>
      <c r="W5" s="817">
        <v>2027</v>
      </c>
      <c r="X5" s="817">
        <v>2024</v>
      </c>
      <c r="Y5" s="817">
        <v>2025</v>
      </c>
      <c r="Z5" s="817">
        <v>2026</v>
      </c>
      <c r="AA5" s="817">
        <v>2027</v>
      </c>
      <c r="AB5" s="817">
        <v>2024</v>
      </c>
      <c r="AC5" s="817">
        <v>2025</v>
      </c>
      <c r="AD5" s="817">
        <v>2026</v>
      </c>
      <c r="AE5" s="817">
        <v>2027</v>
      </c>
      <c r="AF5" s="817">
        <v>2024</v>
      </c>
      <c r="AG5" s="817">
        <v>2025</v>
      </c>
      <c r="AH5" s="817">
        <v>2026</v>
      </c>
      <c r="AI5" s="817">
        <v>2027</v>
      </c>
      <c r="AJ5" s="817">
        <v>2024</v>
      </c>
      <c r="AK5" s="817">
        <v>2025</v>
      </c>
      <c r="AL5" s="817">
        <v>2026</v>
      </c>
      <c r="AM5" s="817">
        <v>2027</v>
      </c>
      <c r="AN5" s="817">
        <v>2024</v>
      </c>
      <c r="AO5" s="817">
        <v>2025</v>
      </c>
      <c r="AP5" s="817">
        <v>2026</v>
      </c>
      <c r="AQ5" s="817">
        <v>2027</v>
      </c>
      <c r="AR5" s="817">
        <v>2024</v>
      </c>
      <c r="AS5" s="817">
        <v>2025</v>
      </c>
      <c r="AT5" s="817">
        <v>2026</v>
      </c>
      <c r="AU5" s="817">
        <v>2027</v>
      </c>
      <c r="AV5" s="817">
        <v>2024</v>
      </c>
      <c r="AW5" s="817">
        <v>2025</v>
      </c>
      <c r="AX5" s="817">
        <v>2026</v>
      </c>
      <c r="AY5" s="817">
        <v>2027</v>
      </c>
      <c r="AZ5" s="817">
        <v>2024</v>
      </c>
      <c r="BA5" s="817">
        <v>2025</v>
      </c>
      <c r="BB5" s="817">
        <v>2026</v>
      </c>
      <c r="BC5" s="817">
        <v>2027</v>
      </c>
      <c r="BD5" s="817">
        <v>2024</v>
      </c>
      <c r="BE5" s="817">
        <v>2025</v>
      </c>
      <c r="BF5" s="817">
        <v>2026</v>
      </c>
      <c r="BG5" s="817">
        <v>2027</v>
      </c>
      <c r="BH5" s="817">
        <v>2024</v>
      </c>
      <c r="BI5" s="817">
        <v>2025</v>
      </c>
      <c r="BJ5" s="817">
        <v>2026</v>
      </c>
      <c r="BK5" s="817">
        <v>2027</v>
      </c>
      <c r="BL5" s="817">
        <v>2024</v>
      </c>
      <c r="BM5" s="817">
        <v>2025</v>
      </c>
      <c r="BN5" s="817">
        <v>2026</v>
      </c>
      <c r="BO5" s="817">
        <v>2027</v>
      </c>
      <c r="BP5" s="818"/>
    </row>
    <row r="6" spans="1:68" ht="20.100000000000001" customHeight="1">
      <c r="A6" s="819">
        <v>1</v>
      </c>
      <c r="B6" s="819" t="s">
        <v>4388</v>
      </c>
      <c r="C6" s="820"/>
      <c r="D6" s="820"/>
      <c r="E6" s="820"/>
      <c r="F6" s="820"/>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821"/>
    </row>
    <row r="7" spans="1:68" ht="20.100000000000001" customHeight="1">
      <c r="B7" s="950">
        <v>1</v>
      </c>
      <c r="C7" s="951" t="s">
        <v>4479</v>
      </c>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hidden="1" customHeight="1" outlineLevel="1">
      <c r="A8" s="952">
        <v>8</v>
      </c>
      <c r="B8" s="1869" t="s">
        <v>4389</v>
      </c>
      <c r="C8" s="1872" t="s">
        <v>4390</v>
      </c>
      <c r="D8" s="824" t="s">
        <v>4143</v>
      </c>
      <c r="E8" s="824"/>
      <c r="F8" s="825"/>
      <c r="G8" s="891" t="s">
        <v>4685</v>
      </c>
      <c r="H8" s="953">
        <f t="shared" ref="H8:H34" ca="1" si="0">IFERROR(OFFSET(貼付け_2024実績,$A8,6),"")</f>
        <v>1.9E-2</v>
      </c>
      <c r="I8" s="953">
        <f t="shared" ref="I8:I34" ca="1" si="1">IFERROR(OFFSET(貼付け_2025実績,$A8,6),"")</f>
        <v>1.9E-2</v>
      </c>
      <c r="J8" s="953">
        <f t="shared" ref="J8:J34" ca="1" si="2">IFERROR(OFFSET(貼付け_2026実績,$A8,6),"")</f>
        <v>1.9E-2</v>
      </c>
      <c r="K8" s="953">
        <f t="shared" ref="K8:K34" ca="1" si="3">IFERROR(OFFSET(貼付け_2027実績,$A8,6),"")</f>
        <v>1.9E-2</v>
      </c>
      <c r="L8" s="954">
        <f ca="1">IFERROR($H8*44/12*参考2_エネ使用量経年!L9*参考2_エネ使用量経年!$H9,"")</f>
        <v>0</v>
      </c>
      <c r="M8" s="954">
        <f ca="1">IFERROR($I8*44/12*参考2_エネ使用量経年!M9*参考2_エネ使用量経年!$I9,"")</f>
        <v>0</v>
      </c>
      <c r="N8" s="954">
        <f ca="1">IFERROR($J8*44/12*参考2_エネ使用量経年!N9*参考2_エネ使用量経年!$J9,"")</f>
        <v>0</v>
      </c>
      <c r="O8" s="954">
        <f ca="1">IFERROR($K8*44/12*参考2_エネ使用量経年!O9*参考2_エネ使用量経年!$K9,"")</f>
        <v>0</v>
      </c>
      <c r="P8" s="954">
        <f ca="1">IFERROR($H8*44/12*参考2_エネ使用量経年!P9*参考2_エネ使用量経年!$H9,"")</f>
        <v>0</v>
      </c>
      <c r="Q8" s="954">
        <f ca="1">IFERROR($I8*44/12*参考2_エネ使用量経年!Q9*参考2_エネ使用量経年!$I9,"")</f>
        <v>0</v>
      </c>
      <c r="R8" s="954">
        <f ca="1">IFERROR($J8*44/12*参考2_エネ使用量経年!R9*参考2_エネ使用量経年!$J9,"")</f>
        <v>0</v>
      </c>
      <c r="S8" s="954">
        <f ca="1">IFERROR($K8*44/12*参考2_エネ使用量経年!S9*参考2_エネ使用量経年!$K9,"")</f>
        <v>0</v>
      </c>
      <c r="T8" s="954">
        <f ca="1">IFERROR($H8*44/12*参考2_エネ使用量経年!T9*参考2_エネ使用量経年!$H9,"")</f>
        <v>0</v>
      </c>
      <c r="U8" s="954">
        <f ca="1">IFERROR($I8*44/12*参考2_エネ使用量経年!U9*参考2_エネ使用量経年!$I9,"")</f>
        <v>0</v>
      </c>
      <c r="V8" s="954">
        <f ca="1">IFERROR($J8*44/12*参考2_エネ使用量経年!V9*参考2_エネ使用量経年!$J9,"")</f>
        <v>0</v>
      </c>
      <c r="W8" s="954">
        <f ca="1">IFERROR($K8*44/12*参考2_エネ使用量経年!W9*参考2_エネ使用量経年!$K9,"")</f>
        <v>0</v>
      </c>
      <c r="X8" s="954">
        <f ca="1">IFERROR($H8*44/12*参考2_エネ使用量経年!X9*参考2_エネ使用量経年!$H9,"")</f>
        <v>0</v>
      </c>
      <c r="Y8" s="954">
        <f ca="1">IFERROR($I8*44/12*参考2_エネ使用量経年!Y9*参考2_エネ使用量経年!$I9,"")</f>
        <v>0</v>
      </c>
      <c r="Z8" s="954">
        <f ca="1">IFERROR($J8*44/12*参考2_エネ使用量経年!Z9*参考2_エネ使用量経年!$J9,"")</f>
        <v>0</v>
      </c>
      <c r="AA8" s="954">
        <f ca="1">IFERROR($K8*44/12*参考2_エネ使用量経年!AA9*参考2_エネ使用量経年!$K9,"")</f>
        <v>0</v>
      </c>
      <c r="AB8" s="954" t="str">
        <f ca="1">IFERROR($H8*44/12*参考2_エネ使用量経年!AB9*参考2_エネ使用量経年!$H9,"")</f>
        <v/>
      </c>
      <c r="AC8" s="954" t="str">
        <f ca="1">IFERROR($I8*44/12*参考2_エネ使用量経年!AC9*参考2_エネ使用量経年!$I9,"")</f>
        <v/>
      </c>
      <c r="AD8" s="954" t="str">
        <f ca="1">IFERROR($J8*44/12*参考2_エネ使用量経年!AD9*参考2_エネ使用量経年!$J9,"")</f>
        <v/>
      </c>
      <c r="AE8" s="954" t="str">
        <f ca="1">IFERROR($K8*44/12*参考2_エネ使用量経年!AE9*参考2_エネ使用量経年!$K9,"")</f>
        <v/>
      </c>
      <c r="AF8" s="954" t="str">
        <f ca="1">IFERROR($H8*44/12*参考2_エネ使用量経年!AF9*参考2_エネ使用量経年!$H9,"")</f>
        <v/>
      </c>
      <c r="AG8" s="954" t="str">
        <f ca="1">IFERROR($I8*44/12*参考2_エネ使用量経年!AG9*参考2_エネ使用量経年!$I9,"")</f>
        <v/>
      </c>
      <c r="AH8" s="954" t="str">
        <f ca="1">IFERROR($J8*44/12*参考2_エネ使用量経年!AH9*参考2_エネ使用量経年!$J9,"")</f>
        <v/>
      </c>
      <c r="AI8" s="954" t="str">
        <f ca="1">IFERROR($K8*44/12*参考2_エネ使用量経年!AI9*参考2_エネ使用量経年!$K9,"")</f>
        <v/>
      </c>
      <c r="AJ8" s="954" t="str">
        <f ca="1">IFERROR($H8*44/12*参考2_エネ使用量経年!AJ9*参考2_エネ使用量経年!$H9,"")</f>
        <v/>
      </c>
      <c r="AK8" s="954" t="str">
        <f ca="1">IFERROR($I8*44/12*参考2_エネ使用量経年!AK9*参考2_エネ使用量経年!$I9,"")</f>
        <v/>
      </c>
      <c r="AL8" s="954" t="str">
        <f ca="1">IFERROR($J8*44/12*参考2_エネ使用量経年!AL9*参考2_エネ使用量経年!$J9,"")</f>
        <v/>
      </c>
      <c r="AM8" s="954" t="str">
        <f ca="1">IFERROR($K8*44/12*参考2_エネ使用量経年!AM9*参考2_エネ使用量経年!$K9,"")</f>
        <v/>
      </c>
      <c r="AN8" s="954" t="str">
        <f ca="1">IFERROR($H8*44/12*参考2_エネ使用量経年!AN9*参考2_エネ使用量経年!$H9,"")</f>
        <v/>
      </c>
      <c r="AO8" s="954" t="str">
        <f ca="1">IFERROR($I8*44/12*参考2_エネ使用量経年!AO9*参考2_エネ使用量経年!$I9,"")</f>
        <v/>
      </c>
      <c r="AP8" s="954" t="str">
        <f ca="1">IFERROR($J8*44/12*参考2_エネ使用量経年!AP9*参考2_エネ使用量経年!$J9,"")</f>
        <v/>
      </c>
      <c r="AQ8" s="954" t="str">
        <f ca="1">IFERROR($K8*44/12*参考2_エネ使用量経年!AQ9*参考2_エネ使用量経年!$K9,"")</f>
        <v/>
      </c>
      <c r="AR8" s="954" t="str">
        <f ca="1">IFERROR($H8*44/12*参考2_エネ使用量経年!AR9*参考2_エネ使用量経年!$H9,"")</f>
        <v/>
      </c>
      <c r="AS8" s="954" t="str">
        <f ca="1">IFERROR($I8*44/12*参考2_エネ使用量経年!AS9*参考2_エネ使用量経年!$I9,"")</f>
        <v/>
      </c>
      <c r="AT8" s="954" t="str">
        <f ca="1">IFERROR($J8*44/12*参考2_エネ使用量経年!AT9*参考2_エネ使用量経年!$J9,"")</f>
        <v/>
      </c>
      <c r="AU8" s="954" t="str">
        <f ca="1">IFERROR($K8*44/12*参考2_エネ使用量経年!AU9*参考2_エネ使用量経年!$K9,"")</f>
        <v/>
      </c>
      <c r="AV8" s="954" t="str">
        <f ca="1">IFERROR($H8*44/12*参考2_エネ使用量経年!AV9*参考2_エネ使用量経年!$H9,"")</f>
        <v/>
      </c>
      <c r="AW8" s="954" t="str">
        <f ca="1">IFERROR($I8*44/12*参考2_エネ使用量経年!AW9*参考2_エネ使用量経年!$I9,"")</f>
        <v/>
      </c>
      <c r="AX8" s="954" t="str">
        <f ca="1">IFERROR($J8*44/12*参考2_エネ使用量経年!AX9*参考2_エネ使用量経年!$J9,"")</f>
        <v/>
      </c>
      <c r="AY8" s="954" t="str">
        <f ca="1">IFERROR($K8*44/12*参考2_エネ使用量経年!AY9*参考2_エネ使用量経年!$K9,"")</f>
        <v/>
      </c>
      <c r="AZ8" s="954" t="str">
        <f ca="1">IFERROR($H8*44/12*参考2_エネ使用量経年!AZ9*参考2_エネ使用量経年!$H9,"")</f>
        <v/>
      </c>
      <c r="BA8" s="954" t="str">
        <f ca="1">IFERROR($I8*44/12*参考2_エネ使用量経年!BA9*参考2_エネ使用量経年!$I9,"")</f>
        <v/>
      </c>
      <c r="BB8" s="954" t="str">
        <f ca="1">IFERROR($J8*44/12*参考2_エネ使用量経年!BB9*参考2_エネ使用量経年!$J9,"")</f>
        <v/>
      </c>
      <c r="BC8" s="954" t="str">
        <f ca="1">IFERROR($K8*44/12*参考2_エネ使用量経年!BC9*参考2_エネ使用量経年!$K9,"")</f>
        <v/>
      </c>
      <c r="BD8" s="954" t="str">
        <f ca="1">IFERROR($H8*44/12*参考2_エネ使用量経年!BD9*参考2_エネ使用量経年!$H9,"")</f>
        <v/>
      </c>
      <c r="BE8" s="954" t="str">
        <f ca="1">IFERROR($I8*44/12*参考2_エネ使用量経年!BE9*参考2_エネ使用量経年!$I9,"")</f>
        <v/>
      </c>
      <c r="BF8" s="954" t="str">
        <f ca="1">IFERROR($J8*44/12*参考2_エネ使用量経年!BF9*参考2_エネ使用量経年!$J9,"")</f>
        <v/>
      </c>
      <c r="BG8" s="954" t="str">
        <f ca="1">IFERROR($K8*44/12*参考2_エネ使用量経年!BG9*参考2_エネ使用量経年!$K9,"")</f>
        <v/>
      </c>
      <c r="BH8" s="954" t="str">
        <f ca="1">IFERROR($H8*44/12*参考2_エネ使用量経年!BH9*参考2_エネ使用量経年!$H9,"")</f>
        <v/>
      </c>
      <c r="BI8" s="954" t="str">
        <f ca="1">IFERROR($I8*44/12*参考2_エネ使用量経年!BI9*参考2_エネ使用量経年!$I9,"")</f>
        <v/>
      </c>
      <c r="BJ8" s="954" t="str">
        <f ca="1">IFERROR($J8*44/12*参考2_エネ使用量経年!BJ9*参考2_エネ使用量経年!$J9,"")</f>
        <v/>
      </c>
      <c r="BK8" s="954" t="str">
        <f ca="1">IFERROR($K8*44/12*参考2_エネ使用量経年!BK9*参考2_エネ使用量経年!$K9,"")</f>
        <v/>
      </c>
      <c r="BL8" s="954" t="str">
        <f ca="1">IFERROR($H8*44/12*参考2_エネ使用量経年!BL9*参考2_エネ使用量経年!$H9,"")</f>
        <v/>
      </c>
      <c r="BM8" s="954" t="str">
        <f ca="1">IFERROR($I8*44/12*参考2_エネ使用量経年!BM9*参考2_エネ使用量経年!$I9,"")</f>
        <v/>
      </c>
      <c r="BN8" s="954" t="str">
        <f ca="1">IFERROR($J8*44/12*参考2_エネ使用量経年!BN9*参考2_エネ使用量経年!$J9,"")</f>
        <v/>
      </c>
      <c r="BO8" s="954" t="str">
        <f ca="1">IFERROR($K8*44/12*参考2_エネ使用量経年!BO9*参考2_エネ使用量経年!$K9,"")</f>
        <v/>
      </c>
    </row>
    <row r="9" spans="1:68" ht="20.100000000000001" hidden="1" customHeight="1" outlineLevel="1">
      <c r="A9" s="952">
        <v>9</v>
      </c>
      <c r="B9" s="1870"/>
      <c r="C9" s="1872"/>
      <c r="D9" s="824" t="s">
        <v>4391</v>
      </c>
      <c r="E9" s="824"/>
      <c r="F9" s="825"/>
      <c r="G9" s="891" t="s">
        <v>4685</v>
      </c>
      <c r="H9" s="953">
        <f t="shared" ca="1" si="0"/>
        <v>1.83E-2</v>
      </c>
      <c r="I9" s="953">
        <f t="shared" ca="1" si="1"/>
        <v>1.83E-2</v>
      </c>
      <c r="J9" s="953">
        <f t="shared" ca="1" si="2"/>
        <v>1.83E-2</v>
      </c>
      <c r="K9" s="953">
        <f t="shared" ca="1" si="3"/>
        <v>1.83E-2</v>
      </c>
      <c r="L9" s="954">
        <f ca="1">IFERROR($H9*44/12*参考2_エネ使用量経年!L10*参考2_エネ使用量経年!$H10,"")</f>
        <v>0</v>
      </c>
      <c r="M9" s="954">
        <f ca="1">IFERROR($I9*44/12*参考2_エネ使用量経年!M10*参考2_エネ使用量経年!$I10,"")</f>
        <v>0</v>
      </c>
      <c r="N9" s="954">
        <f ca="1">IFERROR($J9*44/12*参考2_エネ使用量経年!N10*参考2_エネ使用量経年!$J10,"")</f>
        <v>0</v>
      </c>
      <c r="O9" s="954">
        <f ca="1">IFERROR($K9*44/12*参考2_エネ使用量経年!O10*参考2_エネ使用量経年!$K10,"")</f>
        <v>0</v>
      </c>
      <c r="P9" s="954">
        <f ca="1">IFERROR($H9*44/12*参考2_エネ使用量経年!P10*参考2_エネ使用量経年!$H10,"")</f>
        <v>0</v>
      </c>
      <c r="Q9" s="954">
        <f ca="1">IFERROR($I9*44/12*参考2_エネ使用量経年!Q10*参考2_エネ使用量経年!$I10,"")</f>
        <v>0</v>
      </c>
      <c r="R9" s="954">
        <f ca="1">IFERROR($J9*44/12*参考2_エネ使用量経年!R10*参考2_エネ使用量経年!$J10,"")</f>
        <v>0</v>
      </c>
      <c r="S9" s="954">
        <f ca="1">IFERROR($K9*44/12*参考2_エネ使用量経年!S10*参考2_エネ使用量経年!$K10,"")</f>
        <v>0</v>
      </c>
      <c r="T9" s="954">
        <f ca="1">IFERROR($H9*44/12*参考2_エネ使用量経年!T10*参考2_エネ使用量経年!$H10,"")</f>
        <v>0</v>
      </c>
      <c r="U9" s="954">
        <f ca="1">IFERROR($I9*44/12*参考2_エネ使用量経年!U10*参考2_エネ使用量経年!$I10,"")</f>
        <v>0</v>
      </c>
      <c r="V9" s="954">
        <f ca="1">IFERROR($J9*44/12*参考2_エネ使用量経年!V10*参考2_エネ使用量経年!$J10,"")</f>
        <v>0</v>
      </c>
      <c r="W9" s="954">
        <f ca="1">IFERROR($K9*44/12*参考2_エネ使用量経年!W10*参考2_エネ使用量経年!$K10,"")</f>
        <v>0</v>
      </c>
      <c r="X9" s="954">
        <f ca="1">IFERROR($H9*44/12*参考2_エネ使用量経年!X10*参考2_エネ使用量経年!$H10,"")</f>
        <v>0</v>
      </c>
      <c r="Y9" s="954">
        <f ca="1">IFERROR($I9*44/12*参考2_エネ使用量経年!Y10*参考2_エネ使用量経年!$I10,"")</f>
        <v>0</v>
      </c>
      <c r="Z9" s="954">
        <f ca="1">IFERROR($J9*44/12*参考2_エネ使用量経年!Z10*参考2_エネ使用量経年!$J10,"")</f>
        <v>0</v>
      </c>
      <c r="AA9" s="954">
        <f ca="1">IFERROR($K9*44/12*参考2_エネ使用量経年!AA10*参考2_エネ使用量経年!$K10,"")</f>
        <v>0</v>
      </c>
      <c r="AB9" s="954" t="str">
        <f ca="1">IFERROR($H9*44/12*参考2_エネ使用量経年!AB10*参考2_エネ使用量経年!$H10,"")</f>
        <v/>
      </c>
      <c r="AC9" s="954" t="str">
        <f ca="1">IFERROR($I9*44/12*参考2_エネ使用量経年!AC10*参考2_エネ使用量経年!$I10,"")</f>
        <v/>
      </c>
      <c r="AD9" s="954" t="str">
        <f ca="1">IFERROR($J9*44/12*参考2_エネ使用量経年!AD10*参考2_エネ使用量経年!$J10,"")</f>
        <v/>
      </c>
      <c r="AE9" s="954" t="str">
        <f ca="1">IFERROR($K9*44/12*参考2_エネ使用量経年!AE10*参考2_エネ使用量経年!$K10,"")</f>
        <v/>
      </c>
      <c r="AF9" s="954" t="str">
        <f ca="1">IFERROR($H9*44/12*参考2_エネ使用量経年!AF10*参考2_エネ使用量経年!$H10,"")</f>
        <v/>
      </c>
      <c r="AG9" s="954" t="str">
        <f ca="1">IFERROR($I9*44/12*参考2_エネ使用量経年!AG10*参考2_エネ使用量経年!$I10,"")</f>
        <v/>
      </c>
      <c r="AH9" s="954" t="str">
        <f ca="1">IFERROR($J9*44/12*参考2_エネ使用量経年!AH10*参考2_エネ使用量経年!$J10,"")</f>
        <v/>
      </c>
      <c r="AI9" s="954" t="str">
        <f ca="1">IFERROR($K9*44/12*参考2_エネ使用量経年!AI10*参考2_エネ使用量経年!$K10,"")</f>
        <v/>
      </c>
      <c r="AJ9" s="954" t="str">
        <f ca="1">IFERROR($H9*44/12*参考2_エネ使用量経年!AJ10*参考2_エネ使用量経年!$H10,"")</f>
        <v/>
      </c>
      <c r="AK9" s="954" t="str">
        <f ca="1">IFERROR($I9*44/12*参考2_エネ使用量経年!AK10*参考2_エネ使用量経年!$I10,"")</f>
        <v/>
      </c>
      <c r="AL9" s="954" t="str">
        <f ca="1">IFERROR($J9*44/12*参考2_エネ使用量経年!AL10*参考2_エネ使用量経年!$J10,"")</f>
        <v/>
      </c>
      <c r="AM9" s="954" t="str">
        <f ca="1">IFERROR($K9*44/12*参考2_エネ使用量経年!AM10*参考2_エネ使用量経年!$K10,"")</f>
        <v/>
      </c>
      <c r="AN9" s="954" t="str">
        <f ca="1">IFERROR($H9*44/12*参考2_エネ使用量経年!AN10*参考2_エネ使用量経年!$H10,"")</f>
        <v/>
      </c>
      <c r="AO9" s="954" t="str">
        <f ca="1">IFERROR($I9*44/12*参考2_エネ使用量経年!AO10*参考2_エネ使用量経年!$I10,"")</f>
        <v/>
      </c>
      <c r="AP9" s="954" t="str">
        <f ca="1">IFERROR($J9*44/12*参考2_エネ使用量経年!AP10*参考2_エネ使用量経年!$J10,"")</f>
        <v/>
      </c>
      <c r="AQ9" s="954" t="str">
        <f ca="1">IFERROR($K9*44/12*参考2_エネ使用量経年!AQ10*参考2_エネ使用量経年!$K10,"")</f>
        <v/>
      </c>
      <c r="AR9" s="954" t="str">
        <f ca="1">IFERROR($H9*44/12*参考2_エネ使用量経年!AR10*参考2_エネ使用量経年!$H10,"")</f>
        <v/>
      </c>
      <c r="AS9" s="954" t="str">
        <f ca="1">IFERROR($I9*44/12*参考2_エネ使用量経年!AS10*参考2_エネ使用量経年!$I10,"")</f>
        <v/>
      </c>
      <c r="AT9" s="954" t="str">
        <f ca="1">IFERROR($J9*44/12*参考2_エネ使用量経年!AT10*参考2_エネ使用量経年!$J10,"")</f>
        <v/>
      </c>
      <c r="AU9" s="954" t="str">
        <f ca="1">IFERROR($K9*44/12*参考2_エネ使用量経年!AU10*参考2_エネ使用量経年!$K10,"")</f>
        <v/>
      </c>
      <c r="AV9" s="954" t="str">
        <f ca="1">IFERROR($H9*44/12*参考2_エネ使用量経年!AV10*参考2_エネ使用量経年!$H10,"")</f>
        <v/>
      </c>
      <c r="AW9" s="954" t="str">
        <f ca="1">IFERROR($I9*44/12*参考2_エネ使用量経年!AW10*参考2_エネ使用量経年!$I10,"")</f>
        <v/>
      </c>
      <c r="AX9" s="954" t="str">
        <f ca="1">IFERROR($J9*44/12*参考2_エネ使用量経年!AX10*参考2_エネ使用量経年!$J10,"")</f>
        <v/>
      </c>
      <c r="AY9" s="954" t="str">
        <f ca="1">IFERROR($K9*44/12*参考2_エネ使用量経年!AY10*参考2_エネ使用量経年!$K10,"")</f>
        <v/>
      </c>
      <c r="AZ9" s="954" t="str">
        <f ca="1">IFERROR($H9*44/12*参考2_エネ使用量経年!AZ10*参考2_エネ使用量経年!$H10,"")</f>
        <v/>
      </c>
      <c r="BA9" s="954" t="str">
        <f ca="1">IFERROR($I9*44/12*参考2_エネ使用量経年!BA10*参考2_エネ使用量経年!$I10,"")</f>
        <v/>
      </c>
      <c r="BB9" s="954" t="str">
        <f ca="1">IFERROR($J9*44/12*参考2_エネ使用量経年!BB10*参考2_エネ使用量経年!$J10,"")</f>
        <v/>
      </c>
      <c r="BC9" s="954" t="str">
        <f ca="1">IFERROR($K9*44/12*参考2_エネ使用量経年!BC10*参考2_エネ使用量経年!$K10,"")</f>
        <v/>
      </c>
      <c r="BD9" s="954" t="str">
        <f ca="1">IFERROR($H9*44/12*参考2_エネ使用量経年!BD10*参考2_エネ使用量経年!$H10,"")</f>
        <v/>
      </c>
      <c r="BE9" s="954" t="str">
        <f ca="1">IFERROR($I9*44/12*参考2_エネ使用量経年!BE10*参考2_エネ使用量経年!$I10,"")</f>
        <v/>
      </c>
      <c r="BF9" s="954" t="str">
        <f ca="1">IFERROR($J9*44/12*参考2_エネ使用量経年!BF10*参考2_エネ使用量経年!$J10,"")</f>
        <v/>
      </c>
      <c r="BG9" s="954" t="str">
        <f ca="1">IFERROR($K9*44/12*参考2_エネ使用量経年!BG10*参考2_エネ使用量経年!$K10,"")</f>
        <v/>
      </c>
      <c r="BH9" s="954" t="str">
        <f ca="1">IFERROR($H9*44/12*参考2_エネ使用量経年!BH10*参考2_エネ使用量経年!$H10,"")</f>
        <v/>
      </c>
      <c r="BI9" s="954" t="str">
        <f ca="1">IFERROR($I9*44/12*参考2_エネ使用量経年!BI10*参考2_エネ使用量経年!$I10,"")</f>
        <v/>
      </c>
      <c r="BJ9" s="954" t="str">
        <f ca="1">IFERROR($J9*44/12*参考2_エネ使用量経年!BJ10*参考2_エネ使用量経年!$J10,"")</f>
        <v/>
      </c>
      <c r="BK9" s="954" t="str">
        <f ca="1">IFERROR($K9*44/12*参考2_エネ使用量経年!BK10*参考2_エネ使用量経年!$K10,"")</f>
        <v/>
      </c>
      <c r="BL9" s="954" t="str">
        <f ca="1">IFERROR($H9*44/12*参考2_エネ使用量経年!BL10*参考2_エネ使用量経年!$H10,"")</f>
        <v/>
      </c>
      <c r="BM9" s="954" t="str">
        <f ca="1">IFERROR($I9*44/12*参考2_エネ使用量経年!BM10*参考2_エネ使用量経年!$I10,"")</f>
        <v/>
      </c>
      <c r="BN9" s="954" t="str">
        <f ca="1">IFERROR($J9*44/12*参考2_エネ使用量経年!BN10*参考2_エネ使用量経年!$J10,"")</f>
        <v/>
      </c>
      <c r="BO9" s="954" t="str">
        <f ca="1">IFERROR($K9*44/12*参考2_エネ使用量経年!BO10*参考2_エネ使用量経年!$K10,"")</f>
        <v/>
      </c>
    </row>
    <row r="10" spans="1:68" ht="20.100000000000001" hidden="1" customHeight="1" outlineLevel="1">
      <c r="A10" s="952">
        <v>10</v>
      </c>
      <c r="B10" s="1871"/>
      <c r="C10" s="1872"/>
      <c r="D10" s="824" t="s">
        <v>4392</v>
      </c>
      <c r="E10" s="824"/>
      <c r="F10" s="825"/>
      <c r="G10" s="891" t="s">
        <v>4685</v>
      </c>
      <c r="H10" s="953">
        <f t="shared" ca="1" si="0"/>
        <v>1.8700000000000001E-2</v>
      </c>
      <c r="I10" s="953">
        <f t="shared" ca="1" si="1"/>
        <v>1.8700000000000001E-2</v>
      </c>
      <c r="J10" s="953">
        <f t="shared" ca="1" si="2"/>
        <v>1.8700000000000001E-2</v>
      </c>
      <c r="K10" s="953">
        <f t="shared" ca="1" si="3"/>
        <v>1.8700000000000001E-2</v>
      </c>
      <c r="L10" s="954">
        <f ca="1">IFERROR($H10*44/12*参考2_エネ使用量経年!L11*参考2_エネ使用量経年!$H11,"")</f>
        <v>0</v>
      </c>
      <c r="M10" s="954">
        <f ca="1">IFERROR($I10*44/12*参考2_エネ使用量経年!M11*参考2_エネ使用量経年!$I11,"")</f>
        <v>0</v>
      </c>
      <c r="N10" s="954">
        <f ca="1">IFERROR($J10*44/12*参考2_エネ使用量経年!N11*参考2_エネ使用量経年!$J11,"")</f>
        <v>0</v>
      </c>
      <c r="O10" s="954">
        <f ca="1">IFERROR($K10*44/12*参考2_エネ使用量経年!O11*参考2_エネ使用量経年!$K11,"")</f>
        <v>0</v>
      </c>
      <c r="P10" s="954">
        <f ca="1">IFERROR($H10*44/12*参考2_エネ使用量経年!P11*参考2_エネ使用量経年!$H11,"")</f>
        <v>0</v>
      </c>
      <c r="Q10" s="954">
        <f ca="1">IFERROR($I10*44/12*参考2_エネ使用量経年!Q11*参考2_エネ使用量経年!$I11,"")</f>
        <v>0</v>
      </c>
      <c r="R10" s="954">
        <f ca="1">IFERROR($J10*44/12*参考2_エネ使用量経年!R11*参考2_エネ使用量経年!$J11,"")</f>
        <v>0</v>
      </c>
      <c r="S10" s="954">
        <f ca="1">IFERROR($K10*44/12*参考2_エネ使用量経年!S11*参考2_エネ使用量経年!$K11,"")</f>
        <v>0</v>
      </c>
      <c r="T10" s="954">
        <f ca="1">IFERROR($H10*44/12*参考2_エネ使用量経年!T11*参考2_エネ使用量経年!$H11,"")</f>
        <v>0</v>
      </c>
      <c r="U10" s="954">
        <f ca="1">IFERROR($I10*44/12*参考2_エネ使用量経年!U11*参考2_エネ使用量経年!$I11,"")</f>
        <v>0</v>
      </c>
      <c r="V10" s="954">
        <f ca="1">IFERROR($J10*44/12*参考2_エネ使用量経年!V11*参考2_エネ使用量経年!$J11,"")</f>
        <v>0</v>
      </c>
      <c r="W10" s="954">
        <f ca="1">IFERROR($K10*44/12*参考2_エネ使用量経年!W11*参考2_エネ使用量経年!$K11,"")</f>
        <v>0</v>
      </c>
      <c r="X10" s="954">
        <f ca="1">IFERROR($H10*44/12*参考2_エネ使用量経年!X11*参考2_エネ使用量経年!$H11,"")</f>
        <v>0</v>
      </c>
      <c r="Y10" s="954">
        <f ca="1">IFERROR($I10*44/12*参考2_エネ使用量経年!Y11*参考2_エネ使用量経年!$I11,"")</f>
        <v>0</v>
      </c>
      <c r="Z10" s="954">
        <f ca="1">IFERROR($J10*44/12*参考2_エネ使用量経年!Z11*参考2_エネ使用量経年!$J11,"")</f>
        <v>0</v>
      </c>
      <c r="AA10" s="954">
        <f ca="1">IFERROR($K10*44/12*参考2_エネ使用量経年!AA11*参考2_エネ使用量経年!$K11,"")</f>
        <v>0</v>
      </c>
      <c r="AB10" s="954" t="str">
        <f ca="1">IFERROR($H10*44/12*参考2_エネ使用量経年!AB11*参考2_エネ使用量経年!$H11,"")</f>
        <v/>
      </c>
      <c r="AC10" s="954" t="str">
        <f ca="1">IFERROR($I10*44/12*参考2_エネ使用量経年!AC11*参考2_エネ使用量経年!$I11,"")</f>
        <v/>
      </c>
      <c r="AD10" s="954" t="str">
        <f ca="1">IFERROR($J10*44/12*参考2_エネ使用量経年!AD11*参考2_エネ使用量経年!$J11,"")</f>
        <v/>
      </c>
      <c r="AE10" s="954" t="str">
        <f ca="1">IFERROR($K10*44/12*参考2_エネ使用量経年!AE11*参考2_エネ使用量経年!$K11,"")</f>
        <v/>
      </c>
      <c r="AF10" s="954" t="str">
        <f ca="1">IFERROR($H10*44/12*参考2_エネ使用量経年!AF11*参考2_エネ使用量経年!$H11,"")</f>
        <v/>
      </c>
      <c r="AG10" s="954" t="str">
        <f ca="1">IFERROR($I10*44/12*参考2_エネ使用量経年!AG11*参考2_エネ使用量経年!$I11,"")</f>
        <v/>
      </c>
      <c r="AH10" s="954" t="str">
        <f ca="1">IFERROR($J10*44/12*参考2_エネ使用量経年!AH11*参考2_エネ使用量経年!$J11,"")</f>
        <v/>
      </c>
      <c r="AI10" s="954" t="str">
        <f ca="1">IFERROR($K10*44/12*参考2_エネ使用量経年!AI11*参考2_エネ使用量経年!$K11,"")</f>
        <v/>
      </c>
      <c r="AJ10" s="954" t="str">
        <f ca="1">IFERROR($H10*44/12*参考2_エネ使用量経年!AJ11*参考2_エネ使用量経年!$H11,"")</f>
        <v/>
      </c>
      <c r="AK10" s="954" t="str">
        <f ca="1">IFERROR($I10*44/12*参考2_エネ使用量経年!AK11*参考2_エネ使用量経年!$I11,"")</f>
        <v/>
      </c>
      <c r="AL10" s="954" t="str">
        <f ca="1">IFERROR($J10*44/12*参考2_エネ使用量経年!AL11*参考2_エネ使用量経年!$J11,"")</f>
        <v/>
      </c>
      <c r="AM10" s="954" t="str">
        <f ca="1">IFERROR($K10*44/12*参考2_エネ使用量経年!AM11*参考2_エネ使用量経年!$K11,"")</f>
        <v/>
      </c>
      <c r="AN10" s="954" t="str">
        <f ca="1">IFERROR($H10*44/12*参考2_エネ使用量経年!AN11*参考2_エネ使用量経年!$H11,"")</f>
        <v/>
      </c>
      <c r="AO10" s="954" t="str">
        <f ca="1">IFERROR($I10*44/12*参考2_エネ使用量経年!AO11*参考2_エネ使用量経年!$I11,"")</f>
        <v/>
      </c>
      <c r="AP10" s="954" t="str">
        <f ca="1">IFERROR($J10*44/12*参考2_エネ使用量経年!AP11*参考2_エネ使用量経年!$J11,"")</f>
        <v/>
      </c>
      <c r="AQ10" s="954" t="str">
        <f ca="1">IFERROR($K10*44/12*参考2_エネ使用量経年!AQ11*参考2_エネ使用量経年!$K11,"")</f>
        <v/>
      </c>
      <c r="AR10" s="954" t="str">
        <f ca="1">IFERROR($H10*44/12*参考2_エネ使用量経年!AR11*参考2_エネ使用量経年!$H11,"")</f>
        <v/>
      </c>
      <c r="AS10" s="954" t="str">
        <f ca="1">IFERROR($I10*44/12*参考2_エネ使用量経年!AS11*参考2_エネ使用量経年!$I11,"")</f>
        <v/>
      </c>
      <c r="AT10" s="954" t="str">
        <f ca="1">IFERROR($J10*44/12*参考2_エネ使用量経年!AT11*参考2_エネ使用量経年!$J11,"")</f>
        <v/>
      </c>
      <c r="AU10" s="954" t="str">
        <f ca="1">IFERROR($K10*44/12*参考2_エネ使用量経年!AU11*参考2_エネ使用量経年!$K11,"")</f>
        <v/>
      </c>
      <c r="AV10" s="954" t="str">
        <f ca="1">IFERROR($H10*44/12*参考2_エネ使用量経年!AV11*参考2_エネ使用量経年!$H11,"")</f>
        <v/>
      </c>
      <c r="AW10" s="954" t="str">
        <f ca="1">IFERROR($I10*44/12*参考2_エネ使用量経年!AW11*参考2_エネ使用量経年!$I11,"")</f>
        <v/>
      </c>
      <c r="AX10" s="954" t="str">
        <f ca="1">IFERROR($J10*44/12*参考2_エネ使用量経年!AX11*参考2_エネ使用量経年!$J11,"")</f>
        <v/>
      </c>
      <c r="AY10" s="954" t="str">
        <f ca="1">IFERROR($K10*44/12*参考2_エネ使用量経年!AY11*参考2_エネ使用量経年!$K11,"")</f>
        <v/>
      </c>
      <c r="AZ10" s="954" t="str">
        <f ca="1">IFERROR($H10*44/12*参考2_エネ使用量経年!AZ11*参考2_エネ使用量経年!$H11,"")</f>
        <v/>
      </c>
      <c r="BA10" s="954" t="str">
        <f ca="1">IFERROR($I10*44/12*参考2_エネ使用量経年!BA11*参考2_エネ使用量経年!$I11,"")</f>
        <v/>
      </c>
      <c r="BB10" s="954" t="str">
        <f ca="1">IFERROR($J10*44/12*参考2_エネ使用量経年!BB11*参考2_エネ使用量経年!$J11,"")</f>
        <v/>
      </c>
      <c r="BC10" s="954" t="str">
        <f ca="1">IFERROR($K10*44/12*参考2_エネ使用量経年!BC11*参考2_エネ使用量経年!$K11,"")</f>
        <v/>
      </c>
      <c r="BD10" s="954" t="str">
        <f ca="1">IFERROR($H10*44/12*参考2_エネ使用量経年!BD11*参考2_エネ使用量経年!$H11,"")</f>
        <v/>
      </c>
      <c r="BE10" s="954" t="str">
        <f ca="1">IFERROR($I10*44/12*参考2_エネ使用量経年!BE11*参考2_エネ使用量経年!$I11,"")</f>
        <v/>
      </c>
      <c r="BF10" s="954" t="str">
        <f ca="1">IFERROR($J10*44/12*参考2_エネ使用量経年!BF11*参考2_エネ使用量経年!$J11,"")</f>
        <v/>
      </c>
      <c r="BG10" s="954" t="str">
        <f ca="1">IFERROR($K10*44/12*参考2_エネ使用量経年!BG11*参考2_エネ使用量経年!$K11,"")</f>
        <v/>
      </c>
      <c r="BH10" s="954" t="str">
        <f ca="1">IFERROR($H10*44/12*参考2_エネ使用量経年!BH11*参考2_エネ使用量経年!$H11,"")</f>
        <v/>
      </c>
      <c r="BI10" s="954" t="str">
        <f ca="1">IFERROR($I10*44/12*参考2_エネ使用量経年!BI11*参考2_エネ使用量経年!$I11,"")</f>
        <v/>
      </c>
      <c r="BJ10" s="954" t="str">
        <f ca="1">IFERROR($J10*44/12*参考2_エネ使用量経年!BJ11*参考2_エネ使用量経年!$J11,"")</f>
        <v/>
      </c>
      <c r="BK10" s="954" t="str">
        <f ca="1">IFERROR($K10*44/12*参考2_エネ使用量経年!BK11*参考2_エネ使用量経年!$K11,"")</f>
        <v/>
      </c>
      <c r="BL10" s="954" t="str">
        <f ca="1">IFERROR($H10*44/12*参考2_エネ使用量経年!BL11*参考2_エネ使用量経年!$H11,"")</f>
        <v/>
      </c>
      <c r="BM10" s="954" t="str">
        <f ca="1">IFERROR($I10*44/12*参考2_エネ使用量経年!BM11*参考2_エネ使用量経年!$I11,"")</f>
        <v/>
      </c>
      <c r="BN10" s="954" t="str">
        <f ca="1">IFERROR($J10*44/12*参考2_エネ使用量経年!BN11*参考2_エネ使用量経年!$J11,"")</f>
        <v/>
      </c>
      <c r="BO10" s="954" t="str">
        <f ca="1">IFERROR($K10*44/12*参考2_エネ使用量経年!BO11*参考2_エネ使用量経年!$K11,"")</f>
        <v/>
      </c>
    </row>
    <row r="11" spans="1:68" ht="20.100000000000001" hidden="1" customHeight="1" outlineLevel="1">
      <c r="A11" s="952">
        <v>11</v>
      </c>
      <c r="B11" s="1870"/>
      <c r="C11" s="1872"/>
      <c r="D11" s="824" t="s">
        <v>4147</v>
      </c>
      <c r="E11" s="824"/>
      <c r="F11" s="825"/>
      <c r="G11" s="891" t="s">
        <v>4685</v>
      </c>
      <c r="H11" s="953">
        <f t="shared" ca="1" si="0"/>
        <v>1.8599999999999998E-2</v>
      </c>
      <c r="I11" s="953">
        <f t="shared" ca="1" si="1"/>
        <v>1.8599999999999998E-2</v>
      </c>
      <c r="J11" s="953">
        <f t="shared" ca="1" si="2"/>
        <v>1.8599999999999998E-2</v>
      </c>
      <c r="K11" s="953">
        <f t="shared" ca="1" si="3"/>
        <v>1.8599999999999998E-2</v>
      </c>
      <c r="L11" s="954">
        <f ca="1">IFERROR($H11*44/12*参考2_エネ使用量経年!L12*参考2_エネ使用量経年!$H12,"")</f>
        <v>0</v>
      </c>
      <c r="M11" s="954">
        <f ca="1">IFERROR($I11*44/12*参考2_エネ使用量経年!M12*参考2_エネ使用量経年!$I12,"")</f>
        <v>0</v>
      </c>
      <c r="N11" s="954">
        <f ca="1">IFERROR($J11*44/12*参考2_エネ使用量経年!N12*参考2_エネ使用量経年!$J12,"")</f>
        <v>0</v>
      </c>
      <c r="O11" s="954">
        <f ca="1">IFERROR($K11*44/12*参考2_エネ使用量経年!O12*参考2_エネ使用量経年!$K12,"")</f>
        <v>0</v>
      </c>
      <c r="P11" s="954">
        <f ca="1">IFERROR($H11*44/12*参考2_エネ使用量経年!P12*参考2_エネ使用量経年!$H12,"")</f>
        <v>0</v>
      </c>
      <c r="Q11" s="954">
        <f ca="1">IFERROR($I11*44/12*参考2_エネ使用量経年!Q12*参考2_エネ使用量経年!$I12,"")</f>
        <v>0</v>
      </c>
      <c r="R11" s="954">
        <f ca="1">IFERROR($J11*44/12*参考2_エネ使用量経年!R12*参考2_エネ使用量経年!$J12,"")</f>
        <v>0</v>
      </c>
      <c r="S11" s="954">
        <f ca="1">IFERROR($K11*44/12*参考2_エネ使用量経年!S12*参考2_エネ使用量経年!$K12,"")</f>
        <v>0</v>
      </c>
      <c r="T11" s="954">
        <f ca="1">IFERROR($H11*44/12*参考2_エネ使用量経年!T12*参考2_エネ使用量経年!$H12,"")</f>
        <v>0</v>
      </c>
      <c r="U11" s="954">
        <f ca="1">IFERROR($I11*44/12*参考2_エネ使用量経年!U12*参考2_エネ使用量経年!$I12,"")</f>
        <v>0</v>
      </c>
      <c r="V11" s="954">
        <f ca="1">IFERROR($J11*44/12*参考2_エネ使用量経年!V12*参考2_エネ使用量経年!$J12,"")</f>
        <v>0</v>
      </c>
      <c r="W11" s="954">
        <f ca="1">IFERROR($K11*44/12*参考2_エネ使用量経年!W12*参考2_エネ使用量経年!$K12,"")</f>
        <v>0</v>
      </c>
      <c r="X11" s="954">
        <f ca="1">IFERROR($H11*44/12*参考2_エネ使用量経年!X12*参考2_エネ使用量経年!$H12,"")</f>
        <v>0</v>
      </c>
      <c r="Y11" s="954">
        <f ca="1">IFERROR($I11*44/12*参考2_エネ使用量経年!Y12*参考2_エネ使用量経年!$I12,"")</f>
        <v>0</v>
      </c>
      <c r="Z11" s="954">
        <f ca="1">IFERROR($J11*44/12*参考2_エネ使用量経年!Z12*参考2_エネ使用量経年!$J12,"")</f>
        <v>0</v>
      </c>
      <c r="AA11" s="954">
        <f ca="1">IFERROR($K11*44/12*参考2_エネ使用量経年!AA12*参考2_エネ使用量経年!$K12,"")</f>
        <v>0</v>
      </c>
      <c r="AB11" s="954" t="str">
        <f ca="1">IFERROR($H11*44/12*参考2_エネ使用量経年!AB12*参考2_エネ使用量経年!$H12,"")</f>
        <v/>
      </c>
      <c r="AC11" s="954" t="str">
        <f ca="1">IFERROR($I11*44/12*参考2_エネ使用量経年!AC12*参考2_エネ使用量経年!$I12,"")</f>
        <v/>
      </c>
      <c r="AD11" s="954" t="str">
        <f ca="1">IFERROR($J11*44/12*参考2_エネ使用量経年!AD12*参考2_エネ使用量経年!$J12,"")</f>
        <v/>
      </c>
      <c r="AE11" s="954" t="str">
        <f ca="1">IFERROR($K11*44/12*参考2_エネ使用量経年!AE12*参考2_エネ使用量経年!$K12,"")</f>
        <v/>
      </c>
      <c r="AF11" s="954" t="str">
        <f ca="1">IFERROR($H11*44/12*参考2_エネ使用量経年!AF12*参考2_エネ使用量経年!$H12,"")</f>
        <v/>
      </c>
      <c r="AG11" s="954" t="str">
        <f ca="1">IFERROR($I11*44/12*参考2_エネ使用量経年!AG12*参考2_エネ使用量経年!$I12,"")</f>
        <v/>
      </c>
      <c r="AH11" s="954" t="str">
        <f ca="1">IFERROR($J11*44/12*参考2_エネ使用量経年!AH12*参考2_エネ使用量経年!$J12,"")</f>
        <v/>
      </c>
      <c r="AI11" s="954" t="str">
        <f ca="1">IFERROR($K11*44/12*参考2_エネ使用量経年!AI12*参考2_エネ使用量経年!$K12,"")</f>
        <v/>
      </c>
      <c r="AJ11" s="954" t="str">
        <f ca="1">IFERROR($H11*44/12*参考2_エネ使用量経年!AJ12*参考2_エネ使用量経年!$H12,"")</f>
        <v/>
      </c>
      <c r="AK11" s="954" t="str">
        <f ca="1">IFERROR($I11*44/12*参考2_エネ使用量経年!AK12*参考2_エネ使用量経年!$I12,"")</f>
        <v/>
      </c>
      <c r="AL11" s="954" t="str">
        <f ca="1">IFERROR($J11*44/12*参考2_エネ使用量経年!AL12*参考2_エネ使用量経年!$J12,"")</f>
        <v/>
      </c>
      <c r="AM11" s="954" t="str">
        <f ca="1">IFERROR($K11*44/12*参考2_エネ使用量経年!AM12*参考2_エネ使用量経年!$K12,"")</f>
        <v/>
      </c>
      <c r="AN11" s="954" t="str">
        <f ca="1">IFERROR($H11*44/12*参考2_エネ使用量経年!AN12*参考2_エネ使用量経年!$H12,"")</f>
        <v/>
      </c>
      <c r="AO11" s="954" t="str">
        <f ca="1">IFERROR($I11*44/12*参考2_エネ使用量経年!AO12*参考2_エネ使用量経年!$I12,"")</f>
        <v/>
      </c>
      <c r="AP11" s="954" t="str">
        <f ca="1">IFERROR($J11*44/12*参考2_エネ使用量経年!AP12*参考2_エネ使用量経年!$J12,"")</f>
        <v/>
      </c>
      <c r="AQ11" s="954" t="str">
        <f ca="1">IFERROR($K11*44/12*参考2_エネ使用量経年!AQ12*参考2_エネ使用量経年!$K12,"")</f>
        <v/>
      </c>
      <c r="AR11" s="954" t="str">
        <f ca="1">IFERROR($H11*44/12*参考2_エネ使用量経年!AR12*参考2_エネ使用量経年!$H12,"")</f>
        <v/>
      </c>
      <c r="AS11" s="954" t="str">
        <f ca="1">IFERROR($I11*44/12*参考2_エネ使用量経年!AS12*参考2_エネ使用量経年!$I12,"")</f>
        <v/>
      </c>
      <c r="AT11" s="954" t="str">
        <f ca="1">IFERROR($J11*44/12*参考2_エネ使用量経年!AT12*参考2_エネ使用量経年!$J12,"")</f>
        <v/>
      </c>
      <c r="AU11" s="954" t="str">
        <f ca="1">IFERROR($K11*44/12*参考2_エネ使用量経年!AU12*参考2_エネ使用量経年!$K12,"")</f>
        <v/>
      </c>
      <c r="AV11" s="954" t="str">
        <f ca="1">IFERROR($H11*44/12*参考2_エネ使用量経年!AV12*参考2_エネ使用量経年!$H12,"")</f>
        <v/>
      </c>
      <c r="AW11" s="954" t="str">
        <f ca="1">IFERROR($I11*44/12*参考2_エネ使用量経年!AW12*参考2_エネ使用量経年!$I12,"")</f>
        <v/>
      </c>
      <c r="AX11" s="954" t="str">
        <f ca="1">IFERROR($J11*44/12*参考2_エネ使用量経年!AX12*参考2_エネ使用量経年!$J12,"")</f>
        <v/>
      </c>
      <c r="AY11" s="954" t="str">
        <f ca="1">IFERROR($K11*44/12*参考2_エネ使用量経年!AY12*参考2_エネ使用量経年!$K12,"")</f>
        <v/>
      </c>
      <c r="AZ11" s="954" t="str">
        <f ca="1">IFERROR($H11*44/12*参考2_エネ使用量経年!AZ12*参考2_エネ使用量経年!$H12,"")</f>
        <v/>
      </c>
      <c r="BA11" s="954" t="str">
        <f ca="1">IFERROR($I11*44/12*参考2_エネ使用量経年!BA12*参考2_エネ使用量経年!$I12,"")</f>
        <v/>
      </c>
      <c r="BB11" s="954" t="str">
        <f ca="1">IFERROR($J11*44/12*参考2_エネ使用量経年!BB12*参考2_エネ使用量経年!$J12,"")</f>
        <v/>
      </c>
      <c r="BC11" s="954" t="str">
        <f ca="1">IFERROR($K11*44/12*参考2_エネ使用量経年!BC12*参考2_エネ使用量経年!$K12,"")</f>
        <v/>
      </c>
      <c r="BD11" s="954" t="str">
        <f ca="1">IFERROR($H11*44/12*参考2_エネ使用量経年!BD12*参考2_エネ使用量経年!$H12,"")</f>
        <v/>
      </c>
      <c r="BE11" s="954" t="str">
        <f ca="1">IFERROR($I11*44/12*参考2_エネ使用量経年!BE12*参考2_エネ使用量経年!$I12,"")</f>
        <v/>
      </c>
      <c r="BF11" s="954" t="str">
        <f ca="1">IFERROR($J11*44/12*参考2_エネ使用量経年!BF12*参考2_エネ使用量経年!$J12,"")</f>
        <v/>
      </c>
      <c r="BG11" s="954" t="str">
        <f ca="1">IFERROR($K11*44/12*参考2_エネ使用量経年!BG12*参考2_エネ使用量経年!$K12,"")</f>
        <v/>
      </c>
      <c r="BH11" s="954" t="str">
        <f ca="1">IFERROR($H11*44/12*参考2_エネ使用量経年!BH12*参考2_エネ使用量経年!$H12,"")</f>
        <v/>
      </c>
      <c r="BI11" s="954" t="str">
        <f ca="1">IFERROR($I11*44/12*参考2_エネ使用量経年!BI12*参考2_エネ使用量経年!$I12,"")</f>
        <v/>
      </c>
      <c r="BJ11" s="954" t="str">
        <f ca="1">IFERROR($J11*44/12*参考2_エネ使用量経年!BJ12*参考2_エネ使用量経年!$J12,"")</f>
        <v/>
      </c>
      <c r="BK11" s="954" t="str">
        <f ca="1">IFERROR($K11*44/12*参考2_エネ使用量経年!BK12*参考2_エネ使用量経年!$K12,"")</f>
        <v/>
      </c>
      <c r="BL11" s="954" t="str">
        <f ca="1">IFERROR($H11*44/12*参考2_エネ使用量経年!BL12*参考2_エネ使用量経年!$H12,"")</f>
        <v/>
      </c>
      <c r="BM11" s="954" t="str">
        <f ca="1">IFERROR($I11*44/12*参考2_エネ使用量経年!BM12*参考2_エネ使用量経年!$I12,"")</f>
        <v/>
      </c>
      <c r="BN11" s="954" t="str">
        <f ca="1">IFERROR($J11*44/12*参考2_エネ使用量経年!BN12*参考2_エネ使用量経年!$J12,"")</f>
        <v/>
      </c>
      <c r="BO11" s="954" t="str">
        <f ca="1">IFERROR($K11*44/12*参考2_エネ使用量経年!BO12*参考2_エネ使用量経年!$K12,"")</f>
        <v/>
      </c>
    </row>
    <row r="12" spans="1:68" ht="20.100000000000001" hidden="1" customHeight="1" outlineLevel="1">
      <c r="A12" s="952">
        <v>12</v>
      </c>
      <c r="B12" s="1870"/>
      <c r="C12" s="1872"/>
      <c r="D12" s="824" t="s">
        <v>4393</v>
      </c>
      <c r="E12" s="824"/>
      <c r="F12" s="825"/>
      <c r="G12" s="891" t="s">
        <v>4685</v>
      </c>
      <c r="H12" s="953">
        <f t="shared" ca="1" si="0"/>
        <v>1.8599999999999998E-2</v>
      </c>
      <c r="I12" s="953">
        <f t="shared" ca="1" si="1"/>
        <v>1.8599999999999998E-2</v>
      </c>
      <c r="J12" s="953">
        <f t="shared" ca="1" si="2"/>
        <v>1.8599999999999998E-2</v>
      </c>
      <c r="K12" s="953">
        <f t="shared" ca="1" si="3"/>
        <v>1.8599999999999998E-2</v>
      </c>
      <c r="L12" s="954">
        <f ca="1">IFERROR($H12*44/12*参考2_エネ使用量経年!L13*参考2_エネ使用量経年!$H13,"")</f>
        <v>0</v>
      </c>
      <c r="M12" s="954">
        <f ca="1">IFERROR($I12*44/12*参考2_エネ使用量経年!M13*参考2_エネ使用量経年!$I13,"")</f>
        <v>0</v>
      </c>
      <c r="N12" s="954">
        <f ca="1">IFERROR($J12*44/12*参考2_エネ使用量経年!N13*参考2_エネ使用量経年!$J13,"")</f>
        <v>0</v>
      </c>
      <c r="O12" s="954">
        <f ca="1">IFERROR($K12*44/12*参考2_エネ使用量経年!O13*参考2_エネ使用量経年!$K13,"")</f>
        <v>0</v>
      </c>
      <c r="P12" s="954">
        <f ca="1">IFERROR($H12*44/12*参考2_エネ使用量経年!P13*参考2_エネ使用量経年!$H13,"")</f>
        <v>0</v>
      </c>
      <c r="Q12" s="954">
        <f ca="1">IFERROR($I12*44/12*参考2_エネ使用量経年!Q13*参考2_エネ使用量経年!$I13,"")</f>
        <v>0</v>
      </c>
      <c r="R12" s="954">
        <f ca="1">IFERROR($J12*44/12*参考2_エネ使用量経年!R13*参考2_エネ使用量経年!$J13,"")</f>
        <v>0</v>
      </c>
      <c r="S12" s="954">
        <f ca="1">IFERROR($K12*44/12*参考2_エネ使用量経年!S13*参考2_エネ使用量経年!$K13,"")</f>
        <v>0</v>
      </c>
      <c r="T12" s="954">
        <f ca="1">IFERROR($H12*44/12*参考2_エネ使用量経年!T13*参考2_エネ使用量経年!$H13,"")</f>
        <v>0</v>
      </c>
      <c r="U12" s="954">
        <f ca="1">IFERROR($I12*44/12*参考2_エネ使用量経年!U13*参考2_エネ使用量経年!$I13,"")</f>
        <v>0</v>
      </c>
      <c r="V12" s="954">
        <f ca="1">IFERROR($J12*44/12*参考2_エネ使用量経年!V13*参考2_エネ使用量経年!$J13,"")</f>
        <v>0</v>
      </c>
      <c r="W12" s="954">
        <f ca="1">IFERROR($K12*44/12*参考2_エネ使用量経年!W13*参考2_エネ使用量経年!$K13,"")</f>
        <v>0</v>
      </c>
      <c r="X12" s="954">
        <f ca="1">IFERROR($H12*44/12*参考2_エネ使用量経年!X13*参考2_エネ使用量経年!$H13,"")</f>
        <v>0</v>
      </c>
      <c r="Y12" s="954">
        <f ca="1">IFERROR($I12*44/12*参考2_エネ使用量経年!Y13*参考2_エネ使用量経年!$I13,"")</f>
        <v>0</v>
      </c>
      <c r="Z12" s="954">
        <f ca="1">IFERROR($J12*44/12*参考2_エネ使用量経年!Z13*参考2_エネ使用量経年!$J13,"")</f>
        <v>0</v>
      </c>
      <c r="AA12" s="954">
        <f ca="1">IFERROR($K12*44/12*参考2_エネ使用量経年!AA13*参考2_エネ使用量経年!$K13,"")</f>
        <v>0</v>
      </c>
      <c r="AB12" s="954" t="str">
        <f ca="1">IFERROR($H12*44/12*参考2_エネ使用量経年!AB13*参考2_エネ使用量経年!$H13,"")</f>
        <v/>
      </c>
      <c r="AC12" s="954" t="str">
        <f ca="1">IFERROR($I12*44/12*参考2_エネ使用量経年!AC13*参考2_エネ使用量経年!$I13,"")</f>
        <v/>
      </c>
      <c r="AD12" s="954" t="str">
        <f ca="1">IFERROR($J12*44/12*参考2_エネ使用量経年!AD13*参考2_エネ使用量経年!$J13,"")</f>
        <v/>
      </c>
      <c r="AE12" s="954" t="str">
        <f ca="1">IFERROR($K12*44/12*参考2_エネ使用量経年!AE13*参考2_エネ使用量経年!$K13,"")</f>
        <v/>
      </c>
      <c r="AF12" s="954" t="str">
        <f ca="1">IFERROR($H12*44/12*参考2_エネ使用量経年!AF13*参考2_エネ使用量経年!$H13,"")</f>
        <v/>
      </c>
      <c r="AG12" s="954" t="str">
        <f ca="1">IFERROR($I12*44/12*参考2_エネ使用量経年!AG13*参考2_エネ使用量経年!$I13,"")</f>
        <v/>
      </c>
      <c r="AH12" s="954" t="str">
        <f ca="1">IFERROR($J12*44/12*参考2_エネ使用量経年!AH13*参考2_エネ使用量経年!$J13,"")</f>
        <v/>
      </c>
      <c r="AI12" s="954" t="str">
        <f ca="1">IFERROR($K12*44/12*参考2_エネ使用量経年!AI13*参考2_エネ使用量経年!$K13,"")</f>
        <v/>
      </c>
      <c r="AJ12" s="954" t="str">
        <f ca="1">IFERROR($H12*44/12*参考2_エネ使用量経年!AJ13*参考2_エネ使用量経年!$H13,"")</f>
        <v/>
      </c>
      <c r="AK12" s="954" t="str">
        <f ca="1">IFERROR($I12*44/12*参考2_エネ使用量経年!AK13*参考2_エネ使用量経年!$I13,"")</f>
        <v/>
      </c>
      <c r="AL12" s="954" t="str">
        <f ca="1">IFERROR($J12*44/12*参考2_エネ使用量経年!AL13*参考2_エネ使用量経年!$J13,"")</f>
        <v/>
      </c>
      <c r="AM12" s="954" t="str">
        <f ca="1">IFERROR($K12*44/12*参考2_エネ使用量経年!AM13*参考2_エネ使用量経年!$K13,"")</f>
        <v/>
      </c>
      <c r="AN12" s="954" t="str">
        <f ca="1">IFERROR($H12*44/12*参考2_エネ使用量経年!AN13*参考2_エネ使用量経年!$H13,"")</f>
        <v/>
      </c>
      <c r="AO12" s="954" t="str">
        <f ca="1">IFERROR($I12*44/12*参考2_エネ使用量経年!AO13*参考2_エネ使用量経年!$I13,"")</f>
        <v/>
      </c>
      <c r="AP12" s="954" t="str">
        <f ca="1">IFERROR($J12*44/12*参考2_エネ使用量経年!AP13*参考2_エネ使用量経年!$J13,"")</f>
        <v/>
      </c>
      <c r="AQ12" s="954" t="str">
        <f ca="1">IFERROR($K12*44/12*参考2_エネ使用量経年!AQ13*参考2_エネ使用量経年!$K13,"")</f>
        <v/>
      </c>
      <c r="AR12" s="954" t="str">
        <f ca="1">IFERROR($H12*44/12*参考2_エネ使用量経年!AR13*参考2_エネ使用量経年!$H13,"")</f>
        <v/>
      </c>
      <c r="AS12" s="954" t="str">
        <f ca="1">IFERROR($I12*44/12*参考2_エネ使用量経年!AS13*参考2_エネ使用量経年!$I13,"")</f>
        <v/>
      </c>
      <c r="AT12" s="954" t="str">
        <f ca="1">IFERROR($J12*44/12*参考2_エネ使用量経年!AT13*参考2_エネ使用量経年!$J13,"")</f>
        <v/>
      </c>
      <c r="AU12" s="954" t="str">
        <f ca="1">IFERROR($K12*44/12*参考2_エネ使用量経年!AU13*参考2_エネ使用量経年!$K13,"")</f>
        <v/>
      </c>
      <c r="AV12" s="954" t="str">
        <f ca="1">IFERROR($H12*44/12*参考2_エネ使用量経年!AV13*参考2_エネ使用量経年!$H13,"")</f>
        <v/>
      </c>
      <c r="AW12" s="954" t="str">
        <f ca="1">IFERROR($I12*44/12*参考2_エネ使用量経年!AW13*参考2_エネ使用量経年!$I13,"")</f>
        <v/>
      </c>
      <c r="AX12" s="954" t="str">
        <f ca="1">IFERROR($J12*44/12*参考2_エネ使用量経年!AX13*参考2_エネ使用量経年!$J13,"")</f>
        <v/>
      </c>
      <c r="AY12" s="954" t="str">
        <f ca="1">IFERROR($K12*44/12*参考2_エネ使用量経年!AY13*参考2_エネ使用量経年!$K13,"")</f>
        <v/>
      </c>
      <c r="AZ12" s="954" t="str">
        <f ca="1">IFERROR($H12*44/12*参考2_エネ使用量経年!AZ13*参考2_エネ使用量経年!$H13,"")</f>
        <v/>
      </c>
      <c r="BA12" s="954" t="str">
        <f ca="1">IFERROR($I12*44/12*参考2_エネ使用量経年!BA13*参考2_エネ使用量経年!$I13,"")</f>
        <v/>
      </c>
      <c r="BB12" s="954" t="str">
        <f ca="1">IFERROR($J12*44/12*参考2_エネ使用量経年!BB13*参考2_エネ使用量経年!$J13,"")</f>
        <v/>
      </c>
      <c r="BC12" s="954" t="str">
        <f ca="1">IFERROR($K12*44/12*参考2_エネ使用量経年!BC13*参考2_エネ使用量経年!$K13,"")</f>
        <v/>
      </c>
      <c r="BD12" s="954" t="str">
        <f ca="1">IFERROR($H12*44/12*参考2_エネ使用量経年!BD13*参考2_エネ使用量経年!$H13,"")</f>
        <v/>
      </c>
      <c r="BE12" s="954" t="str">
        <f ca="1">IFERROR($I12*44/12*参考2_エネ使用量経年!BE13*参考2_エネ使用量経年!$I13,"")</f>
        <v/>
      </c>
      <c r="BF12" s="954" t="str">
        <f ca="1">IFERROR($J12*44/12*参考2_エネ使用量経年!BF13*参考2_エネ使用量経年!$J13,"")</f>
        <v/>
      </c>
      <c r="BG12" s="954" t="str">
        <f ca="1">IFERROR($K12*44/12*参考2_エネ使用量経年!BG13*参考2_エネ使用量経年!$K13,"")</f>
        <v/>
      </c>
      <c r="BH12" s="954" t="str">
        <f ca="1">IFERROR($H12*44/12*参考2_エネ使用量経年!BH13*参考2_エネ使用量経年!$H13,"")</f>
        <v/>
      </c>
      <c r="BI12" s="954" t="str">
        <f ca="1">IFERROR($I12*44/12*参考2_エネ使用量経年!BI13*参考2_エネ使用量経年!$I13,"")</f>
        <v/>
      </c>
      <c r="BJ12" s="954" t="str">
        <f ca="1">IFERROR($J12*44/12*参考2_エネ使用量経年!BJ13*参考2_エネ使用量経年!$J13,"")</f>
        <v/>
      </c>
      <c r="BK12" s="954" t="str">
        <f ca="1">IFERROR($K12*44/12*参考2_エネ使用量経年!BK13*参考2_エネ使用量経年!$K13,"")</f>
        <v/>
      </c>
      <c r="BL12" s="954" t="str">
        <f ca="1">IFERROR($H12*44/12*参考2_エネ使用量経年!BL13*参考2_エネ使用量経年!$H13,"")</f>
        <v/>
      </c>
      <c r="BM12" s="954" t="str">
        <f ca="1">IFERROR($I12*44/12*参考2_エネ使用量経年!BM13*参考2_エネ使用量経年!$I13,"")</f>
        <v/>
      </c>
      <c r="BN12" s="954" t="str">
        <f ca="1">IFERROR($J12*44/12*参考2_エネ使用量経年!BN13*参考2_エネ使用量経年!$J13,"")</f>
        <v/>
      </c>
      <c r="BO12" s="954" t="str">
        <f ca="1">IFERROR($K12*44/12*参考2_エネ使用量経年!BO13*参考2_エネ使用量経年!$K13,"")</f>
        <v/>
      </c>
    </row>
    <row r="13" spans="1:68" ht="20.100000000000001" hidden="1" customHeight="1" outlineLevel="1">
      <c r="A13" s="952">
        <v>13</v>
      </c>
      <c r="B13" s="1871"/>
      <c r="C13" s="1872"/>
      <c r="D13" s="824" t="s">
        <v>4149</v>
      </c>
      <c r="E13" s="824"/>
      <c r="F13" s="825"/>
      <c r="G13" s="891" t="s">
        <v>4685</v>
      </c>
      <c r="H13" s="953">
        <f t="shared" ca="1" si="0"/>
        <v>1.8700000000000001E-2</v>
      </c>
      <c r="I13" s="953">
        <f t="shared" ca="1" si="1"/>
        <v>1.8700000000000001E-2</v>
      </c>
      <c r="J13" s="953">
        <f t="shared" ca="1" si="2"/>
        <v>1.8700000000000001E-2</v>
      </c>
      <c r="K13" s="953">
        <f t="shared" ca="1" si="3"/>
        <v>1.8700000000000001E-2</v>
      </c>
      <c r="L13" s="954">
        <f ca="1">IFERROR($H13*44/12*参考2_エネ使用量経年!L14*参考2_エネ使用量経年!$H14,"")</f>
        <v>0</v>
      </c>
      <c r="M13" s="954">
        <f ca="1">IFERROR($I13*44/12*参考2_エネ使用量経年!M14*参考2_エネ使用量経年!$I14,"")</f>
        <v>0</v>
      </c>
      <c r="N13" s="954">
        <f ca="1">IFERROR($J13*44/12*参考2_エネ使用量経年!N14*参考2_エネ使用量経年!$J14,"")</f>
        <v>0</v>
      </c>
      <c r="O13" s="954">
        <f ca="1">IFERROR($K13*44/12*参考2_エネ使用量経年!O14*参考2_エネ使用量経年!$K14,"")</f>
        <v>0</v>
      </c>
      <c r="P13" s="954">
        <f ca="1">IFERROR($H13*44/12*参考2_エネ使用量経年!P14*参考2_エネ使用量経年!$H14,"")</f>
        <v>0</v>
      </c>
      <c r="Q13" s="954">
        <f ca="1">IFERROR($I13*44/12*参考2_エネ使用量経年!Q14*参考2_エネ使用量経年!$I14,"")</f>
        <v>0</v>
      </c>
      <c r="R13" s="954">
        <f ca="1">IFERROR($J13*44/12*参考2_エネ使用量経年!R14*参考2_エネ使用量経年!$J14,"")</f>
        <v>0</v>
      </c>
      <c r="S13" s="954">
        <f ca="1">IFERROR($K13*44/12*参考2_エネ使用量経年!S14*参考2_エネ使用量経年!$K14,"")</f>
        <v>0</v>
      </c>
      <c r="T13" s="954">
        <f ca="1">IFERROR($H13*44/12*参考2_エネ使用量経年!T14*参考2_エネ使用量経年!$H14,"")</f>
        <v>0</v>
      </c>
      <c r="U13" s="954">
        <f ca="1">IFERROR($I13*44/12*参考2_エネ使用量経年!U14*参考2_エネ使用量経年!$I14,"")</f>
        <v>0</v>
      </c>
      <c r="V13" s="954">
        <f ca="1">IFERROR($J13*44/12*参考2_エネ使用量経年!V14*参考2_エネ使用量経年!$J14,"")</f>
        <v>0</v>
      </c>
      <c r="W13" s="954">
        <f ca="1">IFERROR($K13*44/12*参考2_エネ使用量経年!W14*参考2_エネ使用量経年!$K14,"")</f>
        <v>0</v>
      </c>
      <c r="X13" s="954">
        <f ca="1">IFERROR($H13*44/12*参考2_エネ使用量経年!X14*参考2_エネ使用量経年!$H14,"")</f>
        <v>0</v>
      </c>
      <c r="Y13" s="954">
        <f ca="1">IFERROR($I13*44/12*参考2_エネ使用量経年!Y14*参考2_エネ使用量経年!$I14,"")</f>
        <v>0</v>
      </c>
      <c r="Z13" s="954">
        <f ca="1">IFERROR($J13*44/12*参考2_エネ使用量経年!Z14*参考2_エネ使用量経年!$J14,"")</f>
        <v>0</v>
      </c>
      <c r="AA13" s="954">
        <f ca="1">IFERROR($K13*44/12*参考2_エネ使用量経年!AA14*参考2_エネ使用量経年!$K14,"")</f>
        <v>0</v>
      </c>
      <c r="AB13" s="954" t="str">
        <f ca="1">IFERROR($H13*44/12*参考2_エネ使用量経年!AB14*参考2_エネ使用量経年!$H14,"")</f>
        <v/>
      </c>
      <c r="AC13" s="954" t="str">
        <f ca="1">IFERROR($I13*44/12*参考2_エネ使用量経年!AC14*参考2_エネ使用量経年!$I14,"")</f>
        <v/>
      </c>
      <c r="AD13" s="954" t="str">
        <f ca="1">IFERROR($J13*44/12*参考2_エネ使用量経年!AD14*参考2_エネ使用量経年!$J14,"")</f>
        <v/>
      </c>
      <c r="AE13" s="954" t="str">
        <f ca="1">IFERROR($K13*44/12*参考2_エネ使用量経年!AE14*参考2_エネ使用量経年!$K14,"")</f>
        <v/>
      </c>
      <c r="AF13" s="954" t="str">
        <f ca="1">IFERROR($H13*44/12*参考2_エネ使用量経年!AF14*参考2_エネ使用量経年!$H14,"")</f>
        <v/>
      </c>
      <c r="AG13" s="954" t="str">
        <f ca="1">IFERROR($I13*44/12*参考2_エネ使用量経年!AG14*参考2_エネ使用量経年!$I14,"")</f>
        <v/>
      </c>
      <c r="AH13" s="954" t="str">
        <f ca="1">IFERROR($J13*44/12*参考2_エネ使用量経年!AH14*参考2_エネ使用量経年!$J14,"")</f>
        <v/>
      </c>
      <c r="AI13" s="954" t="str">
        <f ca="1">IFERROR($K13*44/12*参考2_エネ使用量経年!AI14*参考2_エネ使用量経年!$K14,"")</f>
        <v/>
      </c>
      <c r="AJ13" s="954" t="str">
        <f ca="1">IFERROR($H13*44/12*参考2_エネ使用量経年!AJ14*参考2_エネ使用量経年!$H14,"")</f>
        <v/>
      </c>
      <c r="AK13" s="954" t="str">
        <f ca="1">IFERROR($I13*44/12*参考2_エネ使用量経年!AK14*参考2_エネ使用量経年!$I14,"")</f>
        <v/>
      </c>
      <c r="AL13" s="954" t="str">
        <f ca="1">IFERROR($J13*44/12*参考2_エネ使用量経年!AL14*参考2_エネ使用量経年!$J14,"")</f>
        <v/>
      </c>
      <c r="AM13" s="954" t="str">
        <f ca="1">IFERROR($K13*44/12*参考2_エネ使用量経年!AM14*参考2_エネ使用量経年!$K14,"")</f>
        <v/>
      </c>
      <c r="AN13" s="954" t="str">
        <f ca="1">IFERROR($H13*44/12*参考2_エネ使用量経年!AN14*参考2_エネ使用量経年!$H14,"")</f>
        <v/>
      </c>
      <c r="AO13" s="954" t="str">
        <f ca="1">IFERROR($I13*44/12*参考2_エネ使用量経年!AO14*参考2_エネ使用量経年!$I14,"")</f>
        <v/>
      </c>
      <c r="AP13" s="954" t="str">
        <f ca="1">IFERROR($J13*44/12*参考2_エネ使用量経年!AP14*参考2_エネ使用量経年!$J14,"")</f>
        <v/>
      </c>
      <c r="AQ13" s="954" t="str">
        <f ca="1">IFERROR($K13*44/12*参考2_エネ使用量経年!AQ14*参考2_エネ使用量経年!$K14,"")</f>
        <v/>
      </c>
      <c r="AR13" s="954" t="str">
        <f ca="1">IFERROR($H13*44/12*参考2_エネ使用量経年!AR14*参考2_エネ使用量経年!$H14,"")</f>
        <v/>
      </c>
      <c r="AS13" s="954" t="str">
        <f ca="1">IFERROR($I13*44/12*参考2_エネ使用量経年!AS14*参考2_エネ使用量経年!$I14,"")</f>
        <v/>
      </c>
      <c r="AT13" s="954" t="str">
        <f ca="1">IFERROR($J13*44/12*参考2_エネ使用量経年!AT14*参考2_エネ使用量経年!$J14,"")</f>
        <v/>
      </c>
      <c r="AU13" s="954" t="str">
        <f ca="1">IFERROR($K13*44/12*参考2_エネ使用量経年!AU14*参考2_エネ使用量経年!$K14,"")</f>
        <v/>
      </c>
      <c r="AV13" s="954" t="str">
        <f ca="1">IFERROR($H13*44/12*参考2_エネ使用量経年!AV14*参考2_エネ使用量経年!$H14,"")</f>
        <v/>
      </c>
      <c r="AW13" s="954" t="str">
        <f ca="1">IFERROR($I13*44/12*参考2_エネ使用量経年!AW14*参考2_エネ使用量経年!$I14,"")</f>
        <v/>
      </c>
      <c r="AX13" s="954" t="str">
        <f ca="1">IFERROR($J13*44/12*参考2_エネ使用量経年!AX14*参考2_エネ使用量経年!$J14,"")</f>
        <v/>
      </c>
      <c r="AY13" s="954" t="str">
        <f ca="1">IFERROR($K13*44/12*参考2_エネ使用量経年!AY14*参考2_エネ使用量経年!$K14,"")</f>
        <v/>
      </c>
      <c r="AZ13" s="954" t="str">
        <f ca="1">IFERROR($H13*44/12*参考2_エネ使用量経年!AZ14*参考2_エネ使用量経年!$H14,"")</f>
        <v/>
      </c>
      <c r="BA13" s="954" t="str">
        <f ca="1">IFERROR($I13*44/12*参考2_エネ使用量経年!BA14*参考2_エネ使用量経年!$I14,"")</f>
        <v/>
      </c>
      <c r="BB13" s="954" t="str">
        <f ca="1">IFERROR($J13*44/12*参考2_エネ使用量経年!BB14*参考2_エネ使用量経年!$J14,"")</f>
        <v/>
      </c>
      <c r="BC13" s="954" t="str">
        <f ca="1">IFERROR($K13*44/12*参考2_エネ使用量経年!BC14*参考2_エネ使用量経年!$K14,"")</f>
        <v/>
      </c>
      <c r="BD13" s="954" t="str">
        <f ca="1">IFERROR($H13*44/12*参考2_エネ使用量経年!BD14*参考2_エネ使用量経年!$H14,"")</f>
        <v/>
      </c>
      <c r="BE13" s="954" t="str">
        <f ca="1">IFERROR($I13*44/12*参考2_エネ使用量経年!BE14*参考2_エネ使用量経年!$I14,"")</f>
        <v/>
      </c>
      <c r="BF13" s="954" t="str">
        <f ca="1">IFERROR($J13*44/12*参考2_エネ使用量経年!BF14*参考2_エネ使用量経年!$J14,"")</f>
        <v/>
      </c>
      <c r="BG13" s="954" t="str">
        <f ca="1">IFERROR($K13*44/12*参考2_エネ使用量経年!BG14*参考2_エネ使用量経年!$K14,"")</f>
        <v/>
      </c>
      <c r="BH13" s="954" t="str">
        <f ca="1">IFERROR($H13*44/12*参考2_エネ使用量経年!BH14*参考2_エネ使用量経年!$H14,"")</f>
        <v/>
      </c>
      <c r="BI13" s="954" t="str">
        <f ca="1">IFERROR($I13*44/12*参考2_エネ使用量経年!BI14*参考2_エネ使用量経年!$I14,"")</f>
        <v/>
      </c>
      <c r="BJ13" s="954" t="str">
        <f ca="1">IFERROR($J13*44/12*参考2_エネ使用量経年!BJ14*参考2_エネ使用量経年!$J14,"")</f>
        <v/>
      </c>
      <c r="BK13" s="954" t="str">
        <f ca="1">IFERROR($K13*44/12*参考2_エネ使用量経年!BK14*参考2_エネ使用量経年!$K14,"")</f>
        <v/>
      </c>
      <c r="BL13" s="954" t="str">
        <f ca="1">IFERROR($H13*44/12*参考2_エネ使用量経年!BL14*参考2_エネ使用量経年!$H14,"")</f>
        <v/>
      </c>
      <c r="BM13" s="954" t="str">
        <f ca="1">IFERROR($I13*44/12*参考2_エネ使用量経年!BM14*参考2_エネ使用量経年!$I14,"")</f>
        <v/>
      </c>
      <c r="BN13" s="954" t="str">
        <f ca="1">IFERROR($J13*44/12*参考2_エネ使用量経年!BN14*参考2_エネ使用量経年!$J14,"")</f>
        <v/>
      </c>
      <c r="BO13" s="954" t="str">
        <f ca="1">IFERROR($K13*44/12*参考2_エネ使用量経年!BO14*参考2_エネ使用量経年!$K14,"")</f>
        <v/>
      </c>
    </row>
    <row r="14" spans="1:68" ht="20.100000000000001" hidden="1" customHeight="1" outlineLevel="1">
      <c r="A14" s="952">
        <v>14</v>
      </c>
      <c r="B14" s="1871"/>
      <c r="C14" s="1872"/>
      <c r="D14" s="824" t="s">
        <v>4150</v>
      </c>
      <c r="E14" s="824"/>
      <c r="F14" s="825"/>
      <c r="G14" s="891" t="s">
        <v>4685</v>
      </c>
      <c r="H14" s="953">
        <f t="shared" ca="1" si="0"/>
        <v>1.8800000000000001E-2</v>
      </c>
      <c r="I14" s="953">
        <f t="shared" ca="1" si="1"/>
        <v>1.8800000000000001E-2</v>
      </c>
      <c r="J14" s="953">
        <f t="shared" ca="1" si="2"/>
        <v>1.8800000000000001E-2</v>
      </c>
      <c r="K14" s="953">
        <f t="shared" ca="1" si="3"/>
        <v>1.8800000000000001E-2</v>
      </c>
      <c r="L14" s="954">
        <f ca="1">IFERROR($H14*44/12*参考2_エネ使用量経年!L15*参考2_エネ使用量経年!$H15,"")</f>
        <v>0</v>
      </c>
      <c r="M14" s="954">
        <f ca="1">IFERROR($I14*44/12*参考2_エネ使用量経年!M15*参考2_エネ使用量経年!$I15,"")</f>
        <v>0</v>
      </c>
      <c r="N14" s="954">
        <f ca="1">IFERROR($J14*44/12*参考2_エネ使用量経年!N15*参考2_エネ使用量経年!$J15,"")</f>
        <v>0</v>
      </c>
      <c r="O14" s="954">
        <f ca="1">IFERROR($K14*44/12*参考2_エネ使用量経年!O15*参考2_エネ使用量経年!$K15,"")</f>
        <v>0</v>
      </c>
      <c r="P14" s="954">
        <f ca="1">IFERROR($H14*44/12*参考2_エネ使用量経年!P15*参考2_エネ使用量経年!$H15,"")</f>
        <v>0</v>
      </c>
      <c r="Q14" s="954">
        <f ca="1">IFERROR($I14*44/12*参考2_エネ使用量経年!Q15*参考2_エネ使用量経年!$I15,"")</f>
        <v>0</v>
      </c>
      <c r="R14" s="954">
        <f ca="1">IFERROR($J14*44/12*参考2_エネ使用量経年!R15*参考2_エネ使用量経年!$J15,"")</f>
        <v>0</v>
      </c>
      <c r="S14" s="954">
        <f ca="1">IFERROR($K14*44/12*参考2_エネ使用量経年!S15*参考2_エネ使用量経年!$K15,"")</f>
        <v>0</v>
      </c>
      <c r="T14" s="954">
        <f ca="1">IFERROR($H14*44/12*参考2_エネ使用量経年!T15*参考2_エネ使用量経年!$H15,"")</f>
        <v>0</v>
      </c>
      <c r="U14" s="954">
        <f ca="1">IFERROR($I14*44/12*参考2_エネ使用量経年!U15*参考2_エネ使用量経年!$I15,"")</f>
        <v>0</v>
      </c>
      <c r="V14" s="954">
        <f ca="1">IFERROR($J14*44/12*参考2_エネ使用量経年!V15*参考2_エネ使用量経年!$J15,"")</f>
        <v>0</v>
      </c>
      <c r="W14" s="954">
        <f ca="1">IFERROR($K14*44/12*参考2_エネ使用量経年!W15*参考2_エネ使用量経年!$K15,"")</f>
        <v>0</v>
      </c>
      <c r="X14" s="954">
        <f ca="1">IFERROR($H14*44/12*参考2_エネ使用量経年!X15*参考2_エネ使用量経年!$H15,"")</f>
        <v>0</v>
      </c>
      <c r="Y14" s="954">
        <f ca="1">IFERROR($I14*44/12*参考2_エネ使用量経年!Y15*参考2_エネ使用量経年!$I15,"")</f>
        <v>0</v>
      </c>
      <c r="Z14" s="954">
        <f ca="1">IFERROR($J14*44/12*参考2_エネ使用量経年!Z15*参考2_エネ使用量経年!$J15,"")</f>
        <v>0</v>
      </c>
      <c r="AA14" s="954">
        <f ca="1">IFERROR($K14*44/12*参考2_エネ使用量経年!AA15*参考2_エネ使用量経年!$K15,"")</f>
        <v>0</v>
      </c>
      <c r="AB14" s="954" t="str">
        <f ca="1">IFERROR($H14*44/12*参考2_エネ使用量経年!AB15*参考2_エネ使用量経年!$H15,"")</f>
        <v/>
      </c>
      <c r="AC14" s="954" t="str">
        <f ca="1">IFERROR($I14*44/12*参考2_エネ使用量経年!AC15*参考2_エネ使用量経年!$I15,"")</f>
        <v/>
      </c>
      <c r="AD14" s="954" t="str">
        <f ca="1">IFERROR($J14*44/12*参考2_エネ使用量経年!AD15*参考2_エネ使用量経年!$J15,"")</f>
        <v/>
      </c>
      <c r="AE14" s="954" t="str">
        <f ca="1">IFERROR($K14*44/12*参考2_エネ使用量経年!AE15*参考2_エネ使用量経年!$K15,"")</f>
        <v/>
      </c>
      <c r="AF14" s="954" t="str">
        <f ca="1">IFERROR($H14*44/12*参考2_エネ使用量経年!AF15*参考2_エネ使用量経年!$H15,"")</f>
        <v/>
      </c>
      <c r="AG14" s="954" t="str">
        <f ca="1">IFERROR($I14*44/12*参考2_エネ使用量経年!AG15*参考2_エネ使用量経年!$I15,"")</f>
        <v/>
      </c>
      <c r="AH14" s="954" t="str">
        <f ca="1">IFERROR($J14*44/12*参考2_エネ使用量経年!AH15*参考2_エネ使用量経年!$J15,"")</f>
        <v/>
      </c>
      <c r="AI14" s="954" t="str">
        <f ca="1">IFERROR($K14*44/12*参考2_エネ使用量経年!AI15*参考2_エネ使用量経年!$K15,"")</f>
        <v/>
      </c>
      <c r="AJ14" s="954" t="str">
        <f ca="1">IFERROR($H14*44/12*参考2_エネ使用量経年!AJ15*参考2_エネ使用量経年!$H15,"")</f>
        <v/>
      </c>
      <c r="AK14" s="954" t="str">
        <f ca="1">IFERROR($I14*44/12*参考2_エネ使用量経年!AK15*参考2_エネ使用量経年!$I15,"")</f>
        <v/>
      </c>
      <c r="AL14" s="954" t="str">
        <f ca="1">IFERROR($J14*44/12*参考2_エネ使用量経年!AL15*参考2_エネ使用量経年!$J15,"")</f>
        <v/>
      </c>
      <c r="AM14" s="954" t="str">
        <f ca="1">IFERROR($K14*44/12*参考2_エネ使用量経年!AM15*参考2_エネ使用量経年!$K15,"")</f>
        <v/>
      </c>
      <c r="AN14" s="954" t="str">
        <f ca="1">IFERROR($H14*44/12*参考2_エネ使用量経年!AN15*参考2_エネ使用量経年!$H15,"")</f>
        <v/>
      </c>
      <c r="AO14" s="954" t="str">
        <f ca="1">IFERROR($I14*44/12*参考2_エネ使用量経年!AO15*参考2_エネ使用量経年!$I15,"")</f>
        <v/>
      </c>
      <c r="AP14" s="954" t="str">
        <f ca="1">IFERROR($J14*44/12*参考2_エネ使用量経年!AP15*参考2_エネ使用量経年!$J15,"")</f>
        <v/>
      </c>
      <c r="AQ14" s="954" t="str">
        <f ca="1">IFERROR($K14*44/12*参考2_エネ使用量経年!AQ15*参考2_エネ使用量経年!$K15,"")</f>
        <v/>
      </c>
      <c r="AR14" s="954" t="str">
        <f ca="1">IFERROR($H14*44/12*参考2_エネ使用量経年!AR15*参考2_エネ使用量経年!$H15,"")</f>
        <v/>
      </c>
      <c r="AS14" s="954" t="str">
        <f ca="1">IFERROR($I14*44/12*参考2_エネ使用量経年!AS15*参考2_エネ使用量経年!$I15,"")</f>
        <v/>
      </c>
      <c r="AT14" s="954" t="str">
        <f ca="1">IFERROR($J14*44/12*参考2_エネ使用量経年!AT15*参考2_エネ使用量経年!$J15,"")</f>
        <v/>
      </c>
      <c r="AU14" s="954" t="str">
        <f ca="1">IFERROR($K14*44/12*参考2_エネ使用量経年!AU15*参考2_エネ使用量経年!$K15,"")</f>
        <v/>
      </c>
      <c r="AV14" s="954" t="str">
        <f ca="1">IFERROR($H14*44/12*参考2_エネ使用量経年!AV15*参考2_エネ使用量経年!$H15,"")</f>
        <v/>
      </c>
      <c r="AW14" s="954" t="str">
        <f ca="1">IFERROR($I14*44/12*参考2_エネ使用量経年!AW15*参考2_エネ使用量経年!$I15,"")</f>
        <v/>
      </c>
      <c r="AX14" s="954" t="str">
        <f ca="1">IFERROR($J14*44/12*参考2_エネ使用量経年!AX15*参考2_エネ使用量経年!$J15,"")</f>
        <v/>
      </c>
      <c r="AY14" s="954" t="str">
        <f ca="1">IFERROR($K14*44/12*参考2_エネ使用量経年!AY15*参考2_エネ使用量経年!$K15,"")</f>
        <v/>
      </c>
      <c r="AZ14" s="954" t="str">
        <f ca="1">IFERROR($H14*44/12*参考2_エネ使用量経年!AZ15*参考2_エネ使用量経年!$H15,"")</f>
        <v/>
      </c>
      <c r="BA14" s="954" t="str">
        <f ca="1">IFERROR($I14*44/12*参考2_エネ使用量経年!BA15*参考2_エネ使用量経年!$I15,"")</f>
        <v/>
      </c>
      <c r="BB14" s="954" t="str">
        <f ca="1">IFERROR($J14*44/12*参考2_エネ使用量経年!BB15*参考2_エネ使用量経年!$J15,"")</f>
        <v/>
      </c>
      <c r="BC14" s="954" t="str">
        <f ca="1">IFERROR($K14*44/12*参考2_エネ使用量経年!BC15*参考2_エネ使用量経年!$K15,"")</f>
        <v/>
      </c>
      <c r="BD14" s="954" t="str">
        <f ca="1">IFERROR($H14*44/12*参考2_エネ使用量経年!BD15*参考2_エネ使用量経年!$H15,"")</f>
        <v/>
      </c>
      <c r="BE14" s="954" t="str">
        <f ca="1">IFERROR($I14*44/12*参考2_エネ使用量経年!BE15*参考2_エネ使用量経年!$I15,"")</f>
        <v/>
      </c>
      <c r="BF14" s="954" t="str">
        <f ca="1">IFERROR($J14*44/12*参考2_エネ使用量経年!BF15*参考2_エネ使用量経年!$J15,"")</f>
        <v/>
      </c>
      <c r="BG14" s="954" t="str">
        <f ca="1">IFERROR($K14*44/12*参考2_エネ使用量経年!BG15*参考2_エネ使用量経年!$K15,"")</f>
        <v/>
      </c>
      <c r="BH14" s="954" t="str">
        <f ca="1">IFERROR($H14*44/12*参考2_エネ使用量経年!BH15*参考2_エネ使用量経年!$H15,"")</f>
        <v/>
      </c>
      <c r="BI14" s="954" t="str">
        <f ca="1">IFERROR($I14*44/12*参考2_エネ使用量経年!BI15*参考2_エネ使用量経年!$I15,"")</f>
        <v/>
      </c>
      <c r="BJ14" s="954" t="str">
        <f ca="1">IFERROR($J14*44/12*参考2_エネ使用量経年!BJ15*参考2_エネ使用量経年!$J15,"")</f>
        <v/>
      </c>
      <c r="BK14" s="954" t="str">
        <f ca="1">IFERROR($K14*44/12*参考2_エネ使用量経年!BK15*参考2_エネ使用量経年!$K15,"")</f>
        <v/>
      </c>
      <c r="BL14" s="954" t="str">
        <f ca="1">IFERROR($H14*44/12*参考2_エネ使用量経年!BL15*参考2_エネ使用量経年!$H15,"")</f>
        <v/>
      </c>
      <c r="BM14" s="954" t="str">
        <f ca="1">IFERROR($I14*44/12*参考2_エネ使用量経年!BM15*参考2_エネ使用量経年!$I15,"")</f>
        <v/>
      </c>
      <c r="BN14" s="954" t="str">
        <f ca="1">IFERROR($J14*44/12*参考2_エネ使用量経年!BN15*参考2_エネ使用量経年!$J15,"")</f>
        <v/>
      </c>
      <c r="BO14" s="954" t="str">
        <f ca="1">IFERROR($K14*44/12*参考2_エネ使用量経年!BO15*参考2_エネ使用量経年!$K15,"")</f>
        <v/>
      </c>
    </row>
    <row r="15" spans="1:68" ht="20.100000000000001" hidden="1" customHeight="1" outlineLevel="1">
      <c r="A15" s="952">
        <v>15</v>
      </c>
      <c r="B15" s="1870"/>
      <c r="C15" s="1872"/>
      <c r="D15" s="824" t="s">
        <v>4151</v>
      </c>
      <c r="E15" s="824"/>
      <c r="F15" s="825"/>
      <c r="G15" s="891" t="s">
        <v>4685</v>
      </c>
      <c r="H15" s="953">
        <f t="shared" ca="1" si="0"/>
        <v>1.9300000000000001E-2</v>
      </c>
      <c r="I15" s="953">
        <f t="shared" ca="1" si="1"/>
        <v>1.9300000000000001E-2</v>
      </c>
      <c r="J15" s="953">
        <f t="shared" ca="1" si="2"/>
        <v>1.9300000000000001E-2</v>
      </c>
      <c r="K15" s="953">
        <f t="shared" ca="1" si="3"/>
        <v>1.9300000000000001E-2</v>
      </c>
      <c r="L15" s="954">
        <f ca="1">IFERROR($H15*44/12*参考2_エネ使用量経年!L16*参考2_エネ使用量経年!$H16,"")</f>
        <v>0</v>
      </c>
      <c r="M15" s="954">
        <f ca="1">IFERROR($I15*44/12*参考2_エネ使用量経年!M16*参考2_エネ使用量経年!$I16,"")</f>
        <v>0</v>
      </c>
      <c r="N15" s="954">
        <f ca="1">IFERROR($J15*44/12*参考2_エネ使用量経年!N16*参考2_エネ使用量経年!$J16,"")</f>
        <v>0</v>
      </c>
      <c r="O15" s="954">
        <f ca="1">IFERROR($K15*44/12*参考2_エネ使用量経年!O16*参考2_エネ使用量経年!$K16,"")</f>
        <v>0</v>
      </c>
      <c r="P15" s="954">
        <f ca="1">IFERROR($H15*44/12*参考2_エネ使用量経年!P16*参考2_エネ使用量経年!$H16,"")</f>
        <v>0</v>
      </c>
      <c r="Q15" s="954">
        <f ca="1">IFERROR($I15*44/12*参考2_エネ使用量経年!Q16*参考2_エネ使用量経年!$I16,"")</f>
        <v>0</v>
      </c>
      <c r="R15" s="954">
        <f ca="1">IFERROR($J15*44/12*参考2_エネ使用量経年!R16*参考2_エネ使用量経年!$J16,"")</f>
        <v>0</v>
      </c>
      <c r="S15" s="954">
        <f ca="1">IFERROR($K15*44/12*参考2_エネ使用量経年!S16*参考2_エネ使用量経年!$K16,"")</f>
        <v>0</v>
      </c>
      <c r="T15" s="954">
        <f ca="1">IFERROR($H15*44/12*参考2_エネ使用量経年!T16*参考2_エネ使用量経年!$H16,"")</f>
        <v>0</v>
      </c>
      <c r="U15" s="954">
        <f ca="1">IFERROR($I15*44/12*参考2_エネ使用量経年!U16*参考2_エネ使用量経年!$I16,"")</f>
        <v>0</v>
      </c>
      <c r="V15" s="954">
        <f ca="1">IFERROR($J15*44/12*参考2_エネ使用量経年!V16*参考2_エネ使用量経年!$J16,"")</f>
        <v>0</v>
      </c>
      <c r="W15" s="954">
        <f ca="1">IFERROR($K15*44/12*参考2_エネ使用量経年!W16*参考2_エネ使用量経年!$K16,"")</f>
        <v>0</v>
      </c>
      <c r="X15" s="954">
        <f ca="1">IFERROR($H15*44/12*参考2_エネ使用量経年!X16*参考2_エネ使用量経年!$H16,"")</f>
        <v>0</v>
      </c>
      <c r="Y15" s="954">
        <f ca="1">IFERROR($I15*44/12*参考2_エネ使用量経年!Y16*参考2_エネ使用量経年!$I16,"")</f>
        <v>0</v>
      </c>
      <c r="Z15" s="954">
        <f ca="1">IFERROR($J15*44/12*参考2_エネ使用量経年!Z16*参考2_エネ使用量経年!$J16,"")</f>
        <v>0</v>
      </c>
      <c r="AA15" s="954">
        <f ca="1">IFERROR($K15*44/12*参考2_エネ使用量経年!AA16*参考2_エネ使用量経年!$K16,"")</f>
        <v>0</v>
      </c>
      <c r="AB15" s="954" t="str">
        <f ca="1">IFERROR($H15*44/12*参考2_エネ使用量経年!AB16*参考2_エネ使用量経年!$H16,"")</f>
        <v/>
      </c>
      <c r="AC15" s="954" t="str">
        <f ca="1">IFERROR($I15*44/12*参考2_エネ使用量経年!AC16*参考2_エネ使用量経年!$I16,"")</f>
        <v/>
      </c>
      <c r="AD15" s="954" t="str">
        <f ca="1">IFERROR($J15*44/12*参考2_エネ使用量経年!AD16*参考2_エネ使用量経年!$J16,"")</f>
        <v/>
      </c>
      <c r="AE15" s="954" t="str">
        <f ca="1">IFERROR($K15*44/12*参考2_エネ使用量経年!AE16*参考2_エネ使用量経年!$K16,"")</f>
        <v/>
      </c>
      <c r="AF15" s="954" t="str">
        <f ca="1">IFERROR($H15*44/12*参考2_エネ使用量経年!AF16*参考2_エネ使用量経年!$H16,"")</f>
        <v/>
      </c>
      <c r="AG15" s="954" t="str">
        <f ca="1">IFERROR($I15*44/12*参考2_エネ使用量経年!AG16*参考2_エネ使用量経年!$I16,"")</f>
        <v/>
      </c>
      <c r="AH15" s="954" t="str">
        <f ca="1">IFERROR($J15*44/12*参考2_エネ使用量経年!AH16*参考2_エネ使用量経年!$J16,"")</f>
        <v/>
      </c>
      <c r="AI15" s="954" t="str">
        <f ca="1">IFERROR($K15*44/12*参考2_エネ使用量経年!AI16*参考2_エネ使用量経年!$K16,"")</f>
        <v/>
      </c>
      <c r="AJ15" s="954" t="str">
        <f ca="1">IFERROR($H15*44/12*参考2_エネ使用量経年!AJ16*参考2_エネ使用量経年!$H16,"")</f>
        <v/>
      </c>
      <c r="AK15" s="954" t="str">
        <f ca="1">IFERROR($I15*44/12*参考2_エネ使用量経年!AK16*参考2_エネ使用量経年!$I16,"")</f>
        <v/>
      </c>
      <c r="AL15" s="954" t="str">
        <f ca="1">IFERROR($J15*44/12*参考2_エネ使用量経年!AL16*参考2_エネ使用量経年!$J16,"")</f>
        <v/>
      </c>
      <c r="AM15" s="954" t="str">
        <f ca="1">IFERROR($K15*44/12*参考2_エネ使用量経年!AM16*参考2_エネ使用量経年!$K16,"")</f>
        <v/>
      </c>
      <c r="AN15" s="954" t="str">
        <f ca="1">IFERROR($H15*44/12*参考2_エネ使用量経年!AN16*参考2_エネ使用量経年!$H16,"")</f>
        <v/>
      </c>
      <c r="AO15" s="954" t="str">
        <f ca="1">IFERROR($I15*44/12*参考2_エネ使用量経年!AO16*参考2_エネ使用量経年!$I16,"")</f>
        <v/>
      </c>
      <c r="AP15" s="954" t="str">
        <f ca="1">IFERROR($J15*44/12*参考2_エネ使用量経年!AP16*参考2_エネ使用量経年!$J16,"")</f>
        <v/>
      </c>
      <c r="AQ15" s="954" t="str">
        <f ca="1">IFERROR($K15*44/12*参考2_エネ使用量経年!AQ16*参考2_エネ使用量経年!$K16,"")</f>
        <v/>
      </c>
      <c r="AR15" s="954" t="str">
        <f ca="1">IFERROR($H15*44/12*参考2_エネ使用量経年!AR16*参考2_エネ使用量経年!$H16,"")</f>
        <v/>
      </c>
      <c r="AS15" s="954" t="str">
        <f ca="1">IFERROR($I15*44/12*参考2_エネ使用量経年!AS16*参考2_エネ使用量経年!$I16,"")</f>
        <v/>
      </c>
      <c r="AT15" s="954" t="str">
        <f ca="1">IFERROR($J15*44/12*参考2_エネ使用量経年!AT16*参考2_エネ使用量経年!$J16,"")</f>
        <v/>
      </c>
      <c r="AU15" s="954" t="str">
        <f ca="1">IFERROR($K15*44/12*参考2_エネ使用量経年!AU16*参考2_エネ使用量経年!$K16,"")</f>
        <v/>
      </c>
      <c r="AV15" s="954" t="str">
        <f ca="1">IFERROR($H15*44/12*参考2_エネ使用量経年!AV16*参考2_エネ使用量経年!$H16,"")</f>
        <v/>
      </c>
      <c r="AW15" s="954" t="str">
        <f ca="1">IFERROR($I15*44/12*参考2_エネ使用量経年!AW16*参考2_エネ使用量経年!$I16,"")</f>
        <v/>
      </c>
      <c r="AX15" s="954" t="str">
        <f ca="1">IFERROR($J15*44/12*参考2_エネ使用量経年!AX16*参考2_エネ使用量経年!$J16,"")</f>
        <v/>
      </c>
      <c r="AY15" s="954" t="str">
        <f ca="1">IFERROR($K15*44/12*参考2_エネ使用量経年!AY16*参考2_エネ使用量経年!$K16,"")</f>
        <v/>
      </c>
      <c r="AZ15" s="954" t="str">
        <f ca="1">IFERROR($H15*44/12*参考2_エネ使用量経年!AZ16*参考2_エネ使用量経年!$H16,"")</f>
        <v/>
      </c>
      <c r="BA15" s="954" t="str">
        <f ca="1">IFERROR($I15*44/12*参考2_エネ使用量経年!BA16*参考2_エネ使用量経年!$I16,"")</f>
        <v/>
      </c>
      <c r="BB15" s="954" t="str">
        <f ca="1">IFERROR($J15*44/12*参考2_エネ使用量経年!BB16*参考2_エネ使用量経年!$J16,"")</f>
        <v/>
      </c>
      <c r="BC15" s="954" t="str">
        <f ca="1">IFERROR($K15*44/12*参考2_エネ使用量経年!BC16*参考2_エネ使用量経年!$K16,"")</f>
        <v/>
      </c>
      <c r="BD15" s="954" t="str">
        <f ca="1">IFERROR($H15*44/12*参考2_エネ使用量経年!BD16*参考2_エネ使用量経年!$H16,"")</f>
        <v/>
      </c>
      <c r="BE15" s="954" t="str">
        <f ca="1">IFERROR($I15*44/12*参考2_エネ使用量経年!BE16*参考2_エネ使用量経年!$I16,"")</f>
        <v/>
      </c>
      <c r="BF15" s="954" t="str">
        <f ca="1">IFERROR($J15*44/12*参考2_エネ使用量経年!BF16*参考2_エネ使用量経年!$J16,"")</f>
        <v/>
      </c>
      <c r="BG15" s="954" t="str">
        <f ca="1">IFERROR($K15*44/12*参考2_エネ使用量経年!BG16*参考2_エネ使用量経年!$K16,"")</f>
        <v/>
      </c>
      <c r="BH15" s="954" t="str">
        <f ca="1">IFERROR($H15*44/12*参考2_エネ使用量経年!BH16*参考2_エネ使用量経年!$H16,"")</f>
        <v/>
      </c>
      <c r="BI15" s="954" t="str">
        <f ca="1">IFERROR($I15*44/12*参考2_エネ使用量経年!BI16*参考2_エネ使用量経年!$I16,"")</f>
        <v/>
      </c>
      <c r="BJ15" s="954" t="str">
        <f ca="1">IFERROR($J15*44/12*参考2_エネ使用量経年!BJ16*参考2_エネ使用量経年!$J16,"")</f>
        <v/>
      </c>
      <c r="BK15" s="954" t="str">
        <f ca="1">IFERROR($K15*44/12*参考2_エネ使用量経年!BK16*参考2_エネ使用量経年!$K16,"")</f>
        <v/>
      </c>
      <c r="BL15" s="954" t="str">
        <f ca="1">IFERROR($H15*44/12*参考2_エネ使用量経年!BL16*参考2_エネ使用量経年!$H16,"")</f>
        <v/>
      </c>
      <c r="BM15" s="954" t="str">
        <f ca="1">IFERROR($I15*44/12*参考2_エネ使用量経年!BM16*参考2_エネ使用量経年!$I16,"")</f>
        <v/>
      </c>
      <c r="BN15" s="954" t="str">
        <f ca="1">IFERROR($J15*44/12*参考2_エネ使用量経年!BN16*参考2_エネ使用量経年!$J16,"")</f>
        <v/>
      </c>
      <c r="BO15" s="954" t="str">
        <f ca="1">IFERROR($K15*44/12*参考2_エネ使用量経年!BO16*参考2_エネ使用量経年!$K16,"")</f>
        <v/>
      </c>
    </row>
    <row r="16" spans="1:68" ht="20.100000000000001" hidden="1" customHeight="1" outlineLevel="1">
      <c r="A16" s="952">
        <v>16</v>
      </c>
      <c r="B16" s="1870"/>
      <c r="C16" s="1872"/>
      <c r="D16" s="824" t="s">
        <v>4152</v>
      </c>
      <c r="E16" s="818"/>
      <c r="F16" s="825"/>
      <c r="G16" s="891" t="s">
        <v>4685</v>
      </c>
      <c r="H16" s="953">
        <f t="shared" ca="1" si="0"/>
        <v>2.0199999999999999E-2</v>
      </c>
      <c r="I16" s="953">
        <f t="shared" ca="1" si="1"/>
        <v>2.0199999999999999E-2</v>
      </c>
      <c r="J16" s="953">
        <f t="shared" ca="1" si="2"/>
        <v>2.0199999999999999E-2</v>
      </c>
      <c r="K16" s="953">
        <f t="shared" ca="1" si="3"/>
        <v>2.0199999999999999E-2</v>
      </c>
      <c r="L16" s="954">
        <f ca="1">IFERROR($H16*44/12*参考2_エネ使用量経年!L17*参考2_エネ使用量経年!$H17,"")</f>
        <v>0</v>
      </c>
      <c r="M16" s="954">
        <f ca="1">IFERROR($I16*44/12*参考2_エネ使用量経年!M17*参考2_エネ使用量経年!$I17,"")</f>
        <v>0</v>
      </c>
      <c r="N16" s="954">
        <f ca="1">IFERROR($J16*44/12*参考2_エネ使用量経年!N17*参考2_エネ使用量経年!$J17,"")</f>
        <v>0</v>
      </c>
      <c r="O16" s="954">
        <f ca="1">IFERROR($K16*44/12*参考2_エネ使用量経年!O17*参考2_エネ使用量経年!$K17,"")</f>
        <v>0</v>
      </c>
      <c r="P16" s="954">
        <f ca="1">IFERROR($H16*44/12*参考2_エネ使用量経年!P17*参考2_エネ使用量経年!$H17,"")</f>
        <v>0</v>
      </c>
      <c r="Q16" s="954">
        <f ca="1">IFERROR($I16*44/12*参考2_エネ使用量経年!Q17*参考2_エネ使用量経年!$I17,"")</f>
        <v>0</v>
      </c>
      <c r="R16" s="954">
        <f ca="1">IFERROR($J16*44/12*参考2_エネ使用量経年!R17*参考2_エネ使用量経年!$J17,"")</f>
        <v>0</v>
      </c>
      <c r="S16" s="954">
        <f ca="1">IFERROR($K16*44/12*参考2_エネ使用量経年!S17*参考2_エネ使用量経年!$K17,"")</f>
        <v>0</v>
      </c>
      <c r="T16" s="954">
        <f ca="1">IFERROR($H16*44/12*参考2_エネ使用量経年!T17*参考2_エネ使用量経年!$H17,"")</f>
        <v>0</v>
      </c>
      <c r="U16" s="954">
        <f ca="1">IFERROR($I16*44/12*参考2_エネ使用量経年!U17*参考2_エネ使用量経年!$I17,"")</f>
        <v>0</v>
      </c>
      <c r="V16" s="954">
        <f ca="1">IFERROR($J16*44/12*参考2_エネ使用量経年!V17*参考2_エネ使用量経年!$J17,"")</f>
        <v>0</v>
      </c>
      <c r="W16" s="954">
        <f ca="1">IFERROR($K16*44/12*参考2_エネ使用量経年!W17*参考2_エネ使用量経年!$K17,"")</f>
        <v>0</v>
      </c>
      <c r="X16" s="954">
        <f ca="1">IFERROR($H16*44/12*参考2_エネ使用量経年!X17*参考2_エネ使用量経年!$H17,"")</f>
        <v>0</v>
      </c>
      <c r="Y16" s="954">
        <f ca="1">IFERROR($I16*44/12*参考2_エネ使用量経年!Y17*参考2_エネ使用量経年!$I17,"")</f>
        <v>0</v>
      </c>
      <c r="Z16" s="954">
        <f ca="1">IFERROR($J16*44/12*参考2_エネ使用量経年!Z17*参考2_エネ使用量経年!$J17,"")</f>
        <v>0</v>
      </c>
      <c r="AA16" s="954">
        <f ca="1">IFERROR($K16*44/12*参考2_エネ使用量経年!AA17*参考2_エネ使用量経年!$K17,"")</f>
        <v>0</v>
      </c>
      <c r="AB16" s="954" t="str">
        <f ca="1">IFERROR($H16*44/12*参考2_エネ使用量経年!AB17*参考2_エネ使用量経年!$H17,"")</f>
        <v/>
      </c>
      <c r="AC16" s="954" t="str">
        <f ca="1">IFERROR($I16*44/12*参考2_エネ使用量経年!AC17*参考2_エネ使用量経年!$I17,"")</f>
        <v/>
      </c>
      <c r="AD16" s="954" t="str">
        <f ca="1">IFERROR($J16*44/12*参考2_エネ使用量経年!AD17*参考2_エネ使用量経年!$J17,"")</f>
        <v/>
      </c>
      <c r="AE16" s="954" t="str">
        <f ca="1">IFERROR($K16*44/12*参考2_エネ使用量経年!AE17*参考2_エネ使用量経年!$K17,"")</f>
        <v/>
      </c>
      <c r="AF16" s="954" t="str">
        <f ca="1">IFERROR($H16*44/12*参考2_エネ使用量経年!AF17*参考2_エネ使用量経年!$H17,"")</f>
        <v/>
      </c>
      <c r="AG16" s="954" t="str">
        <f ca="1">IFERROR($I16*44/12*参考2_エネ使用量経年!AG17*参考2_エネ使用量経年!$I17,"")</f>
        <v/>
      </c>
      <c r="AH16" s="954" t="str">
        <f ca="1">IFERROR($J16*44/12*参考2_エネ使用量経年!AH17*参考2_エネ使用量経年!$J17,"")</f>
        <v/>
      </c>
      <c r="AI16" s="954" t="str">
        <f ca="1">IFERROR($K16*44/12*参考2_エネ使用量経年!AI17*参考2_エネ使用量経年!$K17,"")</f>
        <v/>
      </c>
      <c r="AJ16" s="954" t="str">
        <f ca="1">IFERROR($H16*44/12*参考2_エネ使用量経年!AJ17*参考2_エネ使用量経年!$H17,"")</f>
        <v/>
      </c>
      <c r="AK16" s="954" t="str">
        <f ca="1">IFERROR($I16*44/12*参考2_エネ使用量経年!AK17*参考2_エネ使用量経年!$I17,"")</f>
        <v/>
      </c>
      <c r="AL16" s="954" t="str">
        <f ca="1">IFERROR($J16*44/12*参考2_エネ使用量経年!AL17*参考2_エネ使用量経年!$J17,"")</f>
        <v/>
      </c>
      <c r="AM16" s="954" t="str">
        <f ca="1">IFERROR($K16*44/12*参考2_エネ使用量経年!AM17*参考2_エネ使用量経年!$K17,"")</f>
        <v/>
      </c>
      <c r="AN16" s="954" t="str">
        <f ca="1">IFERROR($H16*44/12*参考2_エネ使用量経年!AN17*参考2_エネ使用量経年!$H17,"")</f>
        <v/>
      </c>
      <c r="AO16" s="954" t="str">
        <f ca="1">IFERROR($I16*44/12*参考2_エネ使用量経年!AO17*参考2_エネ使用量経年!$I17,"")</f>
        <v/>
      </c>
      <c r="AP16" s="954" t="str">
        <f ca="1">IFERROR($J16*44/12*参考2_エネ使用量経年!AP17*参考2_エネ使用量経年!$J17,"")</f>
        <v/>
      </c>
      <c r="AQ16" s="954" t="str">
        <f ca="1">IFERROR($K16*44/12*参考2_エネ使用量経年!AQ17*参考2_エネ使用量経年!$K17,"")</f>
        <v/>
      </c>
      <c r="AR16" s="954" t="str">
        <f ca="1">IFERROR($H16*44/12*参考2_エネ使用量経年!AR17*参考2_エネ使用量経年!$H17,"")</f>
        <v/>
      </c>
      <c r="AS16" s="954" t="str">
        <f ca="1">IFERROR($I16*44/12*参考2_エネ使用量経年!AS17*参考2_エネ使用量経年!$I17,"")</f>
        <v/>
      </c>
      <c r="AT16" s="954" t="str">
        <f ca="1">IFERROR($J16*44/12*参考2_エネ使用量経年!AT17*参考2_エネ使用量経年!$J17,"")</f>
        <v/>
      </c>
      <c r="AU16" s="954" t="str">
        <f ca="1">IFERROR($K16*44/12*参考2_エネ使用量経年!AU17*参考2_エネ使用量経年!$K17,"")</f>
        <v/>
      </c>
      <c r="AV16" s="954" t="str">
        <f ca="1">IFERROR($H16*44/12*参考2_エネ使用量経年!AV17*参考2_エネ使用量経年!$H17,"")</f>
        <v/>
      </c>
      <c r="AW16" s="954" t="str">
        <f ca="1">IFERROR($I16*44/12*参考2_エネ使用量経年!AW17*参考2_エネ使用量経年!$I17,"")</f>
        <v/>
      </c>
      <c r="AX16" s="954" t="str">
        <f ca="1">IFERROR($J16*44/12*参考2_エネ使用量経年!AX17*参考2_エネ使用量経年!$J17,"")</f>
        <v/>
      </c>
      <c r="AY16" s="954" t="str">
        <f ca="1">IFERROR($K16*44/12*参考2_エネ使用量経年!AY17*参考2_エネ使用量経年!$K17,"")</f>
        <v/>
      </c>
      <c r="AZ16" s="954" t="str">
        <f ca="1">IFERROR($H16*44/12*参考2_エネ使用量経年!AZ17*参考2_エネ使用量経年!$H17,"")</f>
        <v/>
      </c>
      <c r="BA16" s="954" t="str">
        <f ca="1">IFERROR($I16*44/12*参考2_エネ使用量経年!BA17*参考2_エネ使用量経年!$I17,"")</f>
        <v/>
      </c>
      <c r="BB16" s="954" t="str">
        <f ca="1">IFERROR($J16*44/12*参考2_エネ使用量経年!BB17*参考2_エネ使用量経年!$J17,"")</f>
        <v/>
      </c>
      <c r="BC16" s="954" t="str">
        <f ca="1">IFERROR($K16*44/12*参考2_エネ使用量経年!BC17*参考2_エネ使用量経年!$K17,"")</f>
        <v/>
      </c>
      <c r="BD16" s="954" t="str">
        <f ca="1">IFERROR($H16*44/12*参考2_エネ使用量経年!BD17*参考2_エネ使用量経年!$H17,"")</f>
        <v/>
      </c>
      <c r="BE16" s="954" t="str">
        <f ca="1">IFERROR($I16*44/12*参考2_エネ使用量経年!BE17*参考2_エネ使用量経年!$I17,"")</f>
        <v/>
      </c>
      <c r="BF16" s="954" t="str">
        <f ca="1">IFERROR($J16*44/12*参考2_エネ使用量経年!BF17*参考2_エネ使用量経年!$J17,"")</f>
        <v/>
      </c>
      <c r="BG16" s="954" t="str">
        <f ca="1">IFERROR($K16*44/12*参考2_エネ使用量経年!BG17*参考2_エネ使用量経年!$K17,"")</f>
        <v/>
      </c>
      <c r="BH16" s="954" t="str">
        <f ca="1">IFERROR($H16*44/12*参考2_エネ使用量経年!BH17*参考2_エネ使用量経年!$H17,"")</f>
        <v/>
      </c>
      <c r="BI16" s="954" t="str">
        <f ca="1">IFERROR($I16*44/12*参考2_エネ使用量経年!BI17*参考2_エネ使用量経年!$I17,"")</f>
        <v/>
      </c>
      <c r="BJ16" s="954" t="str">
        <f ca="1">IFERROR($J16*44/12*参考2_エネ使用量経年!BJ17*参考2_エネ使用量経年!$J17,"")</f>
        <v/>
      </c>
      <c r="BK16" s="954" t="str">
        <f ca="1">IFERROR($K16*44/12*参考2_エネ使用量経年!BK17*参考2_エネ使用量経年!$K17,"")</f>
        <v/>
      </c>
      <c r="BL16" s="954" t="str">
        <f ca="1">IFERROR($H16*44/12*参考2_エネ使用量経年!BL17*参考2_エネ使用量経年!$H17,"")</f>
        <v/>
      </c>
      <c r="BM16" s="954" t="str">
        <f ca="1">IFERROR($I16*44/12*参考2_エネ使用量経年!BM17*参考2_エネ使用量経年!$I17,"")</f>
        <v/>
      </c>
      <c r="BN16" s="954" t="str">
        <f ca="1">IFERROR($J16*44/12*参考2_エネ使用量経年!BN17*参考2_エネ使用量経年!$J17,"")</f>
        <v/>
      </c>
      <c r="BO16" s="954" t="str">
        <f ca="1">IFERROR($K16*44/12*参考2_エネ使用量経年!BO17*参考2_エネ使用量経年!$K17,"")</f>
        <v/>
      </c>
    </row>
    <row r="17" spans="1:67" ht="20.100000000000001" hidden="1" customHeight="1" outlineLevel="1">
      <c r="A17" s="952">
        <v>17</v>
      </c>
      <c r="B17" s="1870"/>
      <c r="C17" s="1872"/>
      <c r="D17" s="824" t="s">
        <v>4153</v>
      </c>
      <c r="E17" s="824"/>
      <c r="F17" s="825"/>
      <c r="G17" s="891" t="s">
        <v>4685</v>
      </c>
      <c r="H17" s="953">
        <f t="shared" ca="1" si="0"/>
        <v>2.0400000000000001E-2</v>
      </c>
      <c r="I17" s="953">
        <f t="shared" ca="1" si="1"/>
        <v>2.0400000000000001E-2</v>
      </c>
      <c r="J17" s="953">
        <f t="shared" ca="1" si="2"/>
        <v>2.0400000000000001E-2</v>
      </c>
      <c r="K17" s="953">
        <f t="shared" ca="1" si="3"/>
        <v>2.0400000000000001E-2</v>
      </c>
      <c r="L17" s="954">
        <f ca="1">IFERROR($H17*44/12*参考2_エネ使用量経年!L18*参考2_エネ使用量経年!$H18,"")</f>
        <v>0</v>
      </c>
      <c r="M17" s="954">
        <f ca="1">IFERROR($I17*44/12*参考2_エネ使用量経年!M18*参考2_エネ使用量経年!$I18,"")</f>
        <v>0</v>
      </c>
      <c r="N17" s="954">
        <f ca="1">IFERROR($J17*44/12*参考2_エネ使用量経年!N18*参考2_エネ使用量経年!$J18,"")</f>
        <v>0</v>
      </c>
      <c r="O17" s="954">
        <f ca="1">IFERROR($K17*44/12*参考2_エネ使用量経年!O18*参考2_エネ使用量経年!$K18,"")</f>
        <v>0</v>
      </c>
      <c r="P17" s="954">
        <f ca="1">IFERROR($H17*44/12*参考2_エネ使用量経年!P18*参考2_エネ使用量経年!$H18,"")</f>
        <v>0</v>
      </c>
      <c r="Q17" s="954">
        <f ca="1">IFERROR($I17*44/12*参考2_エネ使用量経年!Q18*参考2_エネ使用量経年!$I18,"")</f>
        <v>0</v>
      </c>
      <c r="R17" s="954">
        <f ca="1">IFERROR($J17*44/12*参考2_エネ使用量経年!R18*参考2_エネ使用量経年!$J18,"")</f>
        <v>0</v>
      </c>
      <c r="S17" s="954">
        <f ca="1">IFERROR($K17*44/12*参考2_エネ使用量経年!S18*参考2_エネ使用量経年!$K18,"")</f>
        <v>0</v>
      </c>
      <c r="T17" s="954">
        <f ca="1">IFERROR($H17*44/12*参考2_エネ使用量経年!T18*参考2_エネ使用量経年!$H18,"")</f>
        <v>0</v>
      </c>
      <c r="U17" s="954">
        <f ca="1">IFERROR($I17*44/12*参考2_エネ使用量経年!U18*参考2_エネ使用量経年!$I18,"")</f>
        <v>0</v>
      </c>
      <c r="V17" s="954">
        <f ca="1">IFERROR($J17*44/12*参考2_エネ使用量経年!V18*参考2_エネ使用量経年!$J18,"")</f>
        <v>0</v>
      </c>
      <c r="W17" s="954">
        <f ca="1">IFERROR($K17*44/12*参考2_エネ使用量経年!W18*参考2_エネ使用量経年!$K18,"")</f>
        <v>0</v>
      </c>
      <c r="X17" s="954">
        <f ca="1">IFERROR($H17*44/12*参考2_エネ使用量経年!X18*参考2_エネ使用量経年!$H18,"")</f>
        <v>0</v>
      </c>
      <c r="Y17" s="954">
        <f ca="1">IFERROR($I17*44/12*参考2_エネ使用量経年!Y18*参考2_エネ使用量経年!$I18,"")</f>
        <v>0</v>
      </c>
      <c r="Z17" s="954">
        <f ca="1">IFERROR($J17*44/12*参考2_エネ使用量経年!Z18*参考2_エネ使用量経年!$J18,"")</f>
        <v>0</v>
      </c>
      <c r="AA17" s="954">
        <f ca="1">IFERROR($K17*44/12*参考2_エネ使用量経年!AA18*参考2_エネ使用量経年!$K18,"")</f>
        <v>0</v>
      </c>
      <c r="AB17" s="954" t="str">
        <f ca="1">IFERROR($H17*44/12*参考2_エネ使用量経年!AB18*参考2_エネ使用量経年!$H18,"")</f>
        <v/>
      </c>
      <c r="AC17" s="954" t="str">
        <f ca="1">IFERROR($I17*44/12*参考2_エネ使用量経年!AC18*参考2_エネ使用量経年!$I18,"")</f>
        <v/>
      </c>
      <c r="AD17" s="954" t="str">
        <f ca="1">IFERROR($J17*44/12*参考2_エネ使用量経年!AD18*参考2_エネ使用量経年!$J18,"")</f>
        <v/>
      </c>
      <c r="AE17" s="954" t="str">
        <f ca="1">IFERROR($K17*44/12*参考2_エネ使用量経年!AE18*参考2_エネ使用量経年!$K18,"")</f>
        <v/>
      </c>
      <c r="AF17" s="954" t="str">
        <f ca="1">IFERROR($H17*44/12*参考2_エネ使用量経年!AF18*参考2_エネ使用量経年!$H18,"")</f>
        <v/>
      </c>
      <c r="AG17" s="954" t="str">
        <f ca="1">IFERROR($I17*44/12*参考2_エネ使用量経年!AG18*参考2_エネ使用量経年!$I18,"")</f>
        <v/>
      </c>
      <c r="AH17" s="954" t="str">
        <f ca="1">IFERROR($J17*44/12*参考2_エネ使用量経年!AH18*参考2_エネ使用量経年!$J18,"")</f>
        <v/>
      </c>
      <c r="AI17" s="954" t="str">
        <f ca="1">IFERROR($K17*44/12*参考2_エネ使用量経年!AI18*参考2_エネ使用量経年!$K18,"")</f>
        <v/>
      </c>
      <c r="AJ17" s="954" t="str">
        <f ca="1">IFERROR($H17*44/12*参考2_エネ使用量経年!AJ18*参考2_エネ使用量経年!$H18,"")</f>
        <v/>
      </c>
      <c r="AK17" s="954" t="str">
        <f ca="1">IFERROR($I17*44/12*参考2_エネ使用量経年!AK18*参考2_エネ使用量経年!$I18,"")</f>
        <v/>
      </c>
      <c r="AL17" s="954" t="str">
        <f ca="1">IFERROR($J17*44/12*参考2_エネ使用量経年!AL18*参考2_エネ使用量経年!$J18,"")</f>
        <v/>
      </c>
      <c r="AM17" s="954" t="str">
        <f ca="1">IFERROR($K17*44/12*参考2_エネ使用量経年!AM18*参考2_エネ使用量経年!$K18,"")</f>
        <v/>
      </c>
      <c r="AN17" s="954" t="str">
        <f ca="1">IFERROR($H17*44/12*参考2_エネ使用量経年!AN18*参考2_エネ使用量経年!$H18,"")</f>
        <v/>
      </c>
      <c r="AO17" s="954" t="str">
        <f ca="1">IFERROR($I17*44/12*参考2_エネ使用量経年!AO18*参考2_エネ使用量経年!$I18,"")</f>
        <v/>
      </c>
      <c r="AP17" s="954" t="str">
        <f ca="1">IFERROR($J17*44/12*参考2_エネ使用量経年!AP18*参考2_エネ使用量経年!$J18,"")</f>
        <v/>
      </c>
      <c r="AQ17" s="954" t="str">
        <f ca="1">IFERROR($K17*44/12*参考2_エネ使用量経年!AQ18*参考2_エネ使用量経年!$K18,"")</f>
        <v/>
      </c>
      <c r="AR17" s="954" t="str">
        <f ca="1">IFERROR($H17*44/12*参考2_エネ使用量経年!AR18*参考2_エネ使用量経年!$H18,"")</f>
        <v/>
      </c>
      <c r="AS17" s="954" t="str">
        <f ca="1">IFERROR($I17*44/12*参考2_エネ使用量経年!AS18*参考2_エネ使用量経年!$I18,"")</f>
        <v/>
      </c>
      <c r="AT17" s="954" t="str">
        <f ca="1">IFERROR($J17*44/12*参考2_エネ使用量経年!AT18*参考2_エネ使用量経年!$J18,"")</f>
        <v/>
      </c>
      <c r="AU17" s="954" t="str">
        <f ca="1">IFERROR($K17*44/12*参考2_エネ使用量経年!AU18*参考2_エネ使用量経年!$K18,"")</f>
        <v/>
      </c>
      <c r="AV17" s="954" t="str">
        <f ca="1">IFERROR($H17*44/12*参考2_エネ使用量経年!AV18*参考2_エネ使用量経年!$H18,"")</f>
        <v/>
      </c>
      <c r="AW17" s="954" t="str">
        <f ca="1">IFERROR($I17*44/12*参考2_エネ使用量経年!AW18*参考2_エネ使用量経年!$I18,"")</f>
        <v/>
      </c>
      <c r="AX17" s="954" t="str">
        <f ca="1">IFERROR($J17*44/12*参考2_エネ使用量経年!AX18*参考2_エネ使用量経年!$J18,"")</f>
        <v/>
      </c>
      <c r="AY17" s="954" t="str">
        <f ca="1">IFERROR($K17*44/12*参考2_エネ使用量経年!AY18*参考2_エネ使用量経年!$K18,"")</f>
        <v/>
      </c>
      <c r="AZ17" s="954" t="str">
        <f ca="1">IFERROR($H17*44/12*参考2_エネ使用量経年!AZ18*参考2_エネ使用量経年!$H18,"")</f>
        <v/>
      </c>
      <c r="BA17" s="954" t="str">
        <f ca="1">IFERROR($I17*44/12*参考2_エネ使用量経年!BA18*参考2_エネ使用量経年!$I18,"")</f>
        <v/>
      </c>
      <c r="BB17" s="954" t="str">
        <f ca="1">IFERROR($J17*44/12*参考2_エネ使用量経年!BB18*参考2_エネ使用量経年!$J18,"")</f>
        <v/>
      </c>
      <c r="BC17" s="954" t="str">
        <f ca="1">IFERROR($K17*44/12*参考2_エネ使用量経年!BC18*参考2_エネ使用量経年!$K18,"")</f>
        <v/>
      </c>
      <c r="BD17" s="954" t="str">
        <f ca="1">IFERROR($H17*44/12*参考2_エネ使用量経年!BD18*参考2_エネ使用量経年!$H18,"")</f>
        <v/>
      </c>
      <c r="BE17" s="954" t="str">
        <f ca="1">IFERROR($I17*44/12*参考2_エネ使用量経年!BE18*参考2_エネ使用量経年!$I18,"")</f>
        <v/>
      </c>
      <c r="BF17" s="954" t="str">
        <f ca="1">IFERROR($J17*44/12*参考2_エネ使用量経年!BF18*参考2_エネ使用量経年!$J18,"")</f>
        <v/>
      </c>
      <c r="BG17" s="954" t="str">
        <f ca="1">IFERROR($K17*44/12*参考2_エネ使用量経年!BG18*参考2_エネ使用量経年!$K18,"")</f>
        <v/>
      </c>
      <c r="BH17" s="954" t="str">
        <f ca="1">IFERROR($H17*44/12*参考2_エネ使用量経年!BH18*参考2_エネ使用量経年!$H18,"")</f>
        <v/>
      </c>
      <c r="BI17" s="954" t="str">
        <f ca="1">IFERROR($I17*44/12*参考2_エネ使用量経年!BI18*参考2_エネ使用量経年!$I18,"")</f>
        <v/>
      </c>
      <c r="BJ17" s="954" t="str">
        <f ca="1">IFERROR($J17*44/12*参考2_エネ使用量経年!BJ18*参考2_エネ使用量経年!$J18,"")</f>
        <v/>
      </c>
      <c r="BK17" s="954" t="str">
        <f ca="1">IFERROR($K17*44/12*参考2_エネ使用量経年!BK18*参考2_エネ使用量経年!$K18,"")</f>
        <v/>
      </c>
      <c r="BL17" s="954" t="str">
        <f ca="1">IFERROR($H17*44/12*参考2_エネ使用量経年!BL18*参考2_エネ使用量経年!$H18,"")</f>
        <v/>
      </c>
      <c r="BM17" s="954" t="str">
        <f ca="1">IFERROR($I17*44/12*参考2_エネ使用量経年!BM18*参考2_エネ使用量経年!$I18,"")</f>
        <v/>
      </c>
      <c r="BN17" s="954" t="str">
        <f ca="1">IFERROR($J17*44/12*参考2_エネ使用量経年!BN18*参考2_エネ使用量経年!$J18,"")</f>
        <v/>
      </c>
      <c r="BO17" s="954" t="str">
        <f ca="1">IFERROR($K17*44/12*参考2_エネ使用量経年!BO18*参考2_エネ使用量経年!$K18,"")</f>
        <v/>
      </c>
    </row>
    <row r="18" spans="1:67" ht="20.100000000000001" hidden="1" customHeight="1" outlineLevel="1">
      <c r="A18" s="952">
        <v>18</v>
      </c>
      <c r="B18" s="1870"/>
      <c r="C18" s="1872"/>
      <c r="D18" s="824" t="s">
        <v>4154</v>
      </c>
      <c r="E18" s="824"/>
      <c r="F18" s="825"/>
      <c r="G18" s="891" t="s">
        <v>4685</v>
      </c>
      <c r="H18" s="953">
        <f t="shared" ca="1" si="0"/>
        <v>2.5399999999999999E-2</v>
      </c>
      <c r="I18" s="953">
        <f t="shared" ca="1" si="1"/>
        <v>2.5399999999999999E-2</v>
      </c>
      <c r="J18" s="953">
        <f t="shared" ca="1" si="2"/>
        <v>2.5399999999999999E-2</v>
      </c>
      <c r="K18" s="953">
        <f t="shared" ca="1" si="3"/>
        <v>2.5399999999999999E-2</v>
      </c>
      <c r="L18" s="954">
        <f ca="1">IFERROR($H18*44/12*参考2_エネ使用量経年!L19*参考2_エネ使用量経年!$H19,"")</f>
        <v>0</v>
      </c>
      <c r="M18" s="954">
        <f ca="1">IFERROR($I18*44/12*参考2_エネ使用量経年!M19*参考2_エネ使用量経年!$I19,"")</f>
        <v>0</v>
      </c>
      <c r="N18" s="954">
        <f ca="1">IFERROR($J18*44/12*参考2_エネ使用量経年!N19*参考2_エネ使用量経年!$J19,"")</f>
        <v>0</v>
      </c>
      <c r="O18" s="954">
        <f ca="1">IFERROR($K18*44/12*参考2_エネ使用量経年!O19*参考2_エネ使用量経年!$K19,"")</f>
        <v>0</v>
      </c>
      <c r="P18" s="954">
        <f ca="1">IFERROR($H18*44/12*参考2_エネ使用量経年!P19*参考2_エネ使用量経年!$H19,"")</f>
        <v>0</v>
      </c>
      <c r="Q18" s="954">
        <f ca="1">IFERROR($I18*44/12*参考2_エネ使用量経年!Q19*参考2_エネ使用量経年!$I19,"")</f>
        <v>0</v>
      </c>
      <c r="R18" s="954">
        <f ca="1">IFERROR($J18*44/12*参考2_エネ使用量経年!R19*参考2_エネ使用量経年!$J19,"")</f>
        <v>0</v>
      </c>
      <c r="S18" s="954">
        <f ca="1">IFERROR($K18*44/12*参考2_エネ使用量経年!S19*参考2_エネ使用量経年!$K19,"")</f>
        <v>0</v>
      </c>
      <c r="T18" s="954">
        <f ca="1">IFERROR($H18*44/12*参考2_エネ使用量経年!T19*参考2_エネ使用量経年!$H19,"")</f>
        <v>0</v>
      </c>
      <c r="U18" s="954">
        <f ca="1">IFERROR($I18*44/12*参考2_エネ使用量経年!U19*参考2_エネ使用量経年!$I19,"")</f>
        <v>0</v>
      </c>
      <c r="V18" s="954">
        <f ca="1">IFERROR($J18*44/12*参考2_エネ使用量経年!V19*参考2_エネ使用量経年!$J19,"")</f>
        <v>0</v>
      </c>
      <c r="W18" s="954">
        <f ca="1">IFERROR($K18*44/12*参考2_エネ使用量経年!W19*参考2_エネ使用量経年!$K19,"")</f>
        <v>0</v>
      </c>
      <c r="X18" s="954">
        <f ca="1">IFERROR($H18*44/12*参考2_エネ使用量経年!X19*参考2_エネ使用量経年!$H19,"")</f>
        <v>0</v>
      </c>
      <c r="Y18" s="954">
        <f ca="1">IFERROR($I18*44/12*参考2_エネ使用量経年!Y19*参考2_エネ使用量経年!$I19,"")</f>
        <v>0</v>
      </c>
      <c r="Z18" s="954">
        <f ca="1">IFERROR($J18*44/12*参考2_エネ使用量経年!Z19*参考2_エネ使用量経年!$J19,"")</f>
        <v>0</v>
      </c>
      <c r="AA18" s="954">
        <f ca="1">IFERROR($K18*44/12*参考2_エネ使用量経年!AA19*参考2_エネ使用量経年!$K19,"")</f>
        <v>0</v>
      </c>
      <c r="AB18" s="954" t="str">
        <f ca="1">IFERROR($H18*44/12*参考2_エネ使用量経年!AB19*参考2_エネ使用量経年!$H19,"")</f>
        <v/>
      </c>
      <c r="AC18" s="954" t="str">
        <f ca="1">IFERROR($I18*44/12*参考2_エネ使用量経年!AC19*参考2_エネ使用量経年!$I19,"")</f>
        <v/>
      </c>
      <c r="AD18" s="954" t="str">
        <f ca="1">IFERROR($J18*44/12*参考2_エネ使用量経年!AD19*参考2_エネ使用量経年!$J19,"")</f>
        <v/>
      </c>
      <c r="AE18" s="954" t="str">
        <f ca="1">IFERROR($K18*44/12*参考2_エネ使用量経年!AE19*参考2_エネ使用量経年!$K19,"")</f>
        <v/>
      </c>
      <c r="AF18" s="954" t="str">
        <f ca="1">IFERROR($H18*44/12*参考2_エネ使用量経年!AF19*参考2_エネ使用量経年!$H19,"")</f>
        <v/>
      </c>
      <c r="AG18" s="954" t="str">
        <f ca="1">IFERROR($I18*44/12*参考2_エネ使用量経年!AG19*参考2_エネ使用量経年!$I19,"")</f>
        <v/>
      </c>
      <c r="AH18" s="954" t="str">
        <f ca="1">IFERROR($J18*44/12*参考2_エネ使用量経年!AH19*参考2_エネ使用量経年!$J19,"")</f>
        <v/>
      </c>
      <c r="AI18" s="954" t="str">
        <f ca="1">IFERROR($K18*44/12*参考2_エネ使用量経年!AI19*参考2_エネ使用量経年!$K19,"")</f>
        <v/>
      </c>
      <c r="AJ18" s="954" t="str">
        <f ca="1">IFERROR($H18*44/12*参考2_エネ使用量経年!AJ19*参考2_エネ使用量経年!$H19,"")</f>
        <v/>
      </c>
      <c r="AK18" s="954" t="str">
        <f ca="1">IFERROR($I18*44/12*参考2_エネ使用量経年!AK19*参考2_エネ使用量経年!$I19,"")</f>
        <v/>
      </c>
      <c r="AL18" s="954" t="str">
        <f ca="1">IFERROR($J18*44/12*参考2_エネ使用量経年!AL19*参考2_エネ使用量経年!$J19,"")</f>
        <v/>
      </c>
      <c r="AM18" s="954" t="str">
        <f ca="1">IFERROR($K18*44/12*参考2_エネ使用量経年!AM19*参考2_エネ使用量経年!$K19,"")</f>
        <v/>
      </c>
      <c r="AN18" s="954" t="str">
        <f ca="1">IFERROR($H18*44/12*参考2_エネ使用量経年!AN19*参考2_エネ使用量経年!$H19,"")</f>
        <v/>
      </c>
      <c r="AO18" s="954" t="str">
        <f ca="1">IFERROR($I18*44/12*参考2_エネ使用量経年!AO19*参考2_エネ使用量経年!$I19,"")</f>
        <v/>
      </c>
      <c r="AP18" s="954" t="str">
        <f ca="1">IFERROR($J18*44/12*参考2_エネ使用量経年!AP19*参考2_エネ使用量経年!$J19,"")</f>
        <v/>
      </c>
      <c r="AQ18" s="954" t="str">
        <f ca="1">IFERROR($K18*44/12*参考2_エネ使用量経年!AQ19*参考2_エネ使用量経年!$K19,"")</f>
        <v/>
      </c>
      <c r="AR18" s="954" t="str">
        <f ca="1">IFERROR($H18*44/12*参考2_エネ使用量経年!AR19*参考2_エネ使用量経年!$H19,"")</f>
        <v/>
      </c>
      <c r="AS18" s="954" t="str">
        <f ca="1">IFERROR($I18*44/12*参考2_エネ使用量経年!AS19*参考2_エネ使用量経年!$I19,"")</f>
        <v/>
      </c>
      <c r="AT18" s="954" t="str">
        <f ca="1">IFERROR($J18*44/12*参考2_エネ使用量経年!AT19*参考2_エネ使用量経年!$J19,"")</f>
        <v/>
      </c>
      <c r="AU18" s="954" t="str">
        <f ca="1">IFERROR($K18*44/12*参考2_エネ使用量経年!AU19*参考2_エネ使用量経年!$K19,"")</f>
        <v/>
      </c>
      <c r="AV18" s="954" t="str">
        <f ca="1">IFERROR($H18*44/12*参考2_エネ使用量経年!AV19*参考2_エネ使用量経年!$H19,"")</f>
        <v/>
      </c>
      <c r="AW18" s="954" t="str">
        <f ca="1">IFERROR($I18*44/12*参考2_エネ使用量経年!AW19*参考2_エネ使用量経年!$I19,"")</f>
        <v/>
      </c>
      <c r="AX18" s="954" t="str">
        <f ca="1">IFERROR($J18*44/12*参考2_エネ使用量経年!AX19*参考2_エネ使用量経年!$J19,"")</f>
        <v/>
      </c>
      <c r="AY18" s="954" t="str">
        <f ca="1">IFERROR($K18*44/12*参考2_エネ使用量経年!AY19*参考2_エネ使用量経年!$K19,"")</f>
        <v/>
      </c>
      <c r="AZ18" s="954" t="str">
        <f ca="1">IFERROR($H18*44/12*参考2_エネ使用量経年!AZ19*参考2_エネ使用量経年!$H19,"")</f>
        <v/>
      </c>
      <c r="BA18" s="954" t="str">
        <f ca="1">IFERROR($I18*44/12*参考2_エネ使用量経年!BA19*参考2_エネ使用量経年!$I19,"")</f>
        <v/>
      </c>
      <c r="BB18" s="954" t="str">
        <f ca="1">IFERROR($J18*44/12*参考2_エネ使用量経年!BB19*参考2_エネ使用量経年!$J19,"")</f>
        <v/>
      </c>
      <c r="BC18" s="954" t="str">
        <f ca="1">IFERROR($K18*44/12*参考2_エネ使用量経年!BC19*参考2_エネ使用量経年!$K19,"")</f>
        <v/>
      </c>
      <c r="BD18" s="954" t="str">
        <f ca="1">IFERROR($H18*44/12*参考2_エネ使用量経年!BD19*参考2_エネ使用量経年!$H19,"")</f>
        <v/>
      </c>
      <c r="BE18" s="954" t="str">
        <f ca="1">IFERROR($I18*44/12*参考2_エネ使用量経年!BE19*参考2_エネ使用量経年!$I19,"")</f>
        <v/>
      </c>
      <c r="BF18" s="954" t="str">
        <f ca="1">IFERROR($J18*44/12*参考2_エネ使用量経年!BF19*参考2_エネ使用量経年!$J19,"")</f>
        <v/>
      </c>
      <c r="BG18" s="954" t="str">
        <f ca="1">IFERROR($K18*44/12*参考2_エネ使用量経年!BG19*参考2_エネ使用量経年!$K19,"")</f>
        <v/>
      </c>
      <c r="BH18" s="954" t="str">
        <f ca="1">IFERROR($H18*44/12*参考2_エネ使用量経年!BH19*参考2_エネ使用量経年!$H19,"")</f>
        <v/>
      </c>
      <c r="BI18" s="954" t="str">
        <f ca="1">IFERROR($I18*44/12*参考2_エネ使用量経年!BI19*参考2_エネ使用量経年!$I19,"")</f>
        <v/>
      </c>
      <c r="BJ18" s="954" t="str">
        <f ca="1">IFERROR($J18*44/12*参考2_エネ使用量経年!BJ19*参考2_エネ使用量経年!$J19,"")</f>
        <v/>
      </c>
      <c r="BK18" s="954" t="str">
        <f ca="1">IFERROR($K18*44/12*参考2_エネ使用量経年!BK19*参考2_エネ使用量経年!$K19,"")</f>
        <v/>
      </c>
      <c r="BL18" s="954" t="str">
        <f ca="1">IFERROR($H18*44/12*参考2_エネ使用量経年!BL19*参考2_エネ使用量経年!$H19,"")</f>
        <v/>
      </c>
      <c r="BM18" s="954" t="str">
        <f ca="1">IFERROR($I18*44/12*参考2_エネ使用量経年!BM19*参考2_エネ使用量経年!$I19,"")</f>
        <v/>
      </c>
      <c r="BN18" s="954" t="str">
        <f ca="1">IFERROR($J18*44/12*参考2_エネ使用量経年!BN19*参考2_エネ使用量経年!$J19,"")</f>
        <v/>
      </c>
      <c r="BO18" s="954" t="str">
        <f ca="1">IFERROR($K18*44/12*参考2_エネ使用量経年!BO19*参考2_エネ使用量経年!$K19,"")</f>
        <v/>
      </c>
    </row>
    <row r="19" spans="1:67" ht="20.100000000000001" hidden="1" customHeight="1" outlineLevel="1">
      <c r="A19" s="952">
        <v>19</v>
      </c>
      <c r="B19" s="1871"/>
      <c r="C19" s="1872"/>
      <c r="D19" s="824" t="s">
        <v>4394</v>
      </c>
      <c r="E19" s="824"/>
      <c r="F19" s="825"/>
      <c r="G19" s="891" t="s">
        <v>4685</v>
      </c>
      <c r="H19" s="953">
        <f t="shared" ca="1" si="0"/>
        <v>1.6299999999999999E-2</v>
      </c>
      <c r="I19" s="953">
        <f t="shared" ca="1" si="1"/>
        <v>1.6299999999999999E-2</v>
      </c>
      <c r="J19" s="953">
        <f t="shared" ca="1" si="2"/>
        <v>1.6299999999999999E-2</v>
      </c>
      <c r="K19" s="953">
        <f t="shared" ca="1" si="3"/>
        <v>1.6299999999999999E-2</v>
      </c>
      <c r="L19" s="954">
        <f ca="1">IFERROR($H19*44/12*参考2_エネ使用量経年!L20*参考2_エネ使用量経年!$H20,"")</f>
        <v>0</v>
      </c>
      <c r="M19" s="954">
        <f ca="1">IFERROR($I19*44/12*参考2_エネ使用量経年!M20*参考2_エネ使用量経年!$I20,"")</f>
        <v>0</v>
      </c>
      <c r="N19" s="954">
        <f ca="1">IFERROR($J19*44/12*参考2_エネ使用量経年!N20*参考2_エネ使用量経年!$J20,"")</f>
        <v>0</v>
      </c>
      <c r="O19" s="954">
        <f ca="1">IFERROR($K19*44/12*参考2_エネ使用量経年!O20*参考2_エネ使用量経年!$K20,"")</f>
        <v>0</v>
      </c>
      <c r="P19" s="954">
        <f ca="1">IFERROR($H19*44/12*参考2_エネ使用量経年!P20*参考2_エネ使用量経年!$H20,"")</f>
        <v>0</v>
      </c>
      <c r="Q19" s="954">
        <f ca="1">IFERROR($I19*44/12*参考2_エネ使用量経年!Q20*参考2_エネ使用量経年!$I20,"")</f>
        <v>0</v>
      </c>
      <c r="R19" s="954">
        <f ca="1">IFERROR($J19*44/12*参考2_エネ使用量経年!R20*参考2_エネ使用量経年!$J20,"")</f>
        <v>0</v>
      </c>
      <c r="S19" s="954">
        <f ca="1">IFERROR($K19*44/12*参考2_エネ使用量経年!S20*参考2_エネ使用量経年!$K20,"")</f>
        <v>0</v>
      </c>
      <c r="T19" s="954">
        <f ca="1">IFERROR($H19*44/12*参考2_エネ使用量経年!T20*参考2_エネ使用量経年!$H20,"")</f>
        <v>0</v>
      </c>
      <c r="U19" s="954">
        <f ca="1">IFERROR($I19*44/12*参考2_エネ使用量経年!U20*参考2_エネ使用量経年!$I20,"")</f>
        <v>0</v>
      </c>
      <c r="V19" s="954">
        <f ca="1">IFERROR($J19*44/12*参考2_エネ使用量経年!V20*参考2_エネ使用量経年!$J20,"")</f>
        <v>0</v>
      </c>
      <c r="W19" s="954">
        <f ca="1">IFERROR($K19*44/12*参考2_エネ使用量経年!W20*参考2_エネ使用量経年!$K20,"")</f>
        <v>0</v>
      </c>
      <c r="X19" s="954">
        <f ca="1">IFERROR($H19*44/12*参考2_エネ使用量経年!X20*参考2_エネ使用量経年!$H20,"")</f>
        <v>0</v>
      </c>
      <c r="Y19" s="954">
        <f ca="1">IFERROR($I19*44/12*参考2_エネ使用量経年!Y20*参考2_エネ使用量経年!$I20,"")</f>
        <v>0</v>
      </c>
      <c r="Z19" s="954">
        <f ca="1">IFERROR($J19*44/12*参考2_エネ使用量経年!Z20*参考2_エネ使用量経年!$J20,"")</f>
        <v>0</v>
      </c>
      <c r="AA19" s="954">
        <f ca="1">IFERROR($K19*44/12*参考2_エネ使用量経年!AA20*参考2_エネ使用量経年!$K20,"")</f>
        <v>0</v>
      </c>
      <c r="AB19" s="954" t="str">
        <f ca="1">IFERROR($H19*44/12*参考2_エネ使用量経年!AB20*参考2_エネ使用量経年!$H20,"")</f>
        <v/>
      </c>
      <c r="AC19" s="954" t="str">
        <f ca="1">IFERROR($I19*44/12*参考2_エネ使用量経年!AC20*参考2_エネ使用量経年!$I20,"")</f>
        <v/>
      </c>
      <c r="AD19" s="954" t="str">
        <f ca="1">IFERROR($J19*44/12*参考2_エネ使用量経年!AD20*参考2_エネ使用量経年!$J20,"")</f>
        <v/>
      </c>
      <c r="AE19" s="954" t="str">
        <f ca="1">IFERROR($K19*44/12*参考2_エネ使用量経年!AE20*参考2_エネ使用量経年!$K20,"")</f>
        <v/>
      </c>
      <c r="AF19" s="954" t="str">
        <f ca="1">IFERROR($H19*44/12*参考2_エネ使用量経年!AF20*参考2_エネ使用量経年!$H20,"")</f>
        <v/>
      </c>
      <c r="AG19" s="954" t="str">
        <f ca="1">IFERROR($I19*44/12*参考2_エネ使用量経年!AG20*参考2_エネ使用量経年!$I20,"")</f>
        <v/>
      </c>
      <c r="AH19" s="954" t="str">
        <f ca="1">IFERROR($J19*44/12*参考2_エネ使用量経年!AH20*参考2_エネ使用量経年!$J20,"")</f>
        <v/>
      </c>
      <c r="AI19" s="954" t="str">
        <f ca="1">IFERROR($K19*44/12*参考2_エネ使用量経年!AI20*参考2_エネ使用量経年!$K20,"")</f>
        <v/>
      </c>
      <c r="AJ19" s="954" t="str">
        <f ca="1">IFERROR($H19*44/12*参考2_エネ使用量経年!AJ20*参考2_エネ使用量経年!$H20,"")</f>
        <v/>
      </c>
      <c r="AK19" s="954" t="str">
        <f ca="1">IFERROR($I19*44/12*参考2_エネ使用量経年!AK20*参考2_エネ使用量経年!$I20,"")</f>
        <v/>
      </c>
      <c r="AL19" s="954" t="str">
        <f ca="1">IFERROR($J19*44/12*参考2_エネ使用量経年!AL20*参考2_エネ使用量経年!$J20,"")</f>
        <v/>
      </c>
      <c r="AM19" s="954" t="str">
        <f ca="1">IFERROR($K19*44/12*参考2_エネ使用量経年!AM20*参考2_エネ使用量経年!$K20,"")</f>
        <v/>
      </c>
      <c r="AN19" s="954" t="str">
        <f ca="1">IFERROR($H19*44/12*参考2_エネ使用量経年!AN20*参考2_エネ使用量経年!$H20,"")</f>
        <v/>
      </c>
      <c r="AO19" s="954" t="str">
        <f ca="1">IFERROR($I19*44/12*参考2_エネ使用量経年!AO20*参考2_エネ使用量経年!$I20,"")</f>
        <v/>
      </c>
      <c r="AP19" s="954" t="str">
        <f ca="1">IFERROR($J19*44/12*参考2_エネ使用量経年!AP20*参考2_エネ使用量経年!$J20,"")</f>
        <v/>
      </c>
      <c r="AQ19" s="954" t="str">
        <f ca="1">IFERROR($K19*44/12*参考2_エネ使用量経年!AQ20*参考2_エネ使用量経年!$K20,"")</f>
        <v/>
      </c>
      <c r="AR19" s="954" t="str">
        <f ca="1">IFERROR($H19*44/12*参考2_エネ使用量経年!AR20*参考2_エネ使用量経年!$H20,"")</f>
        <v/>
      </c>
      <c r="AS19" s="954" t="str">
        <f ca="1">IFERROR($I19*44/12*参考2_エネ使用量経年!AS20*参考2_エネ使用量経年!$I20,"")</f>
        <v/>
      </c>
      <c r="AT19" s="954" t="str">
        <f ca="1">IFERROR($J19*44/12*参考2_エネ使用量経年!AT20*参考2_エネ使用量経年!$J20,"")</f>
        <v/>
      </c>
      <c r="AU19" s="954" t="str">
        <f ca="1">IFERROR($K19*44/12*参考2_エネ使用量経年!AU20*参考2_エネ使用量経年!$K20,"")</f>
        <v/>
      </c>
      <c r="AV19" s="954" t="str">
        <f ca="1">IFERROR($H19*44/12*参考2_エネ使用量経年!AV20*参考2_エネ使用量経年!$H20,"")</f>
        <v/>
      </c>
      <c r="AW19" s="954" t="str">
        <f ca="1">IFERROR($I19*44/12*参考2_エネ使用量経年!AW20*参考2_エネ使用量経年!$I20,"")</f>
        <v/>
      </c>
      <c r="AX19" s="954" t="str">
        <f ca="1">IFERROR($J19*44/12*参考2_エネ使用量経年!AX20*参考2_エネ使用量経年!$J20,"")</f>
        <v/>
      </c>
      <c r="AY19" s="954" t="str">
        <f ca="1">IFERROR($K19*44/12*参考2_エネ使用量経年!AY20*参考2_エネ使用量経年!$K20,"")</f>
        <v/>
      </c>
      <c r="AZ19" s="954" t="str">
        <f ca="1">IFERROR($H19*44/12*参考2_エネ使用量経年!AZ20*参考2_エネ使用量経年!$H20,"")</f>
        <v/>
      </c>
      <c r="BA19" s="954" t="str">
        <f ca="1">IFERROR($I19*44/12*参考2_エネ使用量経年!BA20*参考2_エネ使用量経年!$I20,"")</f>
        <v/>
      </c>
      <c r="BB19" s="954" t="str">
        <f ca="1">IFERROR($J19*44/12*参考2_エネ使用量経年!BB20*参考2_エネ使用量経年!$J20,"")</f>
        <v/>
      </c>
      <c r="BC19" s="954" t="str">
        <f ca="1">IFERROR($K19*44/12*参考2_エネ使用量経年!BC20*参考2_エネ使用量経年!$K20,"")</f>
        <v/>
      </c>
      <c r="BD19" s="954" t="str">
        <f ca="1">IFERROR($H19*44/12*参考2_エネ使用量経年!BD20*参考2_エネ使用量経年!$H20,"")</f>
        <v/>
      </c>
      <c r="BE19" s="954" t="str">
        <f ca="1">IFERROR($I19*44/12*参考2_エネ使用量経年!BE20*参考2_エネ使用量経年!$I20,"")</f>
        <v/>
      </c>
      <c r="BF19" s="954" t="str">
        <f ca="1">IFERROR($J19*44/12*参考2_エネ使用量経年!BF20*参考2_エネ使用量経年!$J20,"")</f>
        <v/>
      </c>
      <c r="BG19" s="954" t="str">
        <f ca="1">IFERROR($K19*44/12*参考2_エネ使用量経年!BG20*参考2_エネ使用量経年!$K20,"")</f>
        <v/>
      </c>
      <c r="BH19" s="954" t="str">
        <f ca="1">IFERROR($H19*44/12*参考2_エネ使用量経年!BH20*参考2_エネ使用量経年!$H20,"")</f>
        <v/>
      </c>
      <c r="BI19" s="954" t="str">
        <f ca="1">IFERROR($I19*44/12*参考2_エネ使用量経年!BI20*参考2_エネ使用量経年!$I20,"")</f>
        <v/>
      </c>
      <c r="BJ19" s="954" t="str">
        <f ca="1">IFERROR($J19*44/12*参考2_エネ使用量経年!BJ20*参考2_エネ使用量経年!$J20,"")</f>
        <v/>
      </c>
      <c r="BK19" s="954" t="str">
        <f ca="1">IFERROR($K19*44/12*参考2_エネ使用量経年!BK20*参考2_エネ使用量経年!$K20,"")</f>
        <v/>
      </c>
      <c r="BL19" s="954" t="str">
        <f ca="1">IFERROR($H19*44/12*参考2_エネ使用量経年!BL20*参考2_エネ使用量経年!$H20,"")</f>
        <v/>
      </c>
      <c r="BM19" s="954" t="str">
        <f ca="1">IFERROR($I19*44/12*参考2_エネ使用量経年!BM20*参考2_エネ使用量経年!$I20,"")</f>
        <v/>
      </c>
      <c r="BN19" s="954" t="str">
        <f ca="1">IFERROR($J19*44/12*参考2_エネ使用量経年!BN20*参考2_エネ使用量経年!$J20,"")</f>
        <v/>
      </c>
      <c r="BO19" s="954" t="str">
        <f ca="1">IFERROR($K19*44/12*参考2_エネ使用量経年!BO20*参考2_エネ使用量経年!$K20,"")</f>
        <v/>
      </c>
    </row>
    <row r="20" spans="1:67" ht="20.100000000000001" hidden="1" customHeight="1" outlineLevel="1">
      <c r="A20" s="952">
        <v>20</v>
      </c>
      <c r="B20" s="1870"/>
      <c r="C20" s="1872"/>
      <c r="D20" s="824" t="s">
        <v>4395</v>
      </c>
      <c r="E20" s="824"/>
      <c r="F20" s="825"/>
      <c r="G20" s="891" t="s">
        <v>4685</v>
      </c>
      <c r="H20" s="953">
        <f t="shared" ca="1" si="0"/>
        <v>1.44E-2</v>
      </c>
      <c r="I20" s="953">
        <f t="shared" ca="1" si="1"/>
        <v>1.44E-2</v>
      </c>
      <c r="J20" s="953">
        <f t="shared" ca="1" si="2"/>
        <v>1.44E-2</v>
      </c>
      <c r="K20" s="953">
        <f t="shared" ca="1" si="3"/>
        <v>1.44E-2</v>
      </c>
      <c r="L20" s="954">
        <f ca="1">IFERROR($H20*44/12*参考2_エネ使用量経年!L21*参考2_エネ使用量経年!$H21,"")</f>
        <v>0</v>
      </c>
      <c r="M20" s="954">
        <f ca="1">IFERROR($I20*44/12*参考2_エネ使用量経年!M21*参考2_エネ使用量経年!$I21,"")</f>
        <v>0</v>
      </c>
      <c r="N20" s="954">
        <f ca="1">IFERROR($J20*44/12*参考2_エネ使用量経年!N21*参考2_エネ使用量経年!$J21,"")</f>
        <v>0</v>
      </c>
      <c r="O20" s="954">
        <f ca="1">IFERROR($K20*44/12*参考2_エネ使用量経年!O21*参考2_エネ使用量経年!$K21,"")</f>
        <v>0</v>
      </c>
      <c r="P20" s="954">
        <f ca="1">IFERROR($H20*44/12*参考2_エネ使用量経年!P21*参考2_エネ使用量経年!$H21,"")</f>
        <v>0</v>
      </c>
      <c r="Q20" s="954">
        <f ca="1">IFERROR($I20*44/12*参考2_エネ使用量経年!Q21*参考2_エネ使用量経年!$I21,"")</f>
        <v>0</v>
      </c>
      <c r="R20" s="954">
        <f ca="1">IFERROR($J20*44/12*参考2_エネ使用量経年!R21*参考2_エネ使用量経年!$J21,"")</f>
        <v>0</v>
      </c>
      <c r="S20" s="954">
        <f ca="1">IFERROR($K20*44/12*参考2_エネ使用量経年!S21*参考2_エネ使用量経年!$K21,"")</f>
        <v>0</v>
      </c>
      <c r="T20" s="954">
        <f ca="1">IFERROR($H20*44/12*参考2_エネ使用量経年!T21*参考2_エネ使用量経年!$H21,"")</f>
        <v>0</v>
      </c>
      <c r="U20" s="954">
        <f ca="1">IFERROR($I20*44/12*参考2_エネ使用量経年!U21*参考2_エネ使用量経年!$I21,"")</f>
        <v>0</v>
      </c>
      <c r="V20" s="954">
        <f ca="1">IFERROR($J20*44/12*参考2_エネ使用量経年!V21*参考2_エネ使用量経年!$J21,"")</f>
        <v>0</v>
      </c>
      <c r="W20" s="954">
        <f ca="1">IFERROR($K20*44/12*参考2_エネ使用量経年!W21*参考2_エネ使用量経年!$K21,"")</f>
        <v>0</v>
      </c>
      <c r="X20" s="954">
        <f ca="1">IFERROR($H20*44/12*参考2_エネ使用量経年!X21*参考2_エネ使用量経年!$H21,"")</f>
        <v>0</v>
      </c>
      <c r="Y20" s="954">
        <f ca="1">IFERROR($I20*44/12*参考2_エネ使用量経年!Y21*参考2_エネ使用量経年!$I21,"")</f>
        <v>0</v>
      </c>
      <c r="Z20" s="954">
        <f ca="1">IFERROR($J20*44/12*参考2_エネ使用量経年!Z21*参考2_エネ使用量経年!$J21,"")</f>
        <v>0</v>
      </c>
      <c r="AA20" s="954">
        <f ca="1">IFERROR($K20*44/12*参考2_エネ使用量経年!AA21*参考2_エネ使用量経年!$K21,"")</f>
        <v>0</v>
      </c>
      <c r="AB20" s="954" t="str">
        <f ca="1">IFERROR($H20*44/12*参考2_エネ使用量経年!AB21*参考2_エネ使用量経年!$H21,"")</f>
        <v/>
      </c>
      <c r="AC20" s="954" t="str">
        <f ca="1">IFERROR($I20*44/12*参考2_エネ使用量経年!AC21*参考2_エネ使用量経年!$I21,"")</f>
        <v/>
      </c>
      <c r="AD20" s="954" t="str">
        <f ca="1">IFERROR($J20*44/12*参考2_エネ使用量経年!AD21*参考2_エネ使用量経年!$J21,"")</f>
        <v/>
      </c>
      <c r="AE20" s="954" t="str">
        <f ca="1">IFERROR($K20*44/12*参考2_エネ使用量経年!AE21*参考2_エネ使用量経年!$K21,"")</f>
        <v/>
      </c>
      <c r="AF20" s="954" t="str">
        <f ca="1">IFERROR($H20*44/12*参考2_エネ使用量経年!AF21*参考2_エネ使用量経年!$H21,"")</f>
        <v/>
      </c>
      <c r="AG20" s="954" t="str">
        <f ca="1">IFERROR($I20*44/12*参考2_エネ使用量経年!AG21*参考2_エネ使用量経年!$I21,"")</f>
        <v/>
      </c>
      <c r="AH20" s="954" t="str">
        <f ca="1">IFERROR($J20*44/12*参考2_エネ使用量経年!AH21*参考2_エネ使用量経年!$J21,"")</f>
        <v/>
      </c>
      <c r="AI20" s="954" t="str">
        <f ca="1">IFERROR($K20*44/12*参考2_エネ使用量経年!AI21*参考2_エネ使用量経年!$K21,"")</f>
        <v/>
      </c>
      <c r="AJ20" s="954" t="str">
        <f ca="1">IFERROR($H20*44/12*参考2_エネ使用量経年!AJ21*参考2_エネ使用量経年!$H21,"")</f>
        <v/>
      </c>
      <c r="AK20" s="954" t="str">
        <f ca="1">IFERROR($I20*44/12*参考2_エネ使用量経年!AK21*参考2_エネ使用量経年!$I21,"")</f>
        <v/>
      </c>
      <c r="AL20" s="954" t="str">
        <f ca="1">IFERROR($J20*44/12*参考2_エネ使用量経年!AL21*参考2_エネ使用量経年!$J21,"")</f>
        <v/>
      </c>
      <c r="AM20" s="954" t="str">
        <f ca="1">IFERROR($K20*44/12*参考2_エネ使用量経年!AM21*参考2_エネ使用量経年!$K21,"")</f>
        <v/>
      </c>
      <c r="AN20" s="954" t="str">
        <f ca="1">IFERROR($H20*44/12*参考2_エネ使用量経年!AN21*参考2_エネ使用量経年!$H21,"")</f>
        <v/>
      </c>
      <c r="AO20" s="954" t="str">
        <f ca="1">IFERROR($I20*44/12*参考2_エネ使用量経年!AO21*参考2_エネ使用量経年!$I21,"")</f>
        <v/>
      </c>
      <c r="AP20" s="954" t="str">
        <f ca="1">IFERROR($J20*44/12*参考2_エネ使用量経年!AP21*参考2_エネ使用量経年!$J21,"")</f>
        <v/>
      </c>
      <c r="AQ20" s="954" t="str">
        <f ca="1">IFERROR($K20*44/12*参考2_エネ使用量経年!AQ21*参考2_エネ使用量経年!$K21,"")</f>
        <v/>
      </c>
      <c r="AR20" s="954" t="str">
        <f ca="1">IFERROR($H20*44/12*参考2_エネ使用量経年!AR21*参考2_エネ使用量経年!$H21,"")</f>
        <v/>
      </c>
      <c r="AS20" s="954" t="str">
        <f ca="1">IFERROR($I20*44/12*参考2_エネ使用量経年!AS21*参考2_エネ使用量経年!$I21,"")</f>
        <v/>
      </c>
      <c r="AT20" s="954" t="str">
        <f ca="1">IFERROR($J20*44/12*参考2_エネ使用量経年!AT21*参考2_エネ使用量経年!$J21,"")</f>
        <v/>
      </c>
      <c r="AU20" s="954" t="str">
        <f ca="1">IFERROR($K20*44/12*参考2_エネ使用量経年!AU21*参考2_エネ使用量経年!$K21,"")</f>
        <v/>
      </c>
      <c r="AV20" s="954" t="str">
        <f ca="1">IFERROR($H20*44/12*参考2_エネ使用量経年!AV21*参考2_エネ使用量経年!$H21,"")</f>
        <v/>
      </c>
      <c r="AW20" s="954" t="str">
        <f ca="1">IFERROR($I20*44/12*参考2_エネ使用量経年!AW21*参考2_エネ使用量経年!$I21,"")</f>
        <v/>
      </c>
      <c r="AX20" s="954" t="str">
        <f ca="1">IFERROR($J20*44/12*参考2_エネ使用量経年!AX21*参考2_エネ使用量経年!$J21,"")</f>
        <v/>
      </c>
      <c r="AY20" s="954" t="str">
        <f ca="1">IFERROR($K20*44/12*参考2_エネ使用量経年!AY21*参考2_エネ使用量経年!$K21,"")</f>
        <v/>
      </c>
      <c r="AZ20" s="954" t="str">
        <f ca="1">IFERROR($H20*44/12*参考2_エネ使用量経年!AZ21*参考2_エネ使用量経年!$H21,"")</f>
        <v/>
      </c>
      <c r="BA20" s="954" t="str">
        <f ca="1">IFERROR($I20*44/12*参考2_エネ使用量経年!BA21*参考2_エネ使用量経年!$I21,"")</f>
        <v/>
      </c>
      <c r="BB20" s="954" t="str">
        <f ca="1">IFERROR($J20*44/12*参考2_エネ使用量経年!BB21*参考2_エネ使用量経年!$J21,"")</f>
        <v/>
      </c>
      <c r="BC20" s="954" t="str">
        <f ca="1">IFERROR($K20*44/12*参考2_エネ使用量経年!BC21*参考2_エネ使用量経年!$K21,"")</f>
        <v/>
      </c>
      <c r="BD20" s="954" t="str">
        <f ca="1">IFERROR($H20*44/12*参考2_エネ使用量経年!BD21*参考2_エネ使用量経年!$H21,"")</f>
        <v/>
      </c>
      <c r="BE20" s="954" t="str">
        <f ca="1">IFERROR($I20*44/12*参考2_エネ使用量経年!BE21*参考2_エネ使用量経年!$I21,"")</f>
        <v/>
      </c>
      <c r="BF20" s="954" t="str">
        <f ca="1">IFERROR($J20*44/12*参考2_エネ使用量経年!BF21*参考2_エネ使用量経年!$J21,"")</f>
        <v/>
      </c>
      <c r="BG20" s="954" t="str">
        <f ca="1">IFERROR($K20*44/12*参考2_エネ使用量経年!BG21*参考2_エネ使用量経年!$K21,"")</f>
        <v/>
      </c>
      <c r="BH20" s="954" t="str">
        <f ca="1">IFERROR($H20*44/12*参考2_エネ使用量経年!BH21*参考2_エネ使用量経年!$H21,"")</f>
        <v/>
      </c>
      <c r="BI20" s="954" t="str">
        <f ca="1">IFERROR($I20*44/12*参考2_エネ使用量経年!BI21*参考2_エネ使用量経年!$I21,"")</f>
        <v/>
      </c>
      <c r="BJ20" s="954" t="str">
        <f ca="1">IFERROR($J20*44/12*参考2_エネ使用量経年!BJ21*参考2_エネ使用量経年!$J21,"")</f>
        <v/>
      </c>
      <c r="BK20" s="954" t="str">
        <f ca="1">IFERROR($K20*44/12*参考2_エネ使用量経年!BK21*参考2_エネ使用量経年!$K21,"")</f>
        <v/>
      </c>
      <c r="BL20" s="954" t="str">
        <f ca="1">IFERROR($H20*44/12*参考2_エネ使用量経年!BL21*参考2_エネ使用量経年!$H21,"")</f>
        <v/>
      </c>
      <c r="BM20" s="954" t="str">
        <f ca="1">IFERROR($I20*44/12*参考2_エネ使用量経年!BM21*参考2_エネ使用量経年!$I21,"")</f>
        <v/>
      </c>
      <c r="BN20" s="954" t="str">
        <f ca="1">IFERROR($J20*44/12*参考2_エネ使用量経年!BN21*参考2_エネ使用量経年!$J21,"")</f>
        <v/>
      </c>
      <c r="BO20" s="954" t="str">
        <f ca="1">IFERROR($K20*44/12*参考2_エネ使用量経年!BO21*参考2_エネ使用量経年!$K21,"")</f>
        <v/>
      </c>
    </row>
    <row r="21" spans="1:67" ht="20.100000000000001" hidden="1" customHeight="1" outlineLevel="1">
      <c r="A21" s="952">
        <v>21</v>
      </c>
      <c r="B21" s="1871"/>
      <c r="C21" s="1872"/>
      <c r="D21" s="824" t="s">
        <v>4396</v>
      </c>
      <c r="E21" s="818"/>
      <c r="F21" s="825"/>
      <c r="G21" s="891" t="s">
        <v>4685</v>
      </c>
      <c r="H21" s="953">
        <f t="shared" ca="1" si="0"/>
        <v>1.3899999999999999E-2</v>
      </c>
      <c r="I21" s="953">
        <f t="shared" ca="1" si="1"/>
        <v>1.3899999999999999E-2</v>
      </c>
      <c r="J21" s="953">
        <f t="shared" ca="1" si="2"/>
        <v>1.3899999999999999E-2</v>
      </c>
      <c r="K21" s="953">
        <f t="shared" ca="1" si="3"/>
        <v>1.3899999999999999E-2</v>
      </c>
      <c r="L21" s="954">
        <f ca="1">IFERROR($H21*44/12*参考2_エネ使用量経年!L22*参考2_エネ使用量経年!$H22,"")</f>
        <v>0</v>
      </c>
      <c r="M21" s="954">
        <f ca="1">IFERROR($I21*44/12*参考2_エネ使用量経年!M22*参考2_エネ使用量経年!$I22,"")</f>
        <v>0</v>
      </c>
      <c r="N21" s="954">
        <f ca="1">IFERROR($J21*44/12*参考2_エネ使用量経年!N22*参考2_エネ使用量経年!$J22,"")</f>
        <v>0</v>
      </c>
      <c r="O21" s="954">
        <f ca="1">IFERROR($K21*44/12*参考2_エネ使用量経年!O22*参考2_エネ使用量経年!$K22,"")</f>
        <v>0</v>
      </c>
      <c r="P21" s="954">
        <f ca="1">IFERROR($H21*44/12*参考2_エネ使用量経年!P22*参考2_エネ使用量経年!$H22,"")</f>
        <v>0</v>
      </c>
      <c r="Q21" s="954">
        <f ca="1">IFERROR($I21*44/12*参考2_エネ使用量経年!Q22*参考2_エネ使用量経年!$I22,"")</f>
        <v>0</v>
      </c>
      <c r="R21" s="954">
        <f ca="1">IFERROR($J21*44/12*参考2_エネ使用量経年!R22*参考2_エネ使用量経年!$J22,"")</f>
        <v>0</v>
      </c>
      <c r="S21" s="954">
        <f ca="1">IFERROR($K21*44/12*参考2_エネ使用量経年!S22*参考2_エネ使用量経年!$K22,"")</f>
        <v>0</v>
      </c>
      <c r="T21" s="954">
        <f ca="1">IFERROR($H21*44/12*参考2_エネ使用量経年!T22*参考2_エネ使用量経年!$H22,"")</f>
        <v>0</v>
      </c>
      <c r="U21" s="954">
        <f ca="1">IFERROR($I21*44/12*参考2_エネ使用量経年!U22*参考2_エネ使用量経年!$I22,"")</f>
        <v>0</v>
      </c>
      <c r="V21" s="954">
        <f ca="1">IFERROR($J21*44/12*参考2_エネ使用量経年!V22*参考2_エネ使用量経年!$J22,"")</f>
        <v>0</v>
      </c>
      <c r="W21" s="954">
        <f ca="1">IFERROR($K21*44/12*参考2_エネ使用量経年!W22*参考2_エネ使用量経年!$K22,"")</f>
        <v>0</v>
      </c>
      <c r="X21" s="954">
        <f ca="1">IFERROR($H21*44/12*参考2_エネ使用量経年!X22*参考2_エネ使用量経年!$H22,"")</f>
        <v>0</v>
      </c>
      <c r="Y21" s="954">
        <f ca="1">IFERROR($I21*44/12*参考2_エネ使用量経年!Y22*参考2_エネ使用量経年!$I22,"")</f>
        <v>0</v>
      </c>
      <c r="Z21" s="954">
        <f ca="1">IFERROR($J21*44/12*参考2_エネ使用量経年!Z22*参考2_エネ使用量経年!$J22,"")</f>
        <v>0</v>
      </c>
      <c r="AA21" s="954">
        <f ca="1">IFERROR($K21*44/12*参考2_エネ使用量経年!AA22*参考2_エネ使用量経年!$K22,"")</f>
        <v>0</v>
      </c>
      <c r="AB21" s="954" t="str">
        <f ca="1">IFERROR($H21*44/12*参考2_エネ使用量経年!AB22*参考2_エネ使用量経年!$H22,"")</f>
        <v/>
      </c>
      <c r="AC21" s="954" t="str">
        <f ca="1">IFERROR($I21*44/12*参考2_エネ使用量経年!AC22*参考2_エネ使用量経年!$I22,"")</f>
        <v/>
      </c>
      <c r="AD21" s="954" t="str">
        <f ca="1">IFERROR($J21*44/12*参考2_エネ使用量経年!AD22*参考2_エネ使用量経年!$J22,"")</f>
        <v/>
      </c>
      <c r="AE21" s="954" t="str">
        <f ca="1">IFERROR($K21*44/12*参考2_エネ使用量経年!AE22*参考2_エネ使用量経年!$K22,"")</f>
        <v/>
      </c>
      <c r="AF21" s="954" t="str">
        <f ca="1">IFERROR($H21*44/12*参考2_エネ使用量経年!AF22*参考2_エネ使用量経年!$H22,"")</f>
        <v/>
      </c>
      <c r="AG21" s="954" t="str">
        <f ca="1">IFERROR($I21*44/12*参考2_エネ使用量経年!AG22*参考2_エネ使用量経年!$I22,"")</f>
        <v/>
      </c>
      <c r="AH21" s="954" t="str">
        <f ca="1">IFERROR($J21*44/12*参考2_エネ使用量経年!AH22*参考2_エネ使用量経年!$J22,"")</f>
        <v/>
      </c>
      <c r="AI21" s="954" t="str">
        <f ca="1">IFERROR($K21*44/12*参考2_エネ使用量経年!AI22*参考2_エネ使用量経年!$K22,"")</f>
        <v/>
      </c>
      <c r="AJ21" s="954" t="str">
        <f ca="1">IFERROR($H21*44/12*参考2_エネ使用量経年!AJ22*参考2_エネ使用量経年!$H22,"")</f>
        <v/>
      </c>
      <c r="AK21" s="954" t="str">
        <f ca="1">IFERROR($I21*44/12*参考2_エネ使用量経年!AK22*参考2_エネ使用量経年!$I22,"")</f>
        <v/>
      </c>
      <c r="AL21" s="954" t="str">
        <f ca="1">IFERROR($J21*44/12*参考2_エネ使用量経年!AL22*参考2_エネ使用量経年!$J22,"")</f>
        <v/>
      </c>
      <c r="AM21" s="954" t="str">
        <f ca="1">IFERROR($K21*44/12*参考2_エネ使用量経年!AM22*参考2_エネ使用量経年!$K22,"")</f>
        <v/>
      </c>
      <c r="AN21" s="954" t="str">
        <f ca="1">IFERROR($H21*44/12*参考2_エネ使用量経年!AN22*参考2_エネ使用量経年!$H22,"")</f>
        <v/>
      </c>
      <c r="AO21" s="954" t="str">
        <f ca="1">IFERROR($I21*44/12*参考2_エネ使用量経年!AO22*参考2_エネ使用量経年!$I22,"")</f>
        <v/>
      </c>
      <c r="AP21" s="954" t="str">
        <f ca="1">IFERROR($J21*44/12*参考2_エネ使用量経年!AP22*参考2_エネ使用量経年!$J22,"")</f>
        <v/>
      </c>
      <c r="AQ21" s="954" t="str">
        <f ca="1">IFERROR($K21*44/12*参考2_エネ使用量経年!AQ22*参考2_エネ使用量経年!$K22,"")</f>
        <v/>
      </c>
      <c r="AR21" s="954" t="str">
        <f ca="1">IFERROR($H21*44/12*参考2_エネ使用量経年!AR22*参考2_エネ使用量経年!$H22,"")</f>
        <v/>
      </c>
      <c r="AS21" s="954" t="str">
        <f ca="1">IFERROR($I21*44/12*参考2_エネ使用量経年!AS22*参考2_エネ使用量経年!$I22,"")</f>
        <v/>
      </c>
      <c r="AT21" s="954" t="str">
        <f ca="1">IFERROR($J21*44/12*参考2_エネ使用量経年!AT22*参考2_エネ使用量経年!$J22,"")</f>
        <v/>
      </c>
      <c r="AU21" s="954" t="str">
        <f ca="1">IFERROR($K21*44/12*参考2_エネ使用量経年!AU22*参考2_エネ使用量経年!$K22,"")</f>
        <v/>
      </c>
      <c r="AV21" s="954" t="str">
        <f ca="1">IFERROR($H21*44/12*参考2_エネ使用量経年!AV22*参考2_エネ使用量経年!$H22,"")</f>
        <v/>
      </c>
      <c r="AW21" s="954" t="str">
        <f ca="1">IFERROR($I21*44/12*参考2_エネ使用量経年!AW22*参考2_エネ使用量経年!$I22,"")</f>
        <v/>
      </c>
      <c r="AX21" s="954" t="str">
        <f ca="1">IFERROR($J21*44/12*参考2_エネ使用量経年!AX22*参考2_エネ使用量経年!$J22,"")</f>
        <v/>
      </c>
      <c r="AY21" s="954" t="str">
        <f ca="1">IFERROR($K21*44/12*参考2_エネ使用量経年!AY22*参考2_エネ使用量経年!$K22,"")</f>
        <v/>
      </c>
      <c r="AZ21" s="954" t="str">
        <f ca="1">IFERROR($H21*44/12*参考2_エネ使用量経年!AZ22*参考2_エネ使用量経年!$H22,"")</f>
        <v/>
      </c>
      <c r="BA21" s="954" t="str">
        <f ca="1">IFERROR($I21*44/12*参考2_エネ使用量経年!BA22*参考2_エネ使用量経年!$I22,"")</f>
        <v/>
      </c>
      <c r="BB21" s="954" t="str">
        <f ca="1">IFERROR($J21*44/12*参考2_エネ使用量経年!BB22*参考2_エネ使用量経年!$J22,"")</f>
        <v/>
      </c>
      <c r="BC21" s="954" t="str">
        <f ca="1">IFERROR($K21*44/12*参考2_エネ使用量経年!BC22*参考2_エネ使用量経年!$K22,"")</f>
        <v/>
      </c>
      <c r="BD21" s="954" t="str">
        <f ca="1">IFERROR($H21*44/12*参考2_エネ使用量経年!BD22*参考2_エネ使用量経年!$H22,"")</f>
        <v/>
      </c>
      <c r="BE21" s="954" t="str">
        <f ca="1">IFERROR($I21*44/12*参考2_エネ使用量経年!BE22*参考2_エネ使用量経年!$I22,"")</f>
        <v/>
      </c>
      <c r="BF21" s="954" t="str">
        <f ca="1">IFERROR($J21*44/12*参考2_エネ使用量経年!BF22*参考2_エネ使用量経年!$J22,"")</f>
        <v/>
      </c>
      <c r="BG21" s="954" t="str">
        <f ca="1">IFERROR($K21*44/12*参考2_エネ使用量経年!BG22*参考2_エネ使用量経年!$K22,"")</f>
        <v/>
      </c>
      <c r="BH21" s="954" t="str">
        <f ca="1">IFERROR($H21*44/12*参考2_エネ使用量経年!BH22*参考2_エネ使用量経年!$H22,"")</f>
        <v/>
      </c>
      <c r="BI21" s="954" t="str">
        <f ca="1">IFERROR($I21*44/12*参考2_エネ使用量経年!BI22*参考2_エネ使用量経年!$I22,"")</f>
        <v/>
      </c>
      <c r="BJ21" s="954" t="str">
        <f ca="1">IFERROR($J21*44/12*参考2_エネ使用量経年!BJ22*参考2_エネ使用量経年!$J22,"")</f>
        <v/>
      </c>
      <c r="BK21" s="954" t="str">
        <f ca="1">IFERROR($K21*44/12*参考2_エネ使用量経年!BK22*参考2_エネ使用量経年!$K22,"")</f>
        <v/>
      </c>
      <c r="BL21" s="954" t="str">
        <f ca="1">IFERROR($H21*44/12*参考2_エネ使用量経年!BL22*参考2_エネ使用量経年!$H22,"")</f>
        <v/>
      </c>
      <c r="BM21" s="954" t="str">
        <f ca="1">IFERROR($I21*44/12*参考2_エネ使用量経年!BM22*参考2_エネ使用量経年!$I22,"")</f>
        <v/>
      </c>
      <c r="BN21" s="954" t="str">
        <f ca="1">IFERROR($J21*44/12*参考2_エネ使用量経年!BN22*参考2_エネ使用量経年!$J22,"")</f>
        <v/>
      </c>
      <c r="BO21" s="954" t="str">
        <f ca="1">IFERROR($K21*44/12*参考2_エネ使用量経年!BO22*参考2_エネ使用量経年!$K22,"")</f>
        <v/>
      </c>
    </row>
    <row r="22" spans="1:67" ht="20.100000000000001" hidden="1" customHeight="1" outlineLevel="1">
      <c r="A22" s="952">
        <v>22</v>
      </c>
      <c r="B22" s="1870"/>
      <c r="C22" s="1872"/>
      <c r="D22" s="824" t="s">
        <v>4397</v>
      </c>
      <c r="E22" s="824"/>
      <c r="F22" s="825"/>
      <c r="G22" s="891" t="s">
        <v>4685</v>
      </c>
      <c r="H22" s="953">
        <f t="shared" ca="1" si="0"/>
        <v>1.3899999999999999E-2</v>
      </c>
      <c r="I22" s="953">
        <f t="shared" ca="1" si="1"/>
        <v>1.3899999999999999E-2</v>
      </c>
      <c r="J22" s="953">
        <f t="shared" ca="1" si="2"/>
        <v>1.3899999999999999E-2</v>
      </c>
      <c r="K22" s="953">
        <f t="shared" ca="1" si="3"/>
        <v>1.3899999999999999E-2</v>
      </c>
      <c r="L22" s="954">
        <f ca="1">IFERROR($H22*44/12*参考2_エネ使用量経年!L23*参考2_エネ使用量経年!$H23,"")</f>
        <v>0</v>
      </c>
      <c r="M22" s="954">
        <f ca="1">IFERROR($I22*44/12*参考2_エネ使用量経年!M23*参考2_エネ使用量経年!$I23,"")</f>
        <v>0</v>
      </c>
      <c r="N22" s="954">
        <f ca="1">IFERROR($J22*44/12*参考2_エネ使用量経年!N23*参考2_エネ使用量経年!$J23,"")</f>
        <v>0</v>
      </c>
      <c r="O22" s="954">
        <f ca="1">IFERROR($K22*44/12*参考2_エネ使用量経年!O23*参考2_エネ使用量経年!$K23,"")</f>
        <v>0</v>
      </c>
      <c r="P22" s="954">
        <f ca="1">IFERROR($H22*44/12*参考2_エネ使用量経年!P23*参考2_エネ使用量経年!$H23,"")</f>
        <v>0</v>
      </c>
      <c r="Q22" s="954">
        <f ca="1">IFERROR($I22*44/12*参考2_エネ使用量経年!Q23*参考2_エネ使用量経年!$I23,"")</f>
        <v>0</v>
      </c>
      <c r="R22" s="954">
        <f ca="1">IFERROR($J22*44/12*参考2_エネ使用量経年!R23*参考2_エネ使用量経年!$J23,"")</f>
        <v>0</v>
      </c>
      <c r="S22" s="954">
        <f ca="1">IFERROR($K22*44/12*参考2_エネ使用量経年!S23*参考2_エネ使用量経年!$K23,"")</f>
        <v>0</v>
      </c>
      <c r="T22" s="954">
        <f ca="1">IFERROR($H22*44/12*参考2_エネ使用量経年!T23*参考2_エネ使用量経年!$H23,"")</f>
        <v>0</v>
      </c>
      <c r="U22" s="954">
        <f ca="1">IFERROR($I22*44/12*参考2_エネ使用量経年!U23*参考2_エネ使用量経年!$I23,"")</f>
        <v>0</v>
      </c>
      <c r="V22" s="954">
        <f ca="1">IFERROR($J22*44/12*参考2_エネ使用量経年!V23*参考2_エネ使用量経年!$J23,"")</f>
        <v>0</v>
      </c>
      <c r="W22" s="954">
        <f ca="1">IFERROR($K22*44/12*参考2_エネ使用量経年!W23*参考2_エネ使用量経年!$K23,"")</f>
        <v>0</v>
      </c>
      <c r="X22" s="954">
        <f ca="1">IFERROR($H22*44/12*参考2_エネ使用量経年!X23*参考2_エネ使用量経年!$H23,"")</f>
        <v>0</v>
      </c>
      <c r="Y22" s="954">
        <f ca="1">IFERROR($I22*44/12*参考2_エネ使用量経年!Y23*参考2_エネ使用量経年!$I23,"")</f>
        <v>0</v>
      </c>
      <c r="Z22" s="954">
        <f ca="1">IFERROR($J22*44/12*参考2_エネ使用量経年!Z23*参考2_エネ使用量経年!$J23,"")</f>
        <v>0</v>
      </c>
      <c r="AA22" s="954">
        <f ca="1">IFERROR($K22*44/12*参考2_エネ使用量経年!AA23*参考2_エネ使用量経年!$K23,"")</f>
        <v>0</v>
      </c>
      <c r="AB22" s="954" t="str">
        <f ca="1">IFERROR($H22*44/12*参考2_エネ使用量経年!AB23*参考2_エネ使用量経年!$H23,"")</f>
        <v/>
      </c>
      <c r="AC22" s="954" t="str">
        <f ca="1">IFERROR($I22*44/12*参考2_エネ使用量経年!AC23*参考2_エネ使用量経年!$I23,"")</f>
        <v/>
      </c>
      <c r="AD22" s="954" t="str">
        <f ca="1">IFERROR($J22*44/12*参考2_エネ使用量経年!AD23*参考2_エネ使用量経年!$J23,"")</f>
        <v/>
      </c>
      <c r="AE22" s="954" t="str">
        <f ca="1">IFERROR($K22*44/12*参考2_エネ使用量経年!AE23*参考2_エネ使用量経年!$K23,"")</f>
        <v/>
      </c>
      <c r="AF22" s="954" t="str">
        <f ca="1">IFERROR($H22*44/12*参考2_エネ使用量経年!AF23*参考2_エネ使用量経年!$H23,"")</f>
        <v/>
      </c>
      <c r="AG22" s="954" t="str">
        <f ca="1">IFERROR($I22*44/12*参考2_エネ使用量経年!AG23*参考2_エネ使用量経年!$I23,"")</f>
        <v/>
      </c>
      <c r="AH22" s="954" t="str">
        <f ca="1">IFERROR($J22*44/12*参考2_エネ使用量経年!AH23*参考2_エネ使用量経年!$J23,"")</f>
        <v/>
      </c>
      <c r="AI22" s="954" t="str">
        <f ca="1">IFERROR($K22*44/12*参考2_エネ使用量経年!AI23*参考2_エネ使用量経年!$K23,"")</f>
        <v/>
      </c>
      <c r="AJ22" s="954" t="str">
        <f ca="1">IFERROR($H22*44/12*参考2_エネ使用量経年!AJ23*参考2_エネ使用量経年!$H23,"")</f>
        <v/>
      </c>
      <c r="AK22" s="954" t="str">
        <f ca="1">IFERROR($I22*44/12*参考2_エネ使用量経年!AK23*参考2_エネ使用量経年!$I23,"")</f>
        <v/>
      </c>
      <c r="AL22" s="954" t="str">
        <f ca="1">IFERROR($J22*44/12*参考2_エネ使用量経年!AL23*参考2_エネ使用量経年!$J23,"")</f>
        <v/>
      </c>
      <c r="AM22" s="954" t="str">
        <f ca="1">IFERROR($K22*44/12*参考2_エネ使用量経年!AM23*参考2_エネ使用量経年!$K23,"")</f>
        <v/>
      </c>
      <c r="AN22" s="954" t="str">
        <f ca="1">IFERROR($H22*44/12*参考2_エネ使用量経年!AN23*参考2_エネ使用量経年!$H23,"")</f>
        <v/>
      </c>
      <c r="AO22" s="954" t="str">
        <f ca="1">IFERROR($I22*44/12*参考2_エネ使用量経年!AO23*参考2_エネ使用量経年!$I23,"")</f>
        <v/>
      </c>
      <c r="AP22" s="954" t="str">
        <f ca="1">IFERROR($J22*44/12*参考2_エネ使用量経年!AP23*参考2_エネ使用量経年!$J23,"")</f>
        <v/>
      </c>
      <c r="AQ22" s="954" t="str">
        <f ca="1">IFERROR($K22*44/12*参考2_エネ使用量経年!AQ23*参考2_エネ使用量経年!$K23,"")</f>
        <v/>
      </c>
      <c r="AR22" s="954" t="str">
        <f ca="1">IFERROR($H22*44/12*参考2_エネ使用量経年!AR23*参考2_エネ使用量経年!$H23,"")</f>
        <v/>
      </c>
      <c r="AS22" s="954" t="str">
        <f ca="1">IFERROR($I22*44/12*参考2_エネ使用量経年!AS23*参考2_エネ使用量経年!$I23,"")</f>
        <v/>
      </c>
      <c r="AT22" s="954" t="str">
        <f ca="1">IFERROR($J22*44/12*参考2_エネ使用量経年!AT23*参考2_エネ使用量経年!$J23,"")</f>
        <v/>
      </c>
      <c r="AU22" s="954" t="str">
        <f ca="1">IFERROR($K22*44/12*参考2_エネ使用量経年!AU23*参考2_エネ使用量経年!$K23,"")</f>
        <v/>
      </c>
      <c r="AV22" s="954" t="str">
        <f ca="1">IFERROR($H22*44/12*参考2_エネ使用量経年!AV23*参考2_エネ使用量経年!$H23,"")</f>
        <v/>
      </c>
      <c r="AW22" s="954" t="str">
        <f ca="1">IFERROR($I22*44/12*参考2_エネ使用量経年!AW23*参考2_エネ使用量経年!$I23,"")</f>
        <v/>
      </c>
      <c r="AX22" s="954" t="str">
        <f ca="1">IFERROR($J22*44/12*参考2_エネ使用量経年!AX23*参考2_エネ使用量経年!$J23,"")</f>
        <v/>
      </c>
      <c r="AY22" s="954" t="str">
        <f ca="1">IFERROR($K22*44/12*参考2_エネ使用量経年!AY23*参考2_エネ使用量経年!$K23,"")</f>
        <v/>
      </c>
      <c r="AZ22" s="954" t="str">
        <f ca="1">IFERROR($H22*44/12*参考2_エネ使用量経年!AZ23*参考2_エネ使用量経年!$H23,"")</f>
        <v/>
      </c>
      <c r="BA22" s="954" t="str">
        <f ca="1">IFERROR($I22*44/12*参考2_エネ使用量経年!BA23*参考2_エネ使用量経年!$I23,"")</f>
        <v/>
      </c>
      <c r="BB22" s="954" t="str">
        <f ca="1">IFERROR($J22*44/12*参考2_エネ使用量経年!BB23*参考2_エネ使用量経年!$J23,"")</f>
        <v/>
      </c>
      <c r="BC22" s="954" t="str">
        <f ca="1">IFERROR($K22*44/12*参考2_エネ使用量経年!BC23*参考2_エネ使用量経年!$K23,"")</f>
        <v/>
      </c>
      <c r="BD22" s="954" t="str">
        <f ca="1">IFERROR($H22*44/12*参考2_エネ使用量経年!BD23*参考2_エネ使用量経年!$H23,"")</f>
        <v/>
      </c>
      <c r="BE22" s="954" t="str">
        <f ca="1">IFERROR($I22*44/12*参考2_エネ使用量経年!BE23*参考2_エネ使用量経年!$I23,"")</f>
        <v/>
      </c>
      <c r="BF22" s="954" t="str">
        <f ca="1">IFERROR($J22*44/12*参考2_エネ使用量経年!BF23*参考2_エネ使用量経年!$J23,"")</f>
        <v/>
      </c>
      <c r="BG22" s="954" t="str">
        <f ca="1">IFERROR($K22*44/12*参考2_エネ使用量経年!BG23*参考2_エネ使用量経年!$K23,"")</f>
        <v/>
      </c>
      <c r="BH22" s="954" t="str">
        <f ca="1">IFERROR($H22*44/12*参考2_エネ使用量経年!BH23*参考2_エネ使用量経年!$H23,"")</f>
        <v/>
      </c>
      <c r="BI22" s="954" t="str">
        <f ca="1">IFERROR($I22*44/12*参考2_エネ使用量経年!BI23*参考2_エネ使用量経年!$I23,"")</f>
        <v/>
      </c>
      <c r="BJ22" s="954" t="str">
        <f ca="1">IFERROR($J22*44/12*参考2_エネ使用量経年!BJ23*参考2_エネ使用量経年!$J23,"")</f>
        <v/>
      </c>
      <c r="BK22" s="954" t="str">
        <f ca="1">IFERROR($K22*44/12*参考2_エネ使用量経年!BK23*参考2_エネ使用量経年!$K23,"")</f>
        <v/>
      </c>
      <c r="BL22" s="954" t="str">
        <f ca="1">IFERROR($H22*44/12*参考2_エネ使用量経年!BL23*参考2_エネ使用量経年!$H23,"")</f>
        <v/>
      </c>
      <c r="BM22" s="954" t="str">
        <f ca="1">IFERROR($I22*44/12*参考2_エネ使用量経年!BM23*参考2_エネ使用量経年!$I23,"")</f>
        <v/>
      </c>
      <c r="BN22" s="954" t="str">
        <f ca="1">IFERROR($J22*44/12*参考2_エネ使用量経年!BN23*参考2_エネ使用量経年!$J23,"")</f>
        <v/>
      </c>
      <c r="BO22" s="954" t="str">
        <f ca="1">IFERROR($K22*44/12*参考2_エネ使用量経年!BO23*参考2_エネ使用量経年!$K23,"")</f>
        <v/>
      </c>
    </row>
    <row r="23" spans="1:67" ht="20.100000000000001" hidden="1" customHeight="1" outlineLevel="1">
      <c r="A23" s="952">
        <v>23</v>
      </c>
      <c r="B23" s="1870"/>
      <c r="C23" s="1872"/>
      <c r="D23" s="824" t="s">
        <v>4398</v>
      </c>
      <c r="E23" s="824"/>
      <c r="F23" s="825"/>
      <c r="G23" s="891" t="s">
        <v>4685</v>
      </c>
      <c r="H23" s="953">
        <f t="shared" ca="1" si="0"/>
        <v>2.46E-2</v>
      </c>
      <c r="I23" s="953">
        <f t="shared" ca="1" si="1"/>
        <v>2.46E-2</v>
      </c>
      <c r="J23" s="953">
        <f t="shared" ca="1" si="2"/>
        <v>2.46E-2</v>
      </c>
      <c r="K23" s="953">
        <f t="shared" ca="1" si="3"/>
        <v>2.46E-2</v>
      </c>
      <c r="L23" s="954">
        <f ca="1">IFERROR($H23*44/12*参考2_エネ使用量経年!L24*参考2_エネ使用量経年!$H24,"")</f>
        <v>0</v>
      </c>
      <c r="M23" s="954">
        <f ca="1">IFERROR($I23*44/12*参考2_エネ使用量経年!M24*参考2_エネ使用量経年!$I24,"")</f>
        <v>0</v>
      </c>
      <c r="N23" s="954">
        <f ca="1">IFERROR($J23*44/12*参考2_エネ使用量経年!N24*参考2_エネ使用量経年!$J24,"")</f>
        <v>0</v>
      </c>
      <c r="O23" s="954">
        <f ca="1">IFERROR($K23*44/12*参考2_エネ使用量経年!O24*参考2_エネ使用量経年!$K24,"")</f>
        <v>0</v>
      </c>
      <c r="P23" s="954">
        <f ca="1">IFERROR($H23*44/12*参考2_エネ使用量経年!P24*参考2_エネ使用量経年!$H24,"")</f>
        <v>0</v>
      </c>
      <c r="Q23" s="954">
        <f ca="1">IFERROR($I23*44/12*参考2_エネ使用量経年!Q24*参考2_エネ使用量経年!$I24,"")</f>
        <v>0</v>
      </c>
      <c r="R23" s="954">
        <f ca="1">IFERROR($J23*44/12*参考2_エネ使用量経年!R24*参考2_エネ使用量経年!$J24,"")</f>
        <v>0</v>
      </c>
      <c r="S23" s="954">
        <f ca="1">IFERROR($K23*44/12*参考2_エネ使用量経年!S24*参考2_エネ使用量経年!$K24,"")</f>
        <v>0</v>
      </c>
      <c r="T23" s="954">
        <f ca="1">IFERROR($H23*44/12*参考2_エネ使用量経年!T24*参考2_エネ使用量経年!$H24,"")</f>
        <v>0</v>
      </c>
      <c r="U23" s="954">
        <f ca="1">IFERROR($I23*44/12*参考2_エネ使用量経年!U24*参考2_エネ使用量経年!$I24,"")</f>
        <v>0</v>
      </c>
      <c r="V23" s="954">
        <f ca="1">IFERROR($J23*44/12*参考2_エネ使用量経年!V24*参考2_エネ使用量経年!$J24,"")</f>
        <v>0</v>
      </c>
      <c r="W23" s="954">
        <f ca="1">IFERROR($K23*44/12*参考2_エネ使用量経年!W24*参考2_エネ使用量経年!$K24,"")</f>
        <v>0</v>
      </c>
      <c r="X23" s="954">
        <f ca="1">IFERROR($H23*44/12*参考2_エネ使用量経年!X24*参考2_エネ使用量経年!$H24,"")</f>
        <v>0</v>
      </c>
      <c r="Y23" s="954">
        <f ca="1">IFERROR($I23*44/12*参考2_エネ使用量経年!Y24*参考2_エネ使用量経年!$I24,"")</f>
        <v>0</v>
      </c>
      <c r="Z23" s="954">
        <f ca="1">IFERROR($J23*44/12*参考2_エネ使用量経年!Z24*参考2_エネ使用量経年!$J24,"")</f>
        <v>0</v>
      </c>
      <c r="AA23" s="954">
        <f ca="1">IFERROR($K23*44/12*参考2_エネ使用量経年!AA24*参考2_エネ使用量経年!$K24,"")</f>
        <v>0</v>
      </c>
      <c r="AB23" s="954" t="str">
        <f ca="1">IFERROR($H23*44/12*参考2_エネ使用量経年!AB24*参考2_エネ使用量経年!$H24,"")</f>
        <v/>
      </c>
      <c r="AC23" s="954" t="str">
        <f ca="1">IFERROR($I23*44/12*参考2_エネ使用量経年!AC24*参考2_エネ使用量経年!$I24,"")</f>
        <v/>
      </c>
      <c r="AD23" s="954" t="str">
        <f ca="1">IFERROR($J23*44/12*参考2_エネ使用量経年!AD24*参考2_エネ使用量経年!$J24,"")</f>
        <v/>
      </c>
      <c r="AE23" s="954" t="str">
        <f ca="1">IFERROR($K23*44/12*参考2_エネ使用量経年!AE24*参考2_エネ使用量経年!$K24,"")</f>
        <v/>
      </c>
      <c r="AF23" s="954" t="str">
        <f ca="1">IFERROR($H23*44/12*参考2_エネ使用量経年!AF24*参考2_エネ使用量経年!$H24,"")</f>
        <v/>
      </c>
      <c r="AG23" s="954" t="str">
        <f ca="1">IFERROR($I23*44/12*参考2_エネ使用量経年!AG24*参考2_エネ使用量経年!$I24,"")</f>
        <v/>
      </c>
      <c r="AH23" s="954" t="str">
        <f ca="1">IFERROR($J23*44/12*参考2_エネ使用量経年!AH24*参考2_エネ使用量経年!$J24,"")</f>
        <v/>
      </c>
      <c r="AI23" s="954" t="str">
        <f ca="1">IFERROR($K23*44/12*参考2_エネ使用量経年!AI24*参考2_エネ使用量経年!$K24,"")</f>
        <v/>
      </c>
      <c r="AJ23" s="954" t="str">
        <f ca="1">IFERROR($H23*44/12*参考2_エネ使用量経年!AJ24*参考2_エネ使用量経年!$H24,"")</f>
        <v/>
      </c>
      <c r="AK23" s="954" t="str">
        <f ca="1">IFERROR($I23*44/12*参考2_エネ使用量経年!AK24*参考2_エネ使用量経年!$I24,"")</f>
        <v/>
      </c>
      <c r="AL23" s="954" t="str">
        <f ca="1">IFERROR($J23*44/12*参考2_エネ使用量経年!AL24*参考2_エネ使用量経年!$J24,"")</f>
        <v/>
      </c>
      <c r="AM23" s="954" t="str">
        <f ca="1">IFERROR($K23*44/12*参考2_エネ使用量経年!AM24*参考2_エネ使用量経年!$K24,"")</f>
        <v/>
      </c>
      <c r="AN23" s="954" t="str">
        <f ca="1">IFERROR($H23*44/12*参考2_エネ使用量経年!AN24*参考2_エネ使用量経年!$H24,"")</f>
        <v/>
      </c>
      <c r="AO23" s="954" t="str">
        <f ca="1">IFERROR($I23*44/12*参考2_エネ使用量経年!AO24*参考2_エネ使用量経年!$I24,"")</f>
        <v/>
      </c>
      <c r="AP23" s="954" t="str">
        <f ca="1">IFERROR($J23*44/12*参考2_エネ使用量経年!AP24*参考2_エネ使用量経年!$J24,"")</f>
        <v/>
      </c>
      <c r="AQ23" s="954" t="str">
        <f ca="1">IFERROR($K23*44/12*参考2_エネ使用量経年!AQ24*参考2_エネ使用量経年!$K24,"")</f>
        <v/>
      </c>
      <c r="AR23" s="954" t="str">
        <f ca="1">IFERROR($H23*44/12*参考2_エネ使用量経年!AR24*参考2_エネ使用量経年!$H24,"")</f>
        <v/>
      </c>
      <c r="AS23" s="954" t="str">
        <f ca="1">IFERROR($I23*44/12*参考2_エネ使用量経年!AS24*参考2_エネ使用量経年!$I24,"")</f>
        <v/>
      </c>
      <c r="AT23" s="954" t="str">
        <f ca="1">IFERROR($J23*44/12*参考2_エネ使用量経年!AT24*参考2_エネ使用量経年!$J24,"")</f>
        <v/>
      </c>
      <c r="AU23" s="954" t="str">
        <f ca="1">IFERROR($K23*44/12*参考2_エネ使用量経年!AU24*参考2_エネ使用量経年!$K24,"")</f>
        <v/>
      </c>
      <c r="AV23" s="954" t="str">
        <f ca="1">IFERROR($H23*44/12*参考2_エネ使用量経年!AV24*参考2_エネ使用量経年!$H24,"")</f>
        <v/>
      </c>
      <c r="AW23" s="954" t="str">
        <f ca="1">IFERROR($I23*44/12*参考2_エネ使用量経年!AW24*参考2_エネ使用量経年!$I24,"")</f>
        <v/>
      </c>
      <c r="AX23" s="954" t="str">
        <f ca="1">IFERROR($J23*44/12*参考2_エネ使用量経年!AX24*参考2_エネ使用量経年!$J24,"")</f>
        <v/>
      </c>
      <c r="AY23" s="954" t="str">
        <f ca="1">IFERROR($K23*44/12*参考2_エネ使用量経年!AY24*参考2_エネ使用量経年!$K24,"")</f>
        <v/>
      </c>
      <c r="AZ23" s="954" t="str">
        <f ca="1">IFERROR($H23*44/12*参考2_エネ使用量経年!AZ24*参考2_エネ使用量経年!$H24,"")</f>
        <v/>
      </c>
      <c r="BA23" s="954" t="str">
        <f ca="1">IFERROR($I23*44/12*参考2_エネ使用量経年!BA24*参考2_エネ使用量経年!$I24,"")</f>
        <v/>
      </c>
      <c r="BB23" s="954" t="str">
        <f ca="1">IFERROR($J23*44/12*参考2_エネ使用量経年!BB24*参考2_エネ使用量経年!$J24,"")</f>
        <v/>
      </c>
      <c r="BC23" s="954" t="str">
        <f ca="1">IFERROR($K23*44/12*参考2_エネ使用量経年!BC24*参考2_エネ使用量経年!$K24,"")</f>
        <v/>
      </c>
      <c r="BD23" s="954" t="str">
        <f ca="1">IFERROR($H23*44/12*参考2_エネ使用量経年!BD24*参考2_エネ使用量経年!$H24,"")</f>
        <v/>
      </c>
      <c r="BE23" s="954" t="str">
        <f ca="1">IFERROR($I23*44/12*参考2_エネ使用量経年!BE24*参考2_エネ使用量経年!$I24,"")</f>
        <v/>
      </c>
      <c r="BF23" s="954" t="str">
        <f ca="1">IFERROR($J23*44/12*参考2_エネ使用量経年!BF24*参考2_エネ使用量経年!$J24,"")</f>
        <v/>
      </c>
      <c r="BG23" s="954" t="str">
        <f ca="1">IFERROR($K23*44/12*参考2_エネ使用量経年!BG24*参考2_エネ使用量経年!$K24,"")</f>
        <v/>
      </c>
      <c r="BH23" s="954" t="str">
        <f ca="1">IFERROR($H23*44/12*参考2_エネ使用量経年!BH24*参考2_エネ使用量経年!$H24,"")</f>
        <v/>
      </c>
      <c r="BI23" s="954" t="str">
        <f ca="1">IFERROR($I23*44/12*参考2_エネ使用量経年!BI24*参考2_エネ使用量経年!$I24,"")</f>
        <v/>
      </c>
      <c r="BJ23" s="954" t="str">
        <f ca="1">IFERROR($J23*44/12*参考2_エネ使用量経年!BJ24*参考2_エネ使用量経年!$J24,"")</f>
        <v/>
      </c>
      <c r="BK23" s="954" t="str">
        <f ca="1">IFERROR($K23*44/12*参考2_エネ使用量経年!BK24*参考2_エネ使用量経年!$K24,"")</f>
        <v/>
      </c>
      <c r="BL23" s="954" t="str">
        <f ca="1">IFERROR($H23*44/12*参考2_エネ使用量経年!BL24*参考2_エネ使用量経年!$H24,"")</f>
        <v/>
      </c>
      <c r="BM23" s="954" t="str">
        <f ca="1">IFERROR($I23*44/12*参考2_エネ使用量経年!BM24*参考2_エネ使用量経年!$I24,"")</f>
        <v/>
      </c>
      <c r="BN23" s="954" t="str">
        <f ca="1">IFERROR($J23*44/12*参考2_エネ使用量経年!BN24*参考2_エネ使用量経年!$J24,"")</f>
        <v/>
      </c>
      <c r="BO23" s="954" t="str">
        <f ca="1">IFERROR($K23*44/12*参考2_エネ使用量経年!BO24*参考2_エネ使用量経年!$K24,"")</f>
        <v/>
      </c>
    </row>
    <row r="24" spans="1:67" ht="20.100000000000001" hidden="1" customHeight="1" outlineLevel="1">
      <c r="A24" s="952">
        <v>24</v>
      </c>
      <c r="B24" s="1870"/>
      <c r="C24" s="1872"/>
      <c r="D24" s="824" t="s">
        <v>4399</v>
      </c>
      <c r="E24" s="818"/>
      <c r="F24" s="825"/>
      <c r="G24" s="891" t="s">
        <v>4685</v>
      </c>
      <c r="H24" s="953">
        <f t="shared" ca="1" si="0"/>
        <v>2.4500000000000001E-2</v>
      </c>
      <c r="I24" s="953">
        <f t="shared" ca="1" si="1"/>
        <v>2.4500000000000001E-2</v>
      </c>
      <c r="J24" s="953">
        <f t="shared" ca="1" si="2"/>
        <v>2.4500000000000001E-2</v>
      </c>
      <c r="K24" s="953">
        <f t="shared" ca="1" si="3"/>
        <v>2.4500000000000001E-2</v>
      </c>
      <c r="L24" s="954">
        <f ca="1">IFERROR($H24*44/12*参考2_エネ使用量経年!L25*参考2_エネ使用量経年!$H25,"")</f>
        <v>0</v>
      </c>
      <c r="M24" s="954">
        <f ca="1">IFERROR($I24*44/12*参考2_エネ使用量経年!M25*参考2_エネ使用量経年!$I25,"")</f>
        <v>0</v>
      </c>
      <c r="N24" s="954">
        <f ca="1">IFERROR($J24*44/12*参考2_エネ使用量経年!N25*参考2_エネ使用量経年!$J25,"")</f>
        <v>0</v>
      </c>
      <c r="O24" s="954">
        <f ca="1">IFERROR($K24*44/12*参考2_エネ使用量経年!O25*参考2_エネ使用量経年!$K25,"")</f>
        <v>0</v>
      </c>
      <c r="P24" s="954">
        <f ca="1">IFERROR($H24*44/12*参考2_エネ使用量経年!P25*参考2_エネ使用量経年!$H25,"")</f>
        <v>0</v>
      </c>
      <c r="Q24" s="954">
        <f ca="1">IFERROR($I24*44/12*参考2_エネ使用量経年!Q25*参考2_エネ使用量経年!$I25,"")</f>
        <v>0</v>
      </c>
      <c r="R24" s="954">
        <f ca="1">IFERROR($J24*44/12*参考2_エネ使用量経年!R25*参考2_エネ使用量経年!$J25,"")</f>
        <v>0</v>
      </c>
      <c r="S24" s="954">
        <f ca="1">IFERROR($K24*44/12*参考2_エネ使用量経年!S25*参考2_エネ使用量経年!$K25,"")</f>
        <v>0</v>
      </c>
      <c r="T24" s="954">
        <f ca="1">IFERROR($H24*44/12*参考2_エネ使用量経年!T25*参考2_エネ使用量経年!$H25,"")</f>
        <v>0</v>
      </c>
      <c r="U24" s="954">
        <f ca="1">IFERROR($I24*44/12*参考2_エネ使用量経年!U25*参考2_エネ使用量経年!$I25,"")</f>
        <v>0</v>
      </c>
      <c r="V24" s="954">
        <f ca="1">IFERROR($J24*44/12*参考2_エネ使用量経年!V25*参考2_エネ使用量経年!$J25,"")</f>
        <v>0</v>
      </c>
      <c r="W24" s="954">
        <f ca="1">IFERROR($K24*44/12*参考2_エネ使用量経年!W25*参考2_エネ使用量経年!$K25,"")</f>
        <v>0</v>
      </c>
      <c r="X24" s="954">
        <f ca="1">IFERROR($H24*44/12*参考2_エネ使用量経年!X25*参考2_エネ使用量経年!$H25,"")</f>
        <v>0</v>
      </c>
      <c r="Y24" s="954">
        <f ca="1">IFERROR($I24*44/12*参考2_エネ使用量経年!Y25*参考2_エネ使用量経年!$I25,"")</f>
        <v>0</v>
      </c>
      <c r="Z24" s="954">
        <f ca="1">IFERROR($J24*44/12*参考2_エネ使用量経年!Z25*参考2_エネ使用量経年!$J25,"")</f>
        <v>0</v>
      </c>
      <c r="AA24" s="954">
        <f ca="1">IFERROR($K24*44/12*参考2_エネ使用量経年!AA25*参考2_エネ使用量経年!$K25,"")</f>
        <v>0</v>
      </c>
      <c r="AB24" s="954" t="str">
        <f ca="1">IFERROR($H24*44/12*参考2_エネ使用量経年!AB25*参考2_エネ使用量経年!$H25,"")</f>
        <v/>
      </c>
      <c r="AC24" s="954" t="str">
        <f ca="1">IFERROR($I24*44/12*参考2_エネ使用量経年!AC25*参考2_エネ使用量経年!$I25,"")</f>
        <v/>
      </c>
      <c r="AD24" s="954" t="str">
        <f ca="1">IFERROR($J24*44/12*参考2_エネ使用量経年!AD25*参考2_エネ使用量経年!$J25,"")</f>
        <v/>
      </c>
      <c r="AE24" s="954" t="str">
        <f ca="1">IFERROR($K24*44/12*参考2_エネ使用量経年!AE25*参考2_エネ使用量経年!$K25,"")</f>
        <v/>
      </c>
      <c r="AF24" s="954" t="str">
        <f ca="1">IFERROR($H24*44/12*参考2_エネ使用量経年!AF25*参考2_エネ使用量経年!$H25,"")</f>
        <v/>
      </c>
      <c r="AG24" s="954" t="str">
        <f ca="1">IFERROR($I24*44/12*参考2_エネ使用量経年!AG25*参考2_エネ使用量経年!$I25,"")</f>
        <v/>
      </c>
      <c r="AH24" s="954" t="str">
        <f ca="1">IFERROR($J24*44/12*参考2_エネ使用量経年!AH25*参考2_エネ使用量経年!$J25,"")</f>
        <v/>
      </c>
      <c r="AI24" s="954" t="str">
        <f ca="1">IFERROR($K24*44/12*参考2_エネ使用量経年!AI25*参考2_エネ使用量経年!$K25,"")</f>
        <v/>
      </c>
      <c r="AJ24" s="954" t="str">
        <f ca="1">IFERROR($H24*44/12*参考2_エネ使用量経年!AJ25*参考2_エネ使用量経年!$H25,"")</f>
        <v/>
      </c>
      <c r="AK24" s="954" t="str">
        <f ca="1">IFERROR($I24*44/12*参考2_エネ使用量経年!AK25*参考2_エネ使用量経年!$I25,"")</f>
        <v/>
      </c>
      <c r="AL24" s="954" t="str">
        <f ca="1">IFERROR($J24*44/12*参考2_エネ使用量経年!AL25*参考2_エネ使用量経年!$J25,"")</f>
        <v/>
      </c>
      <c r="AM24" s="954" t="str">
        <f ca="1">IFERROR($K24*44/12*参考2_エネ使用量経年!AM25*参考2_エネ使用量経年!$K25,"")</f>
        <v/>
      </c>
      <c r="AN24" s="954" t="str">
        <f ca="1">IFERROR($H24*44/12*参考2_エネ使用量経年!AN25*参考2_エネ使用量経年!$H25,"")</f>
        <v/>
      </c>
      <c r="AO24" s="954" t="str">
        <f ca="1">IFERROR($I24*44/12*参考2_エネ使用量経年!AO25*参考2_エネ使用量経年!$I25,"")</f>
        <v/>
      </c>
      <c r="AP24" s="954" t="str">
        <f ca="1">IFERROR($J24*44/12*参考2_エネ使用量経年!AP25*参考2_エネ使用量経年!$J25,"")</f>
        <v/>
      </c>
      <c r="AQ24" s="954" t="str">
        <f ca="1">IFERROR($K24*44/12*参考2_エネ使用量経年!AQ25*参考2_エネ使用量経年!$K25,"")</f>
        <v/>
      </c>
      <c r="AR24" s="954" t="str">
        <f ca="1">IFERROR($H24*44/12*参考2_エネ使用量経年!AR25*参考2_エネ使用量経年!$H25,"")</f>
        <v/>
      </c>
      <c r="AS24" s="954" t="str">
        <f ca="1">IFERROR($I24*44/12*参考2_エネ使用量経年!AS25*参考2_エネ使用量経年!$I25,"")</f>
        <v/>
      </c>
      <c r="AT24" s="954" t="str">
        <f ca="1">IFERROR($J24*44/12*参考2_エネ使用量経年!AT25*参考2_エネ使用量経年!$J25,"")</f>
        <v/>
      </c>
      <c r="AU24" s="954" t="str">
        <f ca="1">IFERROR($K24*44/12*参考2_エネ使用量経年!AU25*参考2_エネ使用量経年!$K25,"")</f>
        <v/>
      </c>
      <c r="AV24" s="954" t="str">
        <f ca="1">IFERROR($H24*44/12*参考2_エネ使用量経年!AV25*参考2_エネ使用量経年!$H25,"")</f>
        <v/>
      </c>
      <c r="AW24" s="954" t="str">
        <f ca="1">IFERROR($I24*44/12*参考2_エネ使用量経年!AW25*参考2_エネ使用量経年!$I25,"")</f>
        <v/>
      </c>
      <c r="AX24" s="954" t="str">
        <f ca="1">IFERROR($J24*44/12*参考2_エネ使用量経年!AX25*参考2_エネ使用量経年!$J25,"")</f>
        <v/>
      </c>
      <c r="AY24" s="954" t="str">
        <f ca="1">IFERROR($K24*44/12*参考2_エネ使用量経年!AY25*参考2_エネ使用量経年!$K25,"")</f>
        <v/>
      </c>
      <c r="AZ24" s="954" t="str">
        <f ca="1">IFERROR($H24*44/12*参考2_エネ使用量経年!AZ25*参考2_エネ使用量経年!$H25,"")</f>
        <v/>
      </c>
      <c r="BA24" s="954" t="str">
        <f ca="1">IFERROR($I24*44/12*参考2_エネ使用量経年!BA25*参考2_エネ使用量経年!$I25,"")</f>
        <v/>
      </c>
      <c r="BB24" s="954" t="str">
        <f ca="1">IFERROR($J24*44/12*参考2_エネ使用量経年!BB25*参考2_エネ使用量経年!$J25,"")</f>
        <v/>
      </c>
      <c r="BC24" s="954" t="str">
        <f ca="1">IFERROR($K24*44/12*参考2_エネ使用量経年!BC25*参考2_エネ使用量経年!$K25,"")</f>
        <v/>
      </c>
      <c r="BD24" s="954" t="str">
        <f ca="1">IFERROR($H24*44/12*参考2_エネ使用量経年!BD25*参考2_エネ使用量経年!$H25,"")</f>
        <v/>
      </c>
      <c r="BE24" s="954" t="str">
        <f ca="1">IFERROR($I24*44/12*参考2_エネ使用量経年!BE25*参考2_エネ使用量経年!$I25,"")</f>
        <v/>
      </c>
      <c r="BF24" s="954" t="str">
        <f ca="1">IFERROR($J24*44/12*参考2_エネ使用量経年!BF25*参考2_エネ使用量経年!$J25,"")</f>
        <v/>
      </c>
      <c r="BG24" s="954" t="str">
        <f ca="1">IFERROR($K24*44/12*参考2_エネ使用量経年!BG25*参考2_エネ使用量経年!$K25,"")</f>
        <v/>
      </c>
      <c r="BH24" s="954" t="str">
        <f ca="1">IFERROR($H24*44/12*参考2_エネ使用量経年!BH25*参考2_エネ使用量経年!$H25,"")</f>
        <v/>
      </c>
      <c r="BI24" s="954" t="str">
        <f ca="1">IFERROR($I24*44/12*参考2_エネ使用量経年!BI25*参考2_エネ使用量経年!$I25,"")</f>
        <v/>
      </c>
      <c r="BJ24" s="954" t="str">
        <f ca="1">IFERROR($J24*44/12*参考2_エネ使用量経年!BJ25*参考2_エネ使用量経年!$J25,"")</f>
        <v/>
      </c>
      <c r="BK24" s="954" t="str">
        <f ca="1">IFERROR($K24*44/12*参考2_エネ使用量経年!BK25*参考2_エネ使用量経年!$K25,"")</f>
        <v/>
      </c>
      <c r="BL24" s="954" t="str">
        <f ca="1">IFERROR($H24*44/12*参考2_エネ使用量経年!BL25*参考2_エネ使用量経年!$H25,"")</f>
        <v/>
      </c>
      <c r="BM24" s="954" t="str">
        <f ca="1">IFERROR($I24*44/12*参考2_エネ使用量経年!BM25*参考2_エネ使用量経年!$I25,"")</f>
        <v/>
      </c>
      <c r="BN24" s="954" t="str">
        <f ca="1">IFERROR($J24*44/12*参考2_エネ使用量経年!BN25*参考2_エネ使用量経年!$J25,"")</f>
        <v/>
      </c>
      <c r="BO24" s="954" t="str">
        <f ca="1">IFERROR($K24*44/12*参考2_エネ使用量経年!BO25*参考2_エネ使用量経年!$K25,"")</f>
        <v/>
      </c>
    </row>
    <row r="25" spans="1:67" ht="20.100000000000001" hidden="1" customHeight="1" outlineLevel="1">
      <c r="A25" s="952">
        <v>25</v>
      </c>
      <c r="B25" s="1870"/>
      <c r="C25" s="1872"/>
      <c r="D25" s="824" t="s">
        <v>4400</v>
      </c>
      <c r="E25" s="824"/>
      <c r="F25" s="825"/>
      <c r="G25" s="891" t="s">
        <v>4685</v>
      </c>
      <c r="H25" s="953">
        <f t="shared" ca="1" si="0"/>
        <v>2.5100000000000001E-2</v>
      </c>
      <c r="I25" s="953">
        <f t="shared" ca="1" si="1"/>
        <v>2.5100000000000001E-2</v>
      </c>
      <c r="J25" s="953">
        <f t="shared" ca="1" si="2"/>
        <v>2.5100000000000001E-2</v>
      </c>
      <c r="K25" s="953">
        <f t="shared" ca="1" si="3"/>
        <v>2.5100000000000001E-2</v>
      </c>
      <c r="L25" s="954">
        <f ca="1">IFERROR($H25*44/12*参考2_エネ使用量経年!L26*参考2_エネ使用量経年!$H26,"")</f>
        <v>0</v>
      </c>
      <c r="M25" s="954">
        <f ca="1">IFERROR($I25*44/12*参考2_エネ使用量経年!M26*参考2_エネ使用量経年!$I26,"")</f>
        <v>0</v>
      </c>
      <c r="N25" s="954">
        <f ca="1">IFERROR($J25*44/12*参考2_エネ使用量経年!N26*参考2_エネ使用量経年!$J26,"")</f>
        <v>0</v>
      </c>
      <c r="O25" s="954">
        <f ca="1">IFERROR($K25*44/12*参考2_エネ使用量経年!O26*参考2_エネ使用量経年!$K26,"")</f>
        <v>0</v>
      </c>
      <c r="P25" s="954">
        <f ca="1">IFERROR($H25*44/12*参考2_エネ使用量経年!P26*参考2_エネ使用量経年!$H26,"")</f>
        <v>0</v>
      </c>
      <c r="Q25" s="954">
        <f ca="1">IFERROR($I25*44/12*参考2_エネ使用量経年!Q26*参考2_エネ使用量経年!$I26,"")</f>
        <v>0</v>
      </c>
      <c r="R25" s="954">
        <f ca="1">IFERROR($J25*44/12*参考2_エネ使用量経年!R26*参考2_エネ使用量経年!$J26,"")</f>
        <v>0</v>
      </c>
      <c r="S25" s="954">
        <f ca="1">IFERROR($K25*44/12*参考2_エネ使用量経年!S26*参考2_エネ使用量経年!$K26,"")</f>
        <v>0</v>
      </c>
      <c r="T25" s="954">
        <f ca="1">IFERROR($H25*44/12*参考2_エネ使用量経年!T26*参考2_エネ使用量経年!$H26,"")</f>
        <v>0</v>
      </c>
      <c r="U25" s="954">
        <f ca="1">IFERROR($I25*44/12*参考2_エネ使用量経年!U26*参考2_エネ使用量経年!$I26,"")</f>
        <v>0</v>
      </c>
      <c r="V25" s="954">
        <f ca="1">IFERROR($J25*44/12*参考2_エネ使用量経年!V26*参考2_エネ使用量経年!$J26,"")</f>
        <v>0</v>
      </c>
      <c r="W25" s="954">
        <f ca="1">IFERROR($K25*44/12*参考2_エネ使用量経年!W26*参考2_エネ使用量経年!$K26,"")</f>
        <v>0</v>
      </c>
      <c r="X25" s="954">
        <f ca="1">IFERROR($H25*44/12*参考2_エネ使用量経年!X26*参考2_エネ使用量経年!$H26,"")</f>
        <v>0</v>
      </c>
      <c r="Y25" s="954">
        <f ca="1">IFERROR($I25*44/12*参考2_エネ使用量経年!Y26*参考2_エネ使用量経年!$I26,"")</f>
        <v>0</v>
      </c>
      <c r="Z25" s="954">
        <f ca="1">IFERROR($J25*44/12*参考2_エネ使用量経年!Z26*参考2_エネ使用量経年!$J26,"")</f>
        <v>0</v>
      </c>
      <c r="AA25" s="954">
        <f ca="1">IFERROR($K25*44/12*参考2_エネ使用量経年!AA26*参考2_エネ使用量経年!$K26,"")</f>
        <v>0</v>
      </c>
      <c r="AB25" s="954" t="str">
        <f ca="1">IFERROR($H25*44/12*参考2_エネ使用量経年!AB26*参考2_エネ使用量経年!$H26,"")</f>
        <v/>
      </c>
      <c r="AC25" s="954" t="str">
        <f ca="1">IFERROR($I25*44/12*参考2_エネ使用量経年!AC26*参考2_エネ使用量経年!$I26,"")</f>
        <v/>
      </c>
      <c r="AD25" s="954" t="str">
        <f ca="1">IFERROR($J25*44/12*参考2_エネ使用量経年!AD26*参考2_エネ使用量経年!$J26,"")</f>
        <v/>
      </c>
      <c r="AE25" s="954" t="str">
        <f ca="1">IFERROR($K25*44/12*参考2_エネ使用量経年!AE26*参考2_エネ使用量経年!$K26,"")</f>
        <v/>
      </c>
      <c r="AF25" s="954" t="str">
        <f ca="1">IFERROR($H25*44/12*参考2_エネ使用量経年!AF26*参考2_エネ使用量経年!$H26,"")</f>
        <v/>
      </c>
      <c r="AG25" s="954" t="str">
        <f ca="1">IFERROR($I25*44/12*参考2_エネ使用量経年!AG26*参考2_エネ使用量経年!$I26,"")</f>
        <v/>
      </c>
      <c r="AH25" s="954" t="str">
        <f ca="1">IFERROR($J25*44/12*参考2_エネ使用量経年!AH26*参考2_エネ使用量経年!$J26,"")</f>
        <v/>
      </c>
      <c r="AI25" s="954" t="str">
        <f ca="1">IFERROR($K25*44/12*参考2_エネ使用量経年!AI26*参考2_エネ使用量経年!$K26,"")</f>
        <v/>
      </c>
      <c r="AJ25" s="954" t="str">
        <f ca="1">IFERROR($H25*44/12*参考2_エネ使用量経年!AJ26*参考2_エネ使用量経年!$H26,"")</f>
        <v/>
      </c>
      <c r="AK25" s="954" t="str">
        <f ca="1">IFERROR($I25*44/12*参考2_エネ使用量経年!AK26*参考2_エネ使用量経年!$I26,"")</f>
        <v/>
      </c>
      <c r="AL25" s="954" t="str">
        <f ca="1">IFERROR($J25*44/12*参考2_エネ使用量経年!AL26*参考2_エネ使用量経年!$J26,"")</f>
        <v/>
      </c>
      <c r="AM25" s="954" t="str">
        <f ca="1">IFERROR($K25*44/12*参考2_エネ使用量経年!AM26*参考2_エネ使用量経年!$K26,"")</f>
        <v/>
      </c>
      <c r="AN25" s="954" t="str">
        <f ca="1">IFERROR($H25*44/12*参考2_エネ使用量経年!AN26*参考2_エネ使用量経年!$H26,"")</f>
        <v/>
      </c>
      <c r="AO25" s="954" t="str">
        <f ca="1">IFERROR($I25*44/12*参考2_エネ使用量経年!AO26*参考2_エネ使用量経年!$I26,"")</f>
        <v/>
      </c>
      <c r="AP25" s="954" t="str">
        <f ca="1">IFERROR($J25*44/12*参考2_エネ使用量経年!AP26*参考2_エネ使用量経年!$J26,"")</f>
        <v/>
      </c>
      <c r="AQ25" s="954" t="str">
        <f ca="1">IFERROR($K25*44/12*参考2_エネ使用量経年!AQ26*参考2_エネ使用量経年!$K26,"")</f>
        <v/>
      </c>
      <c r="AR25" s="954" t="str">
        <f ca="1">IFERROR($H25*44/12*参考2_エネ使用量経年!AR26*参考2_エネ使用量経年!$H26,"")</f>
        <v/>
      </c>
      <c r="AS25" s="954" t="str">
        <f ca="1">IFERROR($I25*44/12*参考2_エネ使用量経年!AS26*参考2_エネ使用量経年!$I26,"")</f>
        <v/>
      </c>
      <c r="AT25" s="954" t="str">
        <f ca="1">IFERROR($J25*44/12*参考2_エネ使用量経年!AT26*参考2_エネ使用量経年!$J26,"")</f>
        <v/>
      </c>
      <c r="AU25" s="954" t="str">
        <f ca="1">IFERROR($K25*44/12*参考2_エネ使用量経年!AU26*参考2_エネ使用量経年!$K26,"")</f>
        <v/>
      </c>
      <c r="AV25" s="954" t="str">
        <f ca="1">IFERROR($H25*44/12*参考2_エネ使用量経年!AV26*参考2_エネ使用量経年!$H26,"")</f>
        <v/>
      </c>
      <c r="AW25" s="954" t="str">
        <f ca="1">IFERROR($I25*44/12*参考2_エネ使用量経年!AW26*参考2_エネ使用量経年!$I26,"")</f>
        <v/>
      </c>
      <c r="AX25" s="954" t="str">
        <f ca="1">IFERROR($J25*44/12*参考2_エネ使用量経年!AX26*参考2_エネ使用量経年!$J26,"")</f>
        <v/>
      </c>
      <c r="AY25" s="954" t="str">
        <f ca="1">IFERROR($K25*44/12*参考2_エネ使用量経年!AY26*参考2_エネ使用量経年!$K26,"")</f>
        <v/>
      </c>
      <c r="AZ25" s="954" t="str">
        <f ca="1">IFERROR($H25*44/12*参考2_エネ使用量経年!AZ26*参考2_エネ使用量経年!$H26,"")</f>
        <v/>
      </c>
      <c r="BA25" s="954" t="str">
        <f ca="1">IFERROR($I25*44/12*参考2_エネ使用量経年!BA26*参考2_エネ使用量経年!$I26,"")</f>
        <v/>
      </c>
      <c r="BB25" s="954" t="str">
        <f ca="1">IFERROR($J25*44/12*参考2_エネ使用量経年!BB26*参考2_エネ使用量経年!$J26,"")</f>
        <v/>
      </c>
      <c r="BC25" s="954" t="str">
        <f ca="1">IFERROR($K25*44/12*参考2_エネ使用量経年!BC26*参考2_エネ使用量経年!$K26,"")</f>
        <v/>
      </c>
      <c r="BD25" s="954" t="str">
        <f ca="1">IFERROR($H25*44/12*参考2_エネ使用量経年!BD26*参考2_エネ使用量経年!$H26,"")</f>
        <v/>
      </c>
      <c r="BE25" s="954" t="str">
        <f ca="1">IFERROR($I25*44/12*参考2_エネ使用量経年!BE26*参考2_エネ使用量経年!$I26,"")</f>
        <v/>
      </c>
      <c r="BF25" s="954" t="str">
        <f ca="1">IFERROR($J25*44/12*参考2_エネ使用量経年!BF26*参考2_エネ使用量経年!$J26,"")</f>
        <v/>
      </c>
      <c r="BG25" s="954" t="str">
        <f ca="1">IFERROR($K25*44/12*参考2_エネ使用量経年!BG26*参考2_エネ使用量経年!$K26,"")</f>
        <v/>
      </c>
      <c r="BH25" s="954" t="str">
        <f ca="1">IFERROR($H25*44/12*参考2_エネ使用量経年!BH26*参考2_エネ使用量経年!$H26,"")</f>
        <v/>
      </c>
      <c r="BI25" s="954" t="str">
        <f ca="1">IFERROR($I25*44/12*参考2_エネ使用量経年!BI26*参考2_エネ使用量経年!$I26,"")</f>
        <v/>
      </c>
      <c r="BJ25" s="954" t="str">
        <f ca="1">IFERROR($J25*44/12*参考2_エネ使用量経年!BJ26*参考2_エネ使用量経年!$J26,"")</f>
        <v/>
      </c>
      <c r="BK25" s="954" t="str">
        <f ca="1">IFERROR($K25*44/12*参考2_エネ使用量経年!BK26*参考2_エネ使用量経年!$K26,"")</f>
        <v/>
      </c>
      <c r="BL25" s="954" t="str">
        <f ca="1">IFERROR($H25*44/12*参考2_エネ使用量経年!BL26*参考2_エネ使用量経年!$H26,"")</f>
        <v/>
      </c>
      <c r="BM25" s="954" t="str">
        <f ca="1">IFERROR($I25*44/12*参考2_エネ使用量経年!BM26*参考2_エネ使用量経年!$I26,"")</f>
        <v/>
      </c>
      <c r="BN25" s="954" t="str">
        <f ca="1">IFERROR($J25*44/12*参考2_エネ使用量経年!BN26*参考2_エネ使用量経年!$J26,"")</f>
        <v/>
      </c>
      <c r="BO25" s="954" t="str">
        <f ca="1">IFERROR($K25*44/12*参考2_エネ使用量経年!BO26*参考2_エネ使用量経年!$K26,"")</f>
        <v/>
      </c>
    </row>
    <row r="26" spans="1:67" ht="20.100000000000001" hidden="1" customHeight="1" outlineLevel="1">
      <c r="A26" s="952">
        <v>26</v>
      </c>
      <c r="B26" s="1870"/>
      <c r="C26" s="1872"/>
      <c r="D26" s="824" t="s">
        <v>4401</v>
      </c>
      <c r="E26" s="824"/>
      <c r="F26" s="825"/>
      <c r="G26" s="891" t="s">
        <v>4685</v>
      </c>
      <c r="H26" s="953">
        <f t="shared" ca="1" si="0"/>
        <v>2.4299999999999999E-2</v>
      </c>
      <c r="I26" s="953">
        <f t="shared" ca="1" si="1"/>
        <v>2.4299999999999999E-2</v>
      </c>
      <c r="J26" s="953">
        <f t="shared" ca="1" si="2"/>
        <v>2.4299999999999999E-2</v>
      </c>
      <c r="K26" s="953">
        <f t="shared" ca="1" si="3"/>
        <v>2.4299999999999999E-2</v>
      </c>
      <c r="L26" s="954">
        <f ca="1">IFERROR($H26*44/12*参考2_エネ使用量経年!L27*参考2_エネ使用量経年!$H27,"")</f>
        <v>0</v>
      </c>
      <c r="M26" s="954">
        <f ca="1">IFERROR($I26*44/12*参考2_エネ使用量経年!M27*参考2_エネ使用量経年!$I27,"")</f>
        <v>0</v>
      </c>
      <c r="N26" s="954">
        <f ca="1">IFERROR($J26*44/12*参考2_エネ使用量経年!N27*参考2_エネ使用量経年!$J27,"")</f>
        <v>0</v>
      </c>
      <c r="O26" s="954">
        <f ca="1">IFERROR($K26*44/12*参考2_エネ使用量経年!O27*参考2_エネ使用量経年!$K27,"")</f>
        <v>0</v>
      </c>
      <c r="P26" s="954">
        <f ca="1">IFERROR($H26*44/12*参考2_エネ使用量経年!P27*参考2_エネ使用量経年!$H27,"")</f>
        <v>0</v>
      </c>
      <c r="Q26" s="954">
        <f ca="1">IFERROR($I26*44/12*参考2_エネ使用量経年!Q27*参考2_エネ使用量経年!$I27,"")</f>
        <v>0</v>
      </c>
      <c r="R26" s="954">
        <f ca="1">IFERROR($J26*44/12*参考2_エネ使用量経年!R27*参考2_エネ使用量経年!$J27,"")</f>
        <v>0</v>
      </c>
      <c r="S26" s="954">
        <f ca="1">IFERROR($K26*44/12*参考2_エネ使用量経年!S27*参考2_エネ使用量経年!$K27,"")</f>
        <v>0</v>
      </c>
      <c r="T26" s="954">
        <f ca="1">IFERROR($H26*44/12*参考2_エネ使用量経年!T27*参考2_エネ使用量経年!$H27,"")</f>
        <v>0</v>
      </c>
      <c r="U26" s="954">
        <f ca="1">IFERROR($I26*44/12*参考2_エネ使用量経年!U27*参考2_エネ使用量経年!$I27,"")</f>
        <v>0</v>
      </c>
      <c r="V26" s="954">
        <f ca="1">IFERROR($J26*44/12*参考2_エネ使用量経年!V27*参考2_エネ使用量経年!$J27,"")</f>
        <v>0</v>
      </c>
      <c r="W26" s="954">
        <f ca="1">IFERROR($K26*44/12*参考2_エネ使用量経年!W27*参考2_エネ使用量経年!$K27,"")</f>
        <v>0</v>
      </c>
      <c r="X26" s="954">
        <f ca="1">IFERROR($H26*44/12*参考2_エネ使用量経年!X27*参考2_エネ使用量経年!$H27,"")</f>
        <v>0</v>
      </c>
      <c r="Y26" s="954">
        <f ca="1">IFERROR($I26*44/12*参考2_エネ使用量経年!Y27*参考2_エネ使用量経年!$I27,"")</f>
        <v>0</v>
      </c>
      <c r="Z26" s="954">
        <f ca="1">IFERROR($J26*44/12*参考2_エネ使用量経年!Z27*参考2_エネ使用量経年!$J27,"")</f>
        <v>0</v>
      </c>
      <c r="AA26" s="954">
        <f ca="1">IFERROR($K26*44/12*参考2_エネ使用量経年!AA27*参考2_エネ使用量経年!$K27,"")</f>
        <v>0</v>
      </c>
      <c r="AB26" s="954" t="str">
        <f ca="1">IFERROR($H26*44/12*参考2_エネ使用量経年!AB27*参考2_エネ使用量経年!$H27,"")</f>
        <v/>
      </c>
      <c r="AC26" s="954" t="str">
        <f ca="1">IFERROR($I26*44/12*参考2_エネ使用量経年!AC27*参考2_エネ使用量経年!$I27,"")</f>
        <v/>
      </c>
      <c r="AD26" s="954" t="str">
        <f ca="1">IFERROR($J26*44/12*参考2_エネ使用量経年!AD27*参考2_エネ使用量経年!$J27,"")</f>
        <v/>
      </c>
      <c r="AE26" s="954" t="str">
        <f ca="1">IFERROR($K26*44/12*参考2_エネ使用量経年!AE27*参考2_エネ使用量経年!$K27,"")</f>
        <v/>
      </c>
      <c r="AF26" s="954" t="str">
        <f ca="1">IFERROR($H26*44/12*参考2_エネ使用量経年!AF27*参考2_エネ使用量経年!$H27,"")</f>
        <v/>
      </c>
      <c r="AG26" s="954" t="str">
        <f ca="1">IFERROR($I26*44/12*参考2_エネ使用量経年!AG27*参考2_エネ使用量経年!$I27,"")</f>
        <v/>
      </c>
      <c r="AH26" s="954" t="str">
        <f ca="1">IFERROR($J26*44/12*参考2_エネ使用量経年!AH27*参考2_エネ使用量経年!$J27,"")</f>
        <v/>
      </c>
      <c r="AI26" s="954" t="str">
        <f ca="1">IFERROR($K26*44/12*参考2_エネ使用量経年!AI27*参考2_エネ使用量経年!$K27,"")</f>
        <v/>
      </c>
      <c r="AJ26" s="954" t="str">
        <f ca="1">IFERROR($H26*44/12*参考2_エネ使用量経年!AJ27*参考2_エネ使用量経年!$H27,"")</f>
        <v/>
      </c>
      <c r="AK26" s="954" t="str">
        <f ca="1">IFERROR($I26*44/12*参考2_エネ使用量経年!AK27*参考2_エネ使用量経年!$I27,"")</f>
        <v/>
      </c>
      <c r="AL26" s="954" t="str">
        <f ca="1">IFERROR($J26*44/12*参考2_エネ使用量経年!AL27*参考2_エネ使用量経年!$J27,"")</f>
        <v/>
      </c>
      <c r="AM26" s="954" t="str">
        <f ca="1">IFERROR($K26*44/12*参考2_エネ使用量経年!AM27*参考2_エネ使用量経年!$K27,"")</f>
        <v/>
      </c>
      <c r="AN26" s="954" t="str">
        <f ca="1">IFERROR($H26*44/12*参考2_エネ使用量経年!AN27*参考2_エネ使用量経年!$H27,"")</f>
        <v/>
      </c>
      <c r="AO26" s="954" t="str">
        <f ca="1">IFERROR($I26*44/12*参考2_エネ使用量経年!AO27*参考2_エネ使用量経年!$I27,"")</f>
        <v/>
      </c>
      <c r="AP26" s="954" t="str">
        <f ca="1">IFERROR($J26*44/12*参考2_エネ使用量経年!AP27*参考2_エネ使用量経年!$J27,"")</f>
        <v/>
      </c>
      <c r="AQ26" s="954" t="str">
        <f ca="1">IFERROR($K26*44/12*参考2_エネ使用量経年!AQ27*参考2_エネ使用量経年!$K27,"")</f>
        <v/>
      </c>
      <c r="AR26" s="954" t="str">
        <f ca="1">IFERROR($H26*44/12*参考2_エネ使用量経年!AR27*参考2_エネ使用量経年!$H27,"")</f>
        <v/>
      </c>
      <c r="AS26" s="954" t="str">
        <f ca="1">IFERROR($I26*44/12*参考2_エネ使用量経年!AS27*参考2_エネ使用量経年!$I27,"")</f>
        <v/>
      </c>
      <c r="AT26" s="954" t="str">
        <f ca="1">IFERROR($J26*44/12*参考2_エネ使用量経年!AT27*参考2_エネ使用量経年!$J27,"")</f>
        <v/>
      </c>
      <c r="AU26" s="954" t="str">
        <f ca="1">IFERROR($K26*44/12*参考2_エネ使用量経年!AU27*参考2_エネ使用量経年!$K27,"")</f>
        <v/>
      </c>
      <c r="AV26" s="954" t="str">
        <f ca="1">IFERROR($H26*44/12*参考2_エネ使用量経年!AV27*参考2_エネ使用量経年!$H27,"")</f>
        <v/>
      </c>
      <c r="AW26" s="954" t="str">
        <f ca="1">IFERROR($I26*44/12*参考2_エネ使用量経年!AW27*参考2_エネ使用量経年!$I27,"")</f>
        <v/>
      </c>
      <c r="AX26" s="954" t="str">
        <f ca="1">IFERROR($J26*44/12*参考2_エネ使用量経年!AX27*参考2_エネ使用量経年!$J27,"")</f>
        <v/>
      </c>
      <c r="AY26" s="954" t="str">
        <f ca="1">IFERROR($K26*44/12*参考2_エネ使用量経年!AY27*参考2_エネ使用量経年!$K27,"")</f>
        <v/>
      </c>
      <c r="AZ26" s="954" t="str">
        <f ca="1">IFERROR($H26*44/12*参考2_エネ使用量経年!AZ27*参考2_エネ使用量経年!$H27,"")</f>
        <v/>
      </c>
      <c r="BA26" s="954" t="str">
        <f ca="1">IFERROR($I26*44/12*参考2_エネ使用量経年!BA27*参考2_エネ使用量経年!$I27,"")</f>
        <v/>
      </c>
      <c r="BB26" s="954" t="str">
        <f ca="1">IFERROR($J26*44/12*参考2_エネ使用量経年!BB27*参考2_エネ使用量経年!$J27,"")</f>
        <v/>
      </c>
      <c r="BC26" s="954" t="str">
        <f ca="1">IFERROR($K26*44/12*参考2_エネ使用量経年!BC27*参考2_エネ使用量経年!$K27,"")</f>
        <v/>
      </c>
      <c r="BD26" s="954" t="str">
        <f ca="1">IFERROR($H26*44/12*参考2_エネ使用量経年!BD27*参考2_エネ使用量経年!$H27,"")</f>
        <v/>
      </c>
      <c r="BE26" s="954" t="str">
        <f ca="1">IFERROR($I26*44/12*参考2_エネ使用量経年!BE27*参考2_エネ使用量経年!$I27,"")</f>
        <v/>
      </c>
      <c r="BF26" s="954" t="str">
        <f ca="1">IFERROR($J26*44/12*参考2_エネ使用量経年!BF27*参考2_エネ使用量経年!$J27,"")</f>
        <v/>
      </c>
      <c r="BG26" s="954" t="str">
        <f ca="1">IFERROR($K26*44/12*参考2_エネ使用量経年!BG27*参考2_エネ使用量経年!$K27,"")</f>
        <v/>
      </c>
      <c r="BH26" s="954" t="str">
        <f ca="1">IFERROR($H26*44/12*参考2_エネ使用量経年!BH27*参考2_エネ使用量経年!$H27,"")</f>
        <v/>
      </c>
      <c r="BI26" s="954" t="str">
        <f ca="1">IFERROR($I26*44/12*参考2_エネ使用量経年!BI27*参考2_エネ使用量経年!$I27,"")</f>
        <v/>
      </c>
      <c r="BJ26" s="954" t="str">
        <f ca="1">IFERROR($J26*44/12*参考2_エネ使用量経年!BJ27*参考2_エネ使用量経年!$J27,"")</f>
        <v/>
      </c>
      <c r="BK26" s="954" t="str">
        <f ca="1">IFERROR($K26*44/12*参考2_エネ使用量経年!BK27*参考2_エネ使用量経年!$K27,"")</f>
        <v/>
      </c>
      <c r="BL26" s="954" t="str">
        <f ca="1">IFERROR($H26*44/12*参考2_エネ使用量経年!BL27*参考2_エネ使用量経年!$H27,"")</f>
        <v/>
      </c>
      <c r="BM26" s="954" t="str">
        <f ca="1">IFERROR($I26*44/12*参考2_エネ使用量経年!BM27*参考2_エネ使用量経年!$I27,"")</f>
        <v/>
      </c>
      <c r="BN26" s="954" t="str">
        <f ca="1">IFERROR($J26*44/12*参考2_エネ使用量経年!BN27*参考2_エネ使用量経年!$J27,"")</f>
        <v/>
      </c>
      <c r="BO26" s="954" t="str">
        <f ca="1">IFERROR($K26*44/12*参考2_エネ使用量経年!BO27*参考2_エネ使用量経年!$K27,"")</f>
        <v/>
      </c>
    </row>
    <row r="27" spans="1:67" ht="20.100000000000001" hidden="1" customHeight="1" outlineLevel="1">
      <c r="A27" s="952">
        <v>27</v>
      </c>
      <c r="B27" s="1870"/>
      <c r="C27" s="1872"/>
      <c r="D27" s="824" t="s">
        <v>4402</v>
      </c>
      <c r="E27" s="824"/>
      <c r="F27" s="825"/>
      <c r="G27" s="891" t="s">
        <v>4685</v>
      </c>
      <c r="H27" s="953">
        <f t="shared" ca="1" si="0"/>
        <v>2.4199999999999999E-2</v>
      </c>
      <c r="I27" s="953">
        <f t="shared" ca="1" si="1"/>
        <v>2.4199999999999999E-2</v>
      </c>
      <c r="J27" s="953">
        <f t="shared" ca="1" si="2"/>
        <v>2.4199999999999999E-2</v>
      </c>
      <c r="K27" s="953">
        <f t="shared" ca="1" si="3"/>
        <v>2.4199999999999999E-2</v>
      </c>
      <c r="L27" s="954">
        <f ca="1">IFERROR($H27*44/12*参考2_エネ使用量経年!L28*参考2_エネ使用量経年!$H28,"")</f>
        <v>0</v>
      </c>
      <c r="M27" s="954">
        <f ca="1">IFERROR($I27*44/12*参考2_エネ使用量経年!M28*参考2_エネ使用量経年!$I28,"")</f>
        <v>0</v>
      </c>
      <c r="N27" s="954">
        <f ca="1">IFERROR($J27*44/12*参考2_エネ使用量経年!N28*参考2_エネ使用量経年!$J28,"")</f>
        <v>0</v>
      </c>
      <c r="O27" s="954">
        <f ca="1">IFERROR($K27*44/12*参考2_エネ使用量経年!O28*参考2_エネ使用量経年!$K28,"")</f>
        <v>0</v>
      </c>
      <c r="P27" s="954">
        <f ca="1">IFERROR($H27*44/12*参考2_エネ使用量経年!P28*参考2_エネ使用量経年!$H28,"")</f>
        <v>0</v>
      </c>
      <c r="Q27" s="954">
        <f ca="1">IFERROR($I27*44/12*参考2_エネ使用量経年!Q28*参考2_エネ使用量経年!$I28,"")</f>
        <v>0</v>
      </c>
      <c r="R27" s="954">
        <f ca="1">IFERROR($J27*44/12*参考2_エネ使用量経年!R28*参考2_エネ使用量経年!$J28,"")</f>
        <v>0</v>
      </c>
      <c r="S27" s="954">
        <f ca="1">IFERROR($K27*44/12*参考2_エネ使用量経年!S28*参考2_エネ使用量経年!$K28,"")</f>
        <v>0</v>
      </c>
      <c r="T27" s="954">
        <f ca="1">IFERROR($H27*44/12*参考2_エネ使用量経年!T28*参考2_エネ使用量経年!$H28,"")</f>
        <v>0</v>
      </c>
      <c r="U27" s="954">
        <f ca="1">IFERROR($I27*44/12*参考2_エネ使用量経年!U28*参考2_エネ使用量経年!$I28,"")</f>
        <v>0</v>
      </c>
      <c r="V27" s="954">
        <f ca="1">IFERROR($J27*44/12*参考2_エネ使用量経年!V28*参考2_エネ使用量経年!$J28,"")</f>
        <v>0</v>
      </c>
      <c r="W27" s="954">
        <f ca="1">IFERROR($K27*44/12*参考2_エネ使用量経年!W28*参考2_エネ使用量経年!$K28,"")</f>
        <v>0</v>
      </c>
      <c r="X27" s="954">
        <f ca="1">IFERROR($H27*44/12*参考2_エネ使用量経年!X28*参考2_エネ使用量経年!$H28,"")</f>
        <v>0</v>
      </c>
      <c r="Y27" s="954">
        <f ca="1">IFERROR($I27*44/12*参考2_エネ使用量経年!Y28*参考2_エネ使用量経年!$I28,"")</f>
        <v>0</v>
      </c>
      <c r="Z27" s="954">
        <f ca="1">IFERROR($J27*44/12*参考2_エネ使用量経年!Z28*参考2_エネ使用量経年!$J28,"")</f>
        <v>0</v>
      </c>
      <c r="AA27" s="954">
        <f ca="1">IFERROR($K27*44/12*参考2_エネ使用量経年!AA28*参考2_エネ使用量経年!$K28,"")</f>
        <v>0</v>
      </c>
      <c r="AB27" s="954" t="str">
        <f ca="1">IFERROR($H27*44/12*参考2_エネ使用量経年!AB28*参考2_エネ使用量経年!$H28,"")</f>
        <v/>
      </c>
      <c r="AC27" s="954" t="str">
        <f ca="1">IFERROR($I27*44/12*参考2_エネ使用量経年!AC28*参考2_エネ使用量経年!$I28,"")</f>
        <v/>
      </c>
      <c r="AD27" s="954" t="str">
        <f ca="1">IFERROR($J27*44/12*参考2_エネ使用量経年!AD28*参考2_エネ使用量経年!$J28,"")</f>
        <v/>
      </c>
      <c r="AE27" s="954" t="str">
        <f ca="1">IFERROR($K27*44/12*参考2_エネ使用量経年!AE28*参考2_エネ使用量経年!$K28,"")</f>
        <v/>
      </c>
      <c r="AF27" s="954" t="str">
        <f ca="1">IFERROR($H27*44/12*参考2_エネ使用量経年!AF28*参考2_エネ使用量経年!$H28,"")</f>
        <v/>
      </c>
      <c r="AG27" s="954" t="str">
        <f ca="1">IFERROR($I27*44/12*参考2_エネ使用量経年!AG28*参考2_エネ使用量経年!$I28,"")</f>
        <v/>
      </c>
      <c r="AH27" s="954" t="str">
        <f ca="1">IFERROR($J27*44/12*参考2_エネ使用量経年!AH28*参考2_エネ使用量経年!$J28,"")</f>
        <v/>
      </c>
      <c r="AI27" s="954" t="str">
        <f ca="1">IFERROR($K27*44/12*参考2_エネ使用量経年!AI28*参考2_エネ使用量経年!$K28,"")</f>
        <v/>
      </c>
      <c r="AJ27" s="954" t="str">
        <f ca="1">IFERROR($H27*44/12*参考2_エネ使用量経年!AJ28*参考2_エネ使用量経年!$H28,"")</f>
        <v/>
      </c>
      <c r="AK27" s="954" t="str">
        <f ca="1">IFERROR($I27*44/12*参考2_エネ使用量経年!AK28*参考2_エネ使用量経年!$I28,"")</f>
        <v/>
      </c>
      <c r="AL27" s="954" t="str">
        <f ca="1">IFERROR($J27*44/12*参考2_エネ使用量経年!AL28*参考2_エネ使用量経年!$J28,"")</f>
        <v/>
      </c>
      <c r="AM27" s="954" t="str">
        <f ca="1">IFERROR($K27*44/12*参考2_エネ使用量経年!AM28*参考2_エネ使用量経年!$K28,"")</f>
        <v/>
      </c>
      <c r="AN27" s="954" t="str">
        <f ca="1">IFERROR($H27*44/12*参考2_エネ使用量経年!AN28*参考2_エネ使用量経年!$H28,"")</f>
        <v/>
      </c>
      <c r="AO27" s="954" t="str">
        <f ca="1">IFERROR($I27*44/12*参考2_エネ使用量経年!AO28*参考2_エネ使用量経年!$I28,"")</f>
        <v/>
      </c>
      <c r="AP27" s="954" t="str">
        <f ca="1">IFERROR($J27*44/12*参考2_エネ使用量経年!AP28*参考2_エネ使用量経年!$J28,"")</f>
        <v/>
      </c>
      <c r="AQ27" s="954" t="str">
        <f ca="1">IFERROR($K27*44/12*参考2_エネ使用量経年!AQ28*参考2_エネ使用量経年!$K28,"")</f>
        <v/>
      </c>
      <c r="AR27" s="954" t="str">
        <f ca="1">IFERROR($H27*44/12*参考2_エネ使用量経年!AR28*参考2_エネ使用量経年!$H28,"")</f>
        <v/>
      </c>
      <c r="AS27" s="954" t="str">
        <f ca="1">IFERROR($I27*44/12*参考2_エネ使用量経年!AS28*参考2_エネ使用量経年!$I28,"")</f>
        <v/>
      </c>
      <c r="AT27" s="954" t="str">
        <f ca="1">IFERROR($J27*44/12*参考2_エネ使用量経年!AT28*参考2_エネ使用量経年!$J28,"")</f>
        <v/>
      </c>
      <c r="AU27" s="954" t="str">
        <f ca="1">IFERROR($K27*44/12*参考2_エネ使用量経年!AU28*参考2_エネ使用量経年!$K28,"")</f>
        <v/>
      </c>
      <c r="AV27" s="954" t="str">
        <f ca="1">IFERROR($H27*44/12*参考2_エネ使用量経年!AV28*参考2_エネ使用量経年!$H28,"")</f>
        <v/>
      </c>
      <c r="AW27" s="954" t="str">
        <f ca="1">IFERROR($I27*44/12*参考2_エネ使用量経年!AW28*参考2_エネ使用量経年!$I28,"")</f>
        <v/>
      </c>
      <c r="AX27" s="954" t="str">
        <f ca="1">IFERROR($J27*44/12*参考2_エネ使用量経年!AX28*参考2_エネ使用量経年!$J28,"")</f>
        <v/>
      </c>
      <c r="AY27" s="954" t="str">
        <f ca="1">IFERROR($K27*44/12*参考2_エネ使用量経年!AY28*参考2_エネ使用量経年!$K28,"")</f>
        <v/>
      </c>
      <c r="AZ27" s="954" t="str">
        <f ca="1">IFERROR($H27*44/12*参考2_エネ使用量経年!AZ28*参考2_エネ使用量経年!$H28,"")</f>
        <v/>
      </c>
      <c r="BA27" s="954" t="str">
        <f ca="1">IFERROR($I27*44/12*参考2_エネ使用量経年!BA28*参考2_エネ使用量経年!$I28,"")</f>
        <v/>
      </c>
      <c r="BB27" s="954" t="str">
        <f ca="1">IFERROR($J27*44/12*参考2_エネ使用量経年!BB28*参考2_エネ使用量経年!$J28,"")</f>
        <v/>
      </c>
      <c r="BC27" s="954" t="str">
        <f ca="1">IFERROR($K27*44/12*参考2_エネ使用量経年!BC28*参考2_エネ使用量経年!$K28,"")</f>
        <v/>
      </c>
      <c r="BD27" s="954" t="str">
        <f ca="1">IFERROR($H27*44/12*参考2_エネ使用量経年!BD28*参考2_エネ使用量経年!$H28,"")</f>
        <v/>
      </c>
      <c r="BE27" s="954" t="str">
        <f ca="1">IFERROR($I27*44/12*参考2_エネ使用量経年!BE28*参考2_エネ使用量経年!$I28,"")</f>
        <v/>
      </c>
      <c r="BF27" s="954" t="str">
        <f ca="1">IFERROR($J27*44/12*参考2_エネ使用量経年!BF28*参考2_エネ使用量経年!$J28,"")</f>
        <v/>
      </c>
      <c r="BG27" s="954" t="str">
        <f ca="1">IFERROR($K27*44/12*参考2_エネ使用量経年!BG28*参考2_エネ使用量経年!$K28,"")</f>
        <v/>
      </c>
      <c r="BH27" s="954" t="str">
        <f ca="1">IFERROR($H27*44/12*参考2_エネ使用量経年!BH28*参考2_エネ使用量経年!$H28,"")</f>
        <v/>
      </c>
      <c r="BI27" s="954" t="str">
        <f ca="1">IFERROR($I27*44/12*参考2_エネ使用量経年!BI28*参考2_エネ使用量経年!$I28,"")</f>
        <v/>
      </c>
      <c r="BJ27" s="954" t="str">
        <f ca="1">IFERROR($J27*44/12*参考2_エネ使用量経年!BJ28*参考2_エネ使用量経年!$J28,"")</f>
        <v/>
      </c>
      <c r="BK27" s="954" t="str">
        <f ca="1">IFERROR($K27*44/12*参考2_エネ使用量経年!BK28*参考2_エネ使用量経年!$K28,"")</f>
        <v/>
      </c>
      <c r="BL27" s="954" t="str">
        <f ca="1">IFERROR($H27*44/12*参考2_エネ使用量経年!BL28*参考2_エネ使用量経年!$H28,"")</f>
        <v/>
      </c>
      <c r="BM27" s="954" t="str">
        <f ca="1">IFERROR($I27*44/12*参考2_エネ使用量経年!BM28*参考2_エネ使用量経年!$I28,"")</f>
        <v/>
      </c>
      <c r="BN27" s="954" t="str">
        <f ca="1">IFERROR($J27*44/12*参考2_エネ使用量経年!BN28*参考2_エネ使用量経年!$J28,"")</f>
        <v/>
      </c>
      <c r="BO27" s="954" t="str">
        <f ca="1">IFERROR($K27*44/12*参考2_エネ使用量経年!BO28*参考2_エネ使用量経年!$K28,"")</f>
        <v/>
      </c>
    </row>
    <row r="28" spans="1:67" ht="20.100000000000001" hidden="1" customHeight="1" outlineLevel="1">
      <c r="A28" s="952">
        <v>28</v>
      </c>
      <c r="B28" s="1870"/>
      <c r="C28" s="1872"/>
      <c r="D28" s="824" t="s">
        <v>4403</v>
      </c>
      <c r="E28" s="824"/>
      <c r="F28" s="825"/>
      <c r="G28" s="891" t="s">
        <v>4685</v>
      </c>
      <c r="H28" s="953">
        <f t="shared" ca="1" si="0"/>
        <v>2.5899999999999999E-2</v>
      </c>
      <c r="I28" s="953">
        <f t="shared" ca="1" si="1"/>
        <v>2.5899999999999999E-2</v>
      </c>
      <c r="J28" s="953">
        <f t="shared" ca="1" si="2"/>
        <v>2.5899999999999999E-2</v>
      </c>
      <c r="K28" s="953">
        <f t="shared" ca="1" si="3"/>
        <v>2.5899999999999999E-2</v>
      </c>
      <c r="L28" s="954">
        <f ca="1">IFERROR($H28*44/12*参考2_エネ使用量経年!L29*参考2_エネ使用量経年!$H29,"")</f>
        <v>0</v>
      </c>
      <c r="M28" s="954">
        <f ca="1">IFERROR($I28*44/12*参考2_エネ使用量経年!M29*参考2_エネ使用量経年!$I29,"")</f>
        <v>0</v>
      </c>
      <c r="N28" s="954">
        <f ca="1">IFERROR($J28*44/12*参考2_エネ使用量経年!N29*参考2_エネ使用量経年!$J29,"")</f>
        <v>0</v>
      </c>
      <c r="O28" s="954">
        <f ca="1">IFERROR($K28*44/12*参考2_エネ使用量経年!O29*参考2_エネ使用量経年!$K29,"")</f>
        <v>0</v>
      </c>
      <c r="P28" s="954">
        <f ca="1">IFERROR($H28*44/12*参考2_エネ使用量経年!P29*参考2_エネ使用量経年!$H29,"")</f>
        <v>0</v>
      </c>
      <c r="Q28" s="954">
        <f ca="1">IFERROR($I28*44/12*参考2_エネ使用量経年!Q29*参考2_エネ使用量経年!$I29,"")</f>
        <v>0</v>
      </c>
      <c r="R28" s="954">
        <f ca="1">IFERROR($J28*44/12*参考2_エネ使用量経年!R29*参考2_エネ使用量経年!$J29,"")</f>
        <v>0</v>
      </c>
      <c r="S28" s="954">
        <f ca="1">IFERROR($K28*44/12*参考2_エネ使用量経年!S29*参考2_エネ使用量経年!$K29,"")</f>
        <v>0</v>
      </c>
      <c r="T28" s="954">
        <f ca="1">IFERROR($H28*44/12*参考2_エネ使用量経年!T29*参考2_エネ使用量経年!$H29,"")</f>
        <v>0</v>
      </c>
      <c r="U28" s="954">
        <f ca="1">IFERROR($I28*44/12*参考2_エネ使用量経年!U29*参考2_エネ使用量経年!$I29,"")</f>
        <v>0</v>
      </c>
      <c r="V28" s="954">
        <f ca="1">IFERROR($J28*44/12*参考2_エネ使用量経年!V29*参考2_エネ使用量経年!$J29,"")</f>
        <v>0</v>
      </c>
      <c r="W28" s="954">
        <f ca="1">IFERROR($K28*44/12*参考2_エネ使用量経年!W29*参考2_エネ使用量経年!$K29,"")</f>
        <v>0</v>
      </c>
      <c r="X28" s="954">
        <f ca="1">IFERROR($H28*44/12*参考2_エネ使用量経年!X29*参考2_エネ使用量経年!$H29,"")</f>
        <v>0</v>
      </c>
      <c r="Y28" s="954">
        <f ca="1">IFERROR($I28*44/12*参考2_エネ使用量経年!Y29*参考2_エネ使用量経年!$I29,"")</f>
        <v>0</v>
      </c>
      <c r="Z28" s="954">
        <f ca="1">IFERROR($J28*44/12*参考2_エネ使用量経年!Z29*参考2_エネ使用量経年!$J29,"")</f>
        <v>0</v>
      </c>
      <c r="AA28" s="954">
        <f ca="1">IFERROR($K28*44/12*参考2_エネ使用量経年!AA29*参考2_エネ使用量経年!$K29,"")</f>
        <v>0</v>
      </c>
      <c r="AB28" s="954" t="str">
        <f ca="1">IFERROR($H28*44/12*参考2_エネ使用量経年!AB29*参考2_エネ使用量経年!$H29,"")</f>
        <v/>
      </c>
      <c r="AC28" s="954" t="str">
        <f ca="1">IFERROR($I28*44/12*参考2_エネ使用量経年!AC29*参考2_エネ使用量経年!$I29,"")</f>
        <v/>
      </c>
      <c r="AD28" s="954" t="str">
        <f ca="1">IFERROR($J28*44/12*参考2_エネ使用量経年!AD29*参考2_エネ使用量経年!$J29,"")</f>
        <v/>
      </c>
      <c r="AE28" s="954" t="str">
        <f ca="1">IFERROR($K28*44/12*参考2_エネ使用量経年!AE29*参考2_エネ使用量経年!$K29,"")</f>
        <v/>
      </c>
      <c r="AF28" s="954" t="str">
        <f ca="1">IFERROR($H28*44/12*参考2_エネ使用量経年!AF29*参考2_エネ使用量経年!$H29,"")</f>
        <v/>
      </c>
      <c r="AG28" s="954" t="str">
        <f ca="1">IFERROR($I28*44/12*参考2_エネ使用量経年!AG29*参考2_エネ使用量経年!$I29,"")</f>
        <v/>
      </c>
      <c r="AH28" s="954" t="str">
        <f ca="1">IFERROR($J28*44/12*参考2_エネ使用量経年!AH29*参考2_エネ使用量経年!$J29,"")</f>
        <v/>
      </c>
      <c r="AI28" s="954" t="str">
        <f ca="1">IFERROR($K28*44/12*参考2_エネ使用量経年!AI29*参考2_エネ使用量経年!$K29,"")</f>
        <v/>
      </c>
      <c r="AJ28" s="954" t="str">
        <f ca="1">IFERROR($H28*44/12*参考2_エネ使用量経年!AJ29*参考2_エネ使用量経年!$H29,"")</f>
        <v/>
      </c>
      <c r="AK28" s="954" t="str">
        <f ca="1">IFERROR($I28*44/12*参考2_エネ使用量経年!AK29*参考2_エネ使用量経年!$I29,"")</f>
        <v/>
      </c>
      <c r="AL28" s="954" t="str">
        <f ca="1">IFERROR($J28*44/12*参考2_エネ使用量経年!AL29*参考2_エネ使用量経年!$J29,"")</f>
        <v/>
      </c>
      <c r="AM28" s="954" t="str">
        <f ca="1">IFERROR($K28*44/12*参考2_エネ使用量経年!AM29*参考2_エネ使用量経年!$K29,"")</f>
        <v/>
      </c>
      <c r="AN28" s="954" t="str">
        <f ca="1">IFERROR($H28*44/12*参考2_エネ使用量経年!AN29*参考2_エネ使用量経年!$H29,"")</f>
        <v/>
      </c>
      <c r="AO28" s="954" t="str">
        <f ca="1">IFERROR($I28*44/12*参考2_エネ使用量経年!AO29*参考2_エネ使用量経年!$I29,"")</f>
        <v/>
      </c>
      <c r="AP28" s="954" t="str">
        <f ca="1">IFERROR($J28*44/12*参考2_エネ使用量経年!AP29*参考2_エネ使用量経年!$J29,"")</f>
        <v/>
      </c>
      <c r="AQ28" s="954" t="str">
        <f ca="1">IFERROR($K28*44/12*参考2_エネ使用量経年!AQ29*参考2_エネ使用量経年!$K29,"")</f>
        <v/>
      </c>
      <c r="AR28" s="954" t="str">
        <f ca="1">IFERROR($H28*44/12*参考2_エネ使用量経年!AR29*参考2_エネ使用量経年!$H29,"")</f>
        <v/>
      </c>
      <c r="AS28" s="954" t="str">
        <f ca="1">IFERROR($I28*44/12*参考2_エネ使用量経年!AS29*参考2_エネ使用量経年!$I29,"")</f>
        <v/>
      </c>
      <c r="AT28" s="954" t="str">
        <f ca="1">IFERROR($J28*44/12*参考2_エネ使用量経年!AT29*参考2_エネ使用量経年!$J29,"")</f>
        <v/>
      </c>
      <c r="AU28" s="954" t="str">
        <f ca="1">IFERROR($K28*44/12*参考2_エネ使用量経年!AU29*参考2_エネ使用量経年!$K29,"")</f>
        <v/>
      </c>
      <c r="AV28" s="954" t="str">
        <f ca="1">IFERROR($H28*44/12*参考2_エネ使用量経年!AV29*参考2_エネ使用量経年!$H29,"")</f>
        <v/>
      </c>
      <c r="AW28" s="954" t="str">
        <f ca="1">IFERROR($I28*44/12*参考2_エネ使用量経年!AW29*参考2_エネ使用量経年!$I29,"")</f>
        <v/>
      </c>
      <c r="AX28" s="954" t="str">
        <f ca="1">IFERROR($J28*44/12*参考2_エネ使用量経年!AX29*参考2_エネ使用量経年!$J29,"")</f>
        <v/>
      </c>
      <c r="AY28" s="954" t="str">
        <f ca="1">IFERROR($K28*44/12*参考2_エネ使用量経年!AY29*参考2_エネ使用量経年!$K29,"")</f>
        <v/>
      </c>
      <c r="AZ28" s="954" t="str">
        <f ca="1">IFERROR($H28*44/12*参考2_エネ使用量経年!AZ29*参考2_エネ使用量経年!$H29,"")</f>
        <v/>
      </c>
      <c r="BA28" s="954" t="str">
        <f ca="1">IFERROR($I28*44/12*参考2_エネ使用量経年!BA29*参考2_エネ使用量経年!$I29,"")</f>
        <v/>
      </c>
      <c r="BB28" s="954" t="str">
        <f ca="1">IFERROR($J28*44/12*参考2_エネ使用量経年!BB29*参考2_エネ使用量経年!$J29,"")</f>
        <v/>
      </c>
      <c r="BC28" s="954" t="str">
        <f ca="1">IFERROR($K28*44/12*参考2_エネ使用量経年!BC29*参考2_エネ使用量経年!$K29,"")</f>
        <v/>
      </c>
      <c r="BD28" s="954" t="str">
        <f ca="1">IFERROR($H28*44/12*参考2_エネ使用量経年!BD29*参考2_エネ使用量経年!$H29,"")</f>
        <v/>
      </c>
      <c r="BE28" s="954" t="str">
        <f ca="1">IFERROR($I28*44/12*参考2_エネ使用量経年!BE29*参考2_エネ使用量経年!$I29,"")</f>
        <v/>
      </c>
      <c r="BF28" s="954" t="str">
        <f ca="1">IFERROR($J28*44/12*参考2_エネ使用量経年!BF29*参考2_エネ使用量経年!$J29,"")</f>
        <v/>
      </c>
      <c r="BG28" s="954" t="str">
        <f ca="1">IFERROR($K28*44/12*参考2_エネ使用量経年!BG29*参考2_エネ使用量経年!$K29,"")</f>
        <v/>
      </c>
      <c r="BH28" s="954" t="str">
        <f ca="1">IFERROR($H28*44/12*参考2_エネ使用量経年!BH29*参考2_エネ使用量経年!$H29,"")</f>
        <v/>
      </c>
      <c r="BI28" s="954" t="str">
        <f ca="1">IFERROR($I28*44/12*参考2_エネ使用量経年!BI29*参考2_エネ使用量経年!$I29,"")</f>
        <v/>
      </c>
      <c r="BJ28" s="954" t="str">
        <f ca="1">IFERROR($J28*44/12*参考2_エネ使用量経年!BJ29*参考2_エネ使用量経年!$J29,"")</f>
        <v/>
      </c>
      <c r="BK28" s="954" t="str">
        <f ca="1">IFERROR($K28*44/12*参考2_エネ使用量経年!BK29*参考2_エネ使用量経年!$K29,"")</f>
        <v/>
      </c>
      <c r="BL28" s="954" t="str">
        <f ca="1">IFERROR($H28*44/12*参考2_エネ使用量経年!BL29*参考2_エネ使用量経年!$H29,"")</f>
        <v/>
      </c>
      <c r="BM28" s="954" t="str">
        <f ca="1">IFERROR($I28*44/12*参考2_エネ使用量経年!BM29*参考2_エネ使用量経年!$I29,"")</f>
        <v/>
      </c>
      <c r="BN28" s="954" t="str">
        <f ca="1">IFERROR($J28*44/12*参考2_エネ使用量経年!BN29*参考2_エネ使用量経年!$J29,"")</f>
        <v/>
      </c>
      <c r="BO28" s="954" t="str">
        <f ca="1">IFERROR($K28*44/12*参考2_エネ使用量経年!BO29*参考2_エネ使用量経年!$K29,"")</f>
        <v/>
      </c>
    </row>
    <row r="29" spans="1:67" ht="20.100000000000001" hidden="1" customHeight="1" outlineLevel="1">
      <c r="A29" s="952">
        <v>29</v>
      </c>
      <c r="B29" s="1870"/>
      <c r="C29" s="1872"/>
      <c r="D29" s="824" t="s">
        <v>4169</v>
      </c>
      <c r="E29" s="824"/>
      <c r="F29" s="825"/>
      <c r="G29" s="891" t="s">
        <v>4685</v>
      </c>
      <c r="H29" s="953">
        <f t="shared" ca="1" si="0"/>
        <v>2.9899999999999999E-2</v>
      </c>
      <c r="I29" s="953">
        <f t="shared" ca="1" si="1"/>
        <v>2.9899999999999999E-2</v>
      </c>
      <c r="J29" s="953">
        <f t="shared" ca="1" si="2"/>
        <v>2.9899999999999999E-2</v>
      </c>
      <c r="K29" s="953">
        <f t="shared" ca="1" si="3"/>
        <v>2.9899999999999999E-2</v>
      </c>
      <c r="L29" s="954">
        <f ca="1">IFERROR($H29*44/12*参考2_エネ使用量経年!L30*参考2_エネ使用量経年!$H30,"")</f>
        <v>0</v>
      </c>
      <c r="M29" s="954">
        <f ca="1">IFERROR($I29*44/12*参考2_エネ使用量経年!M30*参考2_エネ使用量経年!$I30,"")</f>
        <v>0</v>
      </c>
      <c r="N29" s="954">
        <f ca="1">IFERROR($J29*44/12*参考2_エネ使用量経年!N30*参考2_エネ使用量経年!$J30,"")</f>
        <v>0</v>
      </c>
      <c r="O29" s="954">
        <f ca="1">IFERROR($K29*44/12*参考2_エネ使用量経年!O30*参考2_エネ使用量経年!$K30,"")</f>
        <v>0</v>
      </c>
      <c r="P29" s="954">
        <f ca="1">IFERROR($H29*44/12*参考2_エネ使用量経年!P30*参考2_エネ使用量経年!$H30,"")</f>
        <v>0</v>
      </c>
      <c r="Q29" s="954">
        <f ca="1">IFERROR($I29*44/12*参考2_エネ使用量経年!Q30*参考2_エネ使用量経年!$I30,"")</f>
        <v>0</v>
      </c>
      <c r="R29" s="954">
        <f ca="1">IFERROR($J29*44/12*参考2_エネ使用量経年!R30*参考2_エネ使用量経年!$J30,"")</f>
        <v>0</v>
      </c>
      <c r="S29" s="954">
        <f ca="1">IFERROR($K29*44/12*参考2_エネ使用量経年!S30*参考2_エネ使用量経年!$K30,"")</f>
        <v>0</v>
      </c>
      <c r="T29" s="954">
        <f ca="1">IFERROR($H29*44/12*参考2_エネ使用量経年!T30*参考2_エネ使用量経年!$H30,"")</f>
        <v>0</v>
      </c>
      <c r="U29" s="954">
        <f ca="1">IFERROR($I29*44/12*参考2_エネ使用量経年!U30*参考2_エネ使用量経年!$I30,"")</f>
        <v>0</v>
      </c>
      <c r="V29" s="954">
        <f ca="1">IFERROR($J29*44/12*参考2_エネ使用量経年!V30*参考2_エネ使用量経年!$J30,"")</f>
        <v>0</v>
      </c>
      <c r="W29" s="954">
        <f ca="1">IFERROR($K29*44/12*参考2_エネ使用量経年!W30*参考2_エネ使用量経年!$K30,"")</f>
        <v>0</v>
      </c>
      <c r="X29" s="954">
        <f ca="1">IFERROR($H29*44/12*参考2_エネ使用量経年!X30*参考2_エネ使用量経年!$H30,"")</f>
        <v>0</v>
      </c>
      <c r="Y29" s="954">
        <f ca="1">IFERROR($I29*44/12*参考2_エネ使用量経年!Y30*参考2_エネ使用量経年!$I30,"")</f>
        <v>0</v>
      </c>
      <c r="Z29" s="954">
        <f ca="1">IFERROR($J29*44/12*参考2_エネ使用量経年!Z30*参考2_エネ使用量経年!$J30,"")</f>
        <v>0</v>
      </c>
      <c r="AA29" s="954">
        <f ca="1">IFERROR($K29*44/12*参考2_エネ使用量経年!AA30*参考2_エネ使用量経年!$K30,"")</f>
        <v>0</v>
      </c>
      <c r="AB29" s="954" t="str">
        <f ca="1">IFERROR($H29*44/12*参考2_エネ使用量経年!AB30*参考2_エネ使用量経年!$H30,"")</f>
        <v/>
      </c>
      <c r="AC29" s="954" t="str">
        <f ca="1">IFERROR($I29*44/12*参考2_エネ使用量経年!AC30*参考2_エネ使用量経年!$I30,"")</f>
        <v/>
      </c>
      <c r="AD29" s="954" t="str">
        <f ca="1">IFERROR($J29*44/12*参考2_エネ使用量経年!AD30*参考2_エネ使用量経年!$J30,"")</f>
        <v/>
      </c>
      <c r="AE29" s="954" t="str">
        <f ca="1">IFERROR($K29*44/12*参考2_エネ使用量経年!AE30*参考2_エネ使用量経年!$K30,"")</f>
        <v/>
      </c>
      <c r="AF29" s="954" t="str">
        <f ca="1">IFERROR($H29*44/12*参考2_エネ使用量経年!AF30*参考2_エネ使用量経年!$H30,"")</f>
        <v/>
      </c>
      <c r="AG29" s="954" t="str">
        <f ca="1">IFERROR($I29*44/12*参考2_エネ使用量経年!AG30*参考2_エネ使用量経年!$I30,"")</f>
        <v/>
      </c>
      <c r="AH29" s="954" t="str">
        <f ca="1">IFERROR($J29*44/12*参考2_エネ使用量経年!AH30*参考2_エネ使用量経年!$J30,"")</f>
        <v/>
      </c>
      <c r="AI29" s="954" t="str">
        <f ca="1">IFERROR($K29*44/12*参考2_エネ使用量経年!AI30*参考2_エネ使用量経年!$K30,"")</f>
        <v/>
      </c>
      <c r="AJ29" s="954" t="str">
        <f ca="1">IFERROR($H29*44/12*参考2_エネ使用量経年!AJ30*参考2_エネ使用量経年!$H30,"")</f>
        <v/>
      </c>
      <c r="AK29" s="954" t="str">
        <f ca="1">IFERROR($I29*44/12*参考2_エネ使用量経年!AK30*参考2_エネ使用量経年!$I30,"")</f>
        <v/>
      </c>
      <c r="AL29" s="954" t="str">
        <f ca="1">IFERROR($J29*44/12*参考2_エネ使用量経年!AL30*参考2_エネ使用量経年!$J30,"")</f>
        <v/>
      </c>
      <c r="AM29" s="954" t="str">
        <f ca="1">IFERROR($K29*44/12*参考2_エネ使用量経年!AM30*参考2_エネ使用量経年!$K30,"")</f>
        <v/>
      </c>
      <c r="AN29" s="954" t="str">
        <f ca="1">IFERROR($H29*44/12*参考2_エネ使用量経年!AN30*参考2_エネ使用量経年!$H30,"")</f>
        <v/>
      </c>
      <c r="AO29" s="954" t="str">
        <f ca="1">IFERROR($I29*44/12*参考2_エネ使用量経年!AO30*参考2_エネ使用量経年!$I30,"")</f>
        <v/>
      </c>
      <c r="AP29" s="954" t="str">
        <f ca="1">IFERROR($J29*44/12*参考2_エネ使用量経年!AP30*参考2_エネ使用量経年!$J30,"")</f>
        <v/>
      </c>
      <c r="AQ29" s="954" t="str">
        <f ca="1">IFERROR($K29*44/12*参考2_エネ使用量経年!AQ30*参考2_エネ使用量経年!$K30,"")</f>
        <v/>
      </c>
      <c r="AR29" s="954" t="str">
        <f ca="1">IFERROR($H29*44/12*参考2_エネ使用量経年!AR30*参考2_エネ使用量経年!$H30,"")</f>
        <v/>
      </c>
      <c r="AS29" s="954" t="str">
        <f ca="1">IFERROR($I29*44/12*参考2_エネ使用量経年!AS30*参考2_エネ使用量経年!$I30,"")</f>
        <v/>
      </c>
      <c r="AT29" s="954" t="str">
        <f ca="1">IFERROR($J29*44/12*参考2_エネ使用量経年!AT30*参考2_エネ使用量経年!$J30,"")</f>
        <v/>
      </c>
      <c r="AU29" s="954" t="str">
        <f ca="1">IFERROR($K29*44/12*参考2_エネ使用量経年!AU30*参考2_エネ使用量経年!$K30,"")</f>
        <v/>
      </c>
      <c r="AV29" s="954" t="str">
        <f ca="1">IFERROR($H29*44/12*参考2_エネ使用量経年!AV30*参考2_エネ使用量経年!$H30,"")</f>
        <v/>
      </c>
      <c r="AW29" s="954" t="str">
        <f ca="1">IFERROR($I29*44/12*参考2_エネ使用量経年!AW30*参考2_エネ使用量経年!$I30,"")</f>
        <v/>
      </c>
      <c r="AX29" s="954" t="str">
        <f ca="1">IFERROR($J29*44/12*参考2_エネ使用量経年!AX30*参考2_エネ使用量経年!$J30,"")</f>
        <v/>
      </c>
      <c r="AY29" s="954" t="str">
        <f ca="1">IFERROR($K29*44/12*参考2_エネ使用量経年!AY30*参考2_エネ使用量経年!$K30,"")</f>
        <v/>
      </c>
      <c r="AZ29" s="954" t="str">
        <f ca="1">IFERROR($H29*44/12*参考2_エネ使用量経年!AZ30*参考2_エネ使用量経年!$H30,"")</f>
        <v/>
      </c>
      <c r="BA29" s="954" t="str">
        <f ca="1">IFERROR($I29*44/12*参考2_エネ使用量経年!BA30*参考2_エネ使用量経年!$I30,"")</f>
        <v/>
      </c>
      <c r="BB29" s="954" t="str">
        <f ca="1">IFERROR($J29*44/12*参考2_エネ使用量経年!BB30*参考2_エネ使用量経年!$J30,"")</f>
        <v/>
      </c>
      <c r="BC29" s="954" t="str">
        <f ca="1">IFERROR($K29*44/12*参考2_エネ使用量経年!BC30*参考2_エネ使用量経年!$K30,"")</f>
        <v/>
      </c>
      <c r="BD29" s="954" t="str">
        <f ca="1">IFERROR($H29*44/12*参考2_エネ使用量経年!BD30*参考2_エネ使用量経年!$H30,"")</f>
        <v/>
      </c>
      <c r="BE29" s="954" t="str">
        <f ca="1">IFERROR($I29*44/12*参考2_エネ使用量経年!BE30*参考2_エネ使用量経年!$I30,"")</f>
        <v/>
      </c>
      <c r="BF29" s="954" t="str">
        <f ca="1">IFERROR($J29*44/12*参考2_エネ使用量経年!BF30*参考2_エネ使用量経年!$J30,"")</f>
        <v/>
      </c>
      <c r="BG29" s="954" t="str">
        <f ca="1">IFERROR($K29*44/12*参考2_エネ使用量経年!BG30*参考2_エネ使用量経年!$K30,"")</f>
        <v/>
      </c>
      <c r="BH29" s="954" t="str">
        <f ca="1">IFERROR($H29*44/12*参考2_エネ使用量経年!BH30*参考2_エネ使用量経年!$H30,"")</f>
        <v/>
      </c>
      <c r="BI29" s="954" t="str">
        <f ca="1">IFERROR($I29*44/12*参考2_エネ使用量経年!BI30*参考2_エネ使用量経年!$I30,"")</f>
        <v/>
      </c>
      <c r="BJ29" s="954" t="str">
        <f ca="1">IFERROR($J29*44/12*参考2_エネ使用量経年!BJ30*参考2_エネ使用量経年!$J30,"")</f>
        <v/>
      </c>
      <c r="BK29" s="954" t="str">
        <f ca="1">IFERROR($K29*44/12*参考2_エネ使用量経年!BK30*参考2_エネ使用量経年!$K30,"")</f>
        <v/>
      </c>
      <c r="BL29" s="954" t="str">
        <f ca="1">IFERROR($H29*44/12*参考2_エネ使用量経年!BL30*参考2_エネ使用量経年!$H30,"")</f>
        <v/>
      </c>
      <c r="BM29" s="954" t="str">
        <f ca="1">IFERROR($I29*44/12*参考2_エネ使用量経年!BM30*参考2_エネ使用量経年!$I30,"")</f>
        <v/>
      </c>
      <c r="BN29" s="954" t="str">
        <f ca="1">IFERROR($J29*44/12*参考2_エネ使用量経年!BN30*参考2_エネ使用量経年!$J30,"")</f>
        <v/>
      </c>
      <c r="BO29" s="954" t="str">
        <f ca="1">IFERROR($K29*44/12*参考2_エネ使用量経年!BO30*参考2_エネ使用量経年!$K30,"")</f>
        <v/>
      </c>
    </row>
    <row r="30" spans="1:67" ht="20.100000000000001" hidden="1" customHeight="1" outlineLevel="1">
      <c r="A30" s="952">
        <v>30</v>
      </c>
      <c r="B30" s="1870"/>
      <c r="C30" s="1872"/>
      <c r="D30" s="824" t="s">
        <v>4170</v>
      </c>
      <c r="E30" s="818"/>
      <c r="F30" s="825"/>
      <c r="G30" s="891" t="s">
        <v>4685</v>
      </c>
      <c r="H30" s="953">
        <f t="shared" ca="1" si="0"/>
        <v>2.0899999999999998E-2</v>
      </c>
      <c r="I30" s="953">
        <f t="shared" ca="1" si="1"/>
        <v>2.0899999999999998E-2</v>
      </c>
      <c r="J30" s="953">
        <f t="shared" ca="1" si="2"/>
        <v>2.0899999999999998E-2</v>
      </c>
      <c r="K30" s="953">
        <f t="shared" ca="1" si="3"/>
        <v>2.0899999999999998E-2</v>
      </c>
      <c r="L30" s="954">
        <f ca="1">IFERROR($H30*44/12*参考2_エネ使用量経年!L31*参考2_エネ使用量経年!$H31,"")</f>
        <v>0</v>
      </c>
      <c r="M30" s="954">
        <f ca="1">IFERROR($I30*44/12*参考2_エネ使用量経年!M31*参考2_エネ使用量経年!$I31,"")</f>
        <v>0</v>
      </c>
      <c r="N30" s="954">
        <f ca="1">IFERROR($J30*44/12*参考2_エネ使用量経年!N31*参考2_エネ使用量経年!$J31,"")</f>
        <v>0</v>
      </c>
      <c r="O30" s="954">
        <f ca="1">IFERROR($K30*44/12*参考2_エネ使用量経年!O31*参考2_エネ使用量経年!$K31,"")</f>
        <v>0</v>
      </c>
      <c r="P30" s="954">
        <f ca="1">IFERROR($H30*44/12*参考2_エネ使用量経年!P31*参考2_エネ使用量経年!$H31,"")</f>
        <v>0</v>
      </c>
      <c r="Q30" s="954">
        <f ca="1">IFERROR($I30*44/12*参考2_エネ使用量経年!Q31*参考2_エネ使用量経年!$I31,"")</f>
        <v>0</v>
      </c>
      <c r="R30" s="954">
        <f ca="1">IFERROR($J30*44/12*参考2_エネ使用量経年!R31*参考2_エネ使用量経年!$J31,"")</f>
        <v>0</v>
      </c>
      <c r="S30" s="954">
        <f ca="1">IFERROR($K30*44/12*参考2_エネ使用量経年!S31*参考2_エネ使用量経年!$K31,"")</f>
        <v>0</v>
      </c>
      <c r="T30" s="954">
        <f ca="1">IFERROR($H30*44/12*参考2_エネ使用量経年!T31*参考2_エネ使用量経年!$H31,"")</f>
        <v>0</v>
      </c>
      <c r="U30" s="954">
        <f ca="1">IFERROR($I30*44/12*参考2_エネ使用量経年!U31*参考2_エネ使用量経年!$I31,"")</f>
        <v>0</v>
      </c>
      <c r="V30" s="954">
        <f ca="1">IFERROR($J30*44/12*参考2_エネ使用量経年!V31*参考2_エネ使用量経年!$J31,"")</f>
        <v>0</v>
      </c>
      <c r="W30" s="954">
        <f ca="1">IFERROR($K30*44/12*参考2_エネ使用量経年!W31*参考2_エネ使用量経年!$K31,"")</f>
        <v>0</v>
      </c>
      <c r="X30" s="954">
        <f ca="1">IFERROR($H30*44/12*参考2_エネ使用量経年!X31*参考2_エネ使用量経年!$H31,"")</f>
        <v>0</v>
      </c>
      <c r="Y30" s="954">
        <f ca="1">IFERROR($I30*44/12*参考2_エネ使用量経年!Y31*参考2_エネ使用量経年!$I31,"")</f>
        <v>0</v>
      </c>
      <c r="Z30" s="954">
        <f ca="1">IFERROR($J30*44/12*参考2_エネ使用量経年!Z31*参考2_エネ使用量経年!$J31,"")</f>
        <v>0</v>
      </c>
      <c r="AA30" s="954">
        <f ca="1">IFERROR($K30*44/12*参考2_エネ使用量経年!AA31*参考2_エネ使用量経年!$K31,"")</f>
        <v>0</v>
      </c>
      <c r="AB30" s="954" t="str">
        <f ca="1">IFERROR($H30*44/12*参考2_エネ使用量経年!AB31*参考2_エネ使用量経年!$H31,"")</f>
        <v/>
      </c>
      <c r="AC30" s="954" t="str">
        <f ca="1">IFERROR($I30*44/12*参考2_エネ使用量経年!AC31*参考2_エネ使用量経年!$I31,"")</f>
        <v/>
      </c>
      <c r="AD30" s="954" t="str">
        <f ca="1">IFERROR($J30*44/12*参考2_エネ使用量経年!AD31*参考2_エネ使用量経年!$J31,"")</f>
        <v/>
      </c>
      <c r="AE30" s="954" t="str">
        <f ca="1">IFERROR($K30*44/12*参考2_エネ使用量経年!AE31*参考2_エネ使用量経年!$K31,"")</f>
        <v/>
      </c>
      <c r="AF30" s="954" t="str">
        <f ca="1">IFERROR($H30*44/12*参考2_エネ使用量経年!AF31*参考2_エネ使用量経年!$H31,"")</f>
        <v/>
      </c>
      <c r="AG30" s="954" t="str">
        <f ca="1">IFERROR($I30*44/12*参考2_エネ使用量経年!AG31*参考2_エネ使用量経年!$I31,"")</f>
        <v/>
      </c>
      <c r="AH30" s="954" t="str">
        <f ca="1">IFERROR($J30*44/12*参考2_エネ使用量経年!AH31*参考2_エネ使用量経年!$J31,"")</f>
        <v/>
      </c>
      <c r="AI30" s="954" t="str">
        <f ca="1">IFERROR($K30*44/12*参考2_エネ使用量経年!AI31*参考2_エネ使用量経年!$K31,"")</f>
        <v/>
      </c>
      <c r="AJ30" s="954" t="str">
        <f ca="1">IFERROR($H30*44/12*参考2_エネ使用量経年!AJ31*参考2_エネ使用量経年!$H31,"")</f>
        <v/>
      </c>
      <c r="AK30" s="954" t="str">
        <f ca="1">IFERROR($I30*44/12*参考2_エネ使用量経年!AK31*参考2_エネ使用量経年!$I31,"")</f>
        <v/>
      </c>
      <c r="AL30" s="954" t="str">
        <f ca="1">IFERROR($J30*44/12*参考2_エネ使用量経年!AL31*参考2_エネ使用量経年!$J31,"")</f>
        <v/>
      </c>
      <c r="AM30" s="954" t="str">
        <f ca="1">IFERROR($K30*44/12*参考2_エネ使用量経年!AM31*参考2_エネ使用量経年!$K31,"")</f>
        <v/>
      </c>
      <c r="AN30" s="954" t="str">
        <f ca="1">IFERROR($H30*44/12*参考2_エネ使用量経年!AN31*参考2_エネ使用量経年!$H31,"")</f>
        <v/>
      </c>
      <c r="AO30" s="954" t="str">
        <f ca="1">IFERROR($I30*44/12*参考2_エネ使用量経年!AO31*参考2_エネ使用量経年!$I31,"")</f>
        <v/>
      </c>
      <c r="AP30" s="954" t="str">
        <f ca="1">IFERROR($J30*44/12*参考2_エネ使用量経年!AP31*参考2_エネ使用量経年!$J31,"")</f>
        <v/>
      </c>
      <c r="AQ30" s="954" t="str">
        <f ca="1">IFERROR($K30*44/12*参考2_エネ使用量経年!AQ31*参考2_エネ使用量経年!$K31,"")</f>
        <v/>
      </c>
      <c r="AR30" s="954" t="str">
        <f ca="1">IFERROR($H30*44/12*参考2_エネ使用量経年!AR31*参考2_エネ使用量経年!$H31,"")</f>
        <v/>
      </c>
      <c r="AS30" s="954" t="str">
        <f ca="1">IFERROR($I30*44/12*参考2_エネ使用量経年!AS31*参考2_エネ使用量経年!$I31,"")</f>
        <v/>
      </c>
      <c r="AT30" s="954" t="str">
        <f ca="1">IFERROR($J30*44/12*参考2_エネ使用量経年!AT31*参考2_エネ使用量経年!$J31,"")</f>
        <v/>
      </c>
      <c r="AU30" s="954" t="str">
        <f ca="1">IFERROR($K30*44/12*参考2_エネ使用量経年!AU31*参考2_エネ使用量経年!$K31,"")</f>
        <v/>
      </c>
      <c r="AV30" s="954" t="str">
        <f ca="1">IFERROR($H30*44/12*参考2_エネ使用量経年!AV31*参考2_エネ使用量経年!$H31,"")</f>
        <v/>
      </c>
      <c r="AW30" s="954" t="str">
        <f ca="1">IFERROR($I30*44/12*参考2_エネ使用量経年!AW31*参考2_エネ使用量経年!$I31,"")</f>
        <v/>
      </c>
      <c r="AX30" s="954" t="str">
        <f ca="1">IFERROR($J30*44/12*参考2_エネ使用量経年!AX31*参考2_エネ使用量経年!$J31,"")</f>
        <v/>
      </c>
      <c r="AY30" s="954" t="str">
        <f ca="1">IFERROR($K30*44/12*参考2_エネ使用量経年!AY31*参考2_エネ使用量経年!$K31,"")</f>
        <v/>
      </c>
      <c r="AZ30" s="954" t="str">
        <f ca="1">IFERROR($H30*44/12*参考2_エネ使用量経年!AZ31*参考2_エネ使用量経年!$H31,"")</f>
        <v/>
      </c>
      <c r="BA30" s="954" t="str">
        <f ca="1">IFERROR($I30*44/12*参考2_エネ使用量経年!BA31*参考2_エネ使用量経年!$I31,"")</f>
        <v/>
      </c>
      <c r="BB30" s="954" t="str">
        <f ca="1">IFERROR($J30*44/12*参考2_エネ使用量経年!BB31*参考2_エネ使用量経年!$J31,"")</f>
        <v/>
      </c>
      <c r="BC30" s="954" t="str">
        <f ca="1">IFERROR($K30*44/12*参考2_エネ使用量経年!BC31*参考2_エネ使用量経年!$K31,"")</f>
        <v/>
      </c>
      <c r="BD30" s="954" t="str">
        <f ca="1">IFERROR($H30*44/12*参考2_エネ使用量経年!BD31*参考2_エネ使用量経年!$H31,"")</f>
        <v/>
      </c>
      <c r="BE30" s="954" t="str">
        <f ca="1">IFERROR($I30*44/12*参考2_エネ使用量経年!BE31*参考2_エネ使用量経年!$I31,"")</f>
        <v/>
      </c>
      <c r="BF30" s="954" t="str">
        <f ca="1">IFERROR($J30*44/12*参考2_エネ使用量経年!BF31*参考2_エネ使用量経年!$J31,"")</f>
        <v/>
      </c>
      <c r="BG30" s="954" t="str">
        <f ca="1">IFERROR($K30*44/12*参考2_エネ使用量経年!BG31*参考2_エネ使用量経年!$K31,"")</f>
        <v/>
      </c>
      <c r="BH30" s="954" t="str">
        <f ca="1">IFERROR($H30*44/12*参考2_エネ使用量経年!BH31*参考2_エネ使用量経年!$H31,"")</f>
        <v/>
      </c>
      <c r="BI30" s="954" t="str">
        <f ca="1">IFERROR($I30*44/12*参考2_エネ使用量経年!BI31*参考2_エネ使用量経年!$I31,"")</f>
        <v/>
      </c>
      <c r="BJ30" s="954" t="str">
        <f ca="1">IFERROR($J30*44/12*参考2_エネ使用量経年!BJ31*参考2_エネ使用量経年!$J31,"")</f>
        <v/>
      </c>
      <c r="BK30" s="954" t="str">
        <f ca="1">IFERROR($K30*44/12*参考2_エネ使用量経年!BK31*参考2_エネ使用量経年!$K31,"")</f>
        <v/>
      </c>
      <c r="BL30" s="954" t="str">
        <f ca="1">IFERROR($H30*44/12*参考2_エネ使用量経年!BL31*参考2_エネ使用量経年!$H31,"")</f>
        <v/>
      </c>
      <c r="BM30" s="954" t="str">
        <f ca="1">IFERROR($I30*44/12*参考2_エネ使用量経年!BM31*参考2_エネ使用量経年!$I31,"")</f>
        <v/>
      </c>
      <c r="BN30" s="954" t="str">
        <f ca="1">IFERROR($J30*44/12*参考2_エネ使用量経年!BN31*参考2_エネ使用量経年!$J31,"")</f>
        <v/>
      </c>
      <c r="BO30" s="954" t="str">
        <f ca="1">IFERROR($K30*44/12*参考2_エネ使用量経年!BO31*参考2_エネ使用量経年!$K31,"")</f>
        <v/>
      </c>
    </row>
    <row r="31" spans="1:67" ht="20.100000000000001" hidden="1" customHeight="1" outlineLevel="1">
      <c r="A31" s="952">
        <v>31</v>
      </c>
      <c r="B31" s="1870"/>
      <c r="C31" s="1872"/>
      <c r="D31" s="824" t="s">
        <v>4171</v>
      </c>
      <c r="E31" s="824"/>
      <c r="F31" s="825"/>
      <c r="G31" s="891" t="s">
        <v>4685</v>
      </c>
      <c r="H31" s="953">
        <f t="shared" ca="1" si="0"/>
        <v>1.09E-2</v>
      </c>
      <c r="I31" s="953">
        <f t="shared" ca="1" si="1"/>
        <v>1.09E-2</v>
      </c>
      <c r="J31" s="953">
        <f t="shared" ca="1" si="2"/>
        <v>1.09E-2</v>
      </c>
      <c r="K31" s="953">
        <f t="shared" ca="1" si="3"/>
        <v>1.09E-2</v>
      </c>
      <c r="L31" s="954">
        <f ca="1">IFERROR($H31*44/12*参考2_エネ使用量経年!L32*参考2_エネ使用量経年!$H32,"")</f>
        <v>0</v>
      </c>
      <c r="M31" s="954">
        <f ca="1">IFERROR($I31*44/12*参考2_エネ使用量経年!M32*参考2_エネ使用量経年!$I32,"")</f>
        <v>0</v>
      </c>
      <c r="N31" s="954">
        <f ca="1">IFERROR($J31*44/12*参考2_エネ使用量経年!N32*参考2_エネ使用量経年!$J32,"")</f>
        <v>0</v>
      </c>
      <c r="O31" s="954">
        <f ca="1">IFERROR($K31*44/12*参考2_エネ使用量経年!O32*参考2_エネ使用量経年!$K32,"")</f>
        <v>0</v>
      </c>
      <c r="P31" s="954">
        <f ca="1">IFERROR($H31*44/12*参考2_エネ使用量経年!P32*参考2_エネ使用量経年!$H32,"")</f>
        <v>0</v>
      </c>
      <c r="Q31" s="954">
        <f ca="1">IFERROR($I31*44/12*参考2_エネ使用量経年!Q32*参考2_エネ使用量経年!$I32,"")</f>
        <v>0</v>
      </c>
      <c r="R31" s="954">
        <f ca="1">IFERROR($J31*44/12*参考2_エネ使用量経年!R32*参考2_エネ使用量経年!$J32,"")</f>
        <v>0</v>
      </c>
      <c r="S31" s="954">
        <f ca="1">IFERROR($K31*44/12*参考2_エネ使用量経年!S32*参考2_エネ使用量経年!$K32,"")</f>
        <v>0</v>
      </c>
      <c r="T31" s="954">
        <f ca="1">IFERROR($H31*44/12*参考2_エネ使用量経年!T32*参考2_エネ使用量経年!$H32,"")</f>
        <v>0</v>
      </c>
      <c r="U31" s="954">
        <f ca="1">IFERROR($I31*44/12*参考2_エネ使用量経年!U32*参考2_エネ使用量経年!$I32,"")</f>
        <v>0</v>
      </c>
      <c r="V31" s="954">
        <f ca="1">IFERROR($J31*44/12*参考2_エネ使用量経年!V32*参考2_エネ使用量経年!$J32,"")</f>
        <v>0</v>
      </c>
      <c r="W31" s="954">
        <f ca="1">IFERROR($K31*44/12*参考2_エネ使用量経年!W32*参考2_エネ使用量経年!$K32,"")</f>
        <v>0</v>
      </c>
      <c r="X31" s="954">
        <f ca="1">IFERROR($H31*44/12*参考2_エネ使用量経年!X32*参考2_エネ使用量経年!$H32,"")</f>
        <v>0</v>
      </c>
      <c r="Y31" s="954">
        <f ca="1">IFERROR($I31*44/12*参考2_エネ使用量経年!Y32*参考2_エネ使用量経年!$I32,"")</f>
        <v>0</v>
      </c>
      <c r="Z31" s="954">
        <f ca="1">IFERROR($J31*44/12*参考2_エネ使用量経年!Z32*参考2_エネ使用量経年!$J32,"")</f>
        <v>0</v>
      </c>
      <c r="AA31" s="954">
        <f ca="1">IFERROR($K31*44/12*参考2_エネ使用量経年!AA32*参考2_エネ使用量経年!$K32,"")</f>
        <v>0</v>
      </c>
      <c r="AB31" s="954" t="str">
        <f ca="1">IFERROR($H31*44/12*参考2_エネ使用量経年!AB32*参考2_エネ使用量経年!$H32,"")</f>
        <v/>
      </c>
      <c r="AC31" s="954" t="str">
        <f ca="1">IFERROR($I31*44/12*参考2_エネ使用量経年!AC32*参考2_エネ使用量経年!$I32,"")</f>
        <v/>
      </c>
      <c r="AD31" s="954" t="str">
        <f ca="1">IFERROR($J31*44/12*参考2_エネ使用量経年!AD32*参考2_エネ使用量経年!$J32,"")</f>
        <v/>
      </c>
      <c r="AE31" s="954" t="str">
        <f ca="1">IFERROR($K31*44/12*参考2_エネ使用量経年!AE32*参考2_エネ使用量経年!$K32,"")</f>
        <v/>
      </c>
      <c r="AF31" s="954" t="str">
        <f ca="1">IFERROR($H31*44/12*参考2_エネ使用量経年!AF32*参考2_エネ使用量経年!$H32,"")</f>
        <v/>
      </c>
      <c r="AG31" s="954" t="str">
        <f ca="1">IFERROR($I31*44/12*参考2_エネ使用量経年!AG32*参考2_エネ使用量経年!$I32,"")</f>
        <v/>
      </c>
      <c r="AH31" s="954" t="str">
        <f ca="1">IFERROR($J31*44/12*参考2_エネ使用量経年!AH32*参考2_エネ使用量経年!$J32,"")</f>
        <v/>
      </c>
      <c r="AI31" s="954" t="str">
        <f ca="1">IFERROR($K31*44/12*参考2_エネ使用量経年!AI32*参考2_エネ使用量経年!$K32,"")</f>
        <v/>
      </c>
      <c r="AJ31" s="954" t="str">
        <f ca="1">IFERROR($H31*44/12*参考2_エネ使用量経年!AJ32*参考2_エネ使用量経年!$H32,"")</f>
        <v/>
      </c>
      <c r="AK31" s="954" t="str">
        <f ca="1">IFERROR($I31*44/12*参考2_エネ使用量経年!AK32*参考2_エネ使用量経年!$I32,"")</f>
        <v/>
      </c>
      <c r="AL31" s="954" t="str">
        <f ca="1">IFERROR($J31*44/12*参考2_エネ使用量経年!AL32*参考2_エネ使用量経年!$J32,"")</f>
        <v/>
      </c>
      <c r="AM31" s="954" t="str">
        <f ca="1">IFERROR($K31*44/12*参考2_エネ使用量経年!AM32*参考2_エネ使用量経年!$K32,"")</f>
        <v/>
      </c>
      <c r="AN31" s="954" t="str">
        <f ca="1">IFERROR($H31*44/12*参考2_エネ使用量経年!AN32*参考2_エネ使用量経年!$H32,"")</f>
        <v/>
      </c>
      <c r="AO31" s="954" t="str">
        <f ca="1">IFERROR($I31*44/12*参考2_エネ使用量経年!AO32*参考2_エネ使用量経年!$I32,"")</f>
        <v/>
      </c>
      <c r="AP31" s="954" t="str">
        <f ca="1">IFERROR($J31*44/12*参考2_エネ使用量経年!AP32*参考2_エネ使用量経年!$J32,"")</f>
        <v/>
      </c>
      <c r="AQ31" s="954" t="str">
        <f ca="1">IFERROR($K31*44/12*参考2_エネ使用量経年!AQ32*参考2_エネ使用量経年!$K32,"")</f>
        <v/>
      </c>
      <c r="AR31" s="954" t="str">
        <f ca="1">IFERROR($H31*44/12*参考2_エネ使用量経年!AR32*参考2_エネ使用量経年!$H32,"")</f>
        <v/>
      </c>
      <c r="AS31" s="954" t="str">
        <f ca="1">IFERROR($I31*44/12*参考2_エネ使用量経年!AS32*参考2_エネ使用量経年!$I32,"")</f>
        <v/>
      </c>
      <c r="AT31" s="954" t="str">
        <f ca="1">IFERROR($J31*44/12*参考2_エネ使用量経年!AT32*参考2_エネ使用量経年!$J32,"")</f>
        <v/>
      </c>
      <c r="AU31" s="954" t="str">
        <f ca="1">IFERROR($K31*44/12*参考2_エネ使用量経年!AU32*参考2_エネ使用量経年!$K32,"")</f>
        <v/>
      </c>
      <c r="AV31" s="954" t="str">
        <f ca="1">IFERROR($H31*44/12*参考2_エネ使用量経年!AV32*参考2_エネ使用量経年!$H32,"")</f>
        <v/>
      </c>
      <c r="AW31" s="954" t="str">
        <f ca="1">IFERROR($I31*44/12*参考2_エネ使用量経年!AW32*参考2_エネ使用量経年!$I32,"")</f>
        <v/>
      </c>
      <c r="AX31" s="954" t="str">
        <f ca="1">IFERROR($J31*44/12*参考2_エネ使用量経年!AX32*参考2_エネ使用量経年!$J32,"")</f>
        <v/>
      </c>
      <c r="AY31" s="954" t="str">
        <f ca="1">IFERROR($K31*44/12*参考2_エネ使用量経年!AY32*参考2_エネ使用量経年!$K32,"")</f>
        <v/>
      </c>
      <c r="AZ31" s="954" t="str">
        <f ca="1">IFERROR($H31*44/12*参考2_エネ使用量経年!AZ32*参考2_エネ使用量経年!$H32,"")</f>
        <v/>
      </c>
      <c r="BA31" s="954" t="str">
        <f ca="1">IFERROR($I31*44/12*参考2_エネ使用量経年!BA32*参考2_エネ使用量経年!$I32,"")</f>
        <v/>
      </c>
      <c r="BB31" s="954" t="str">
        <f ca="1">IFERROR($J31*44/12*参考2_エネ使用量経年!BB32*参考2_エネ使用量経年!$J32,"")</f>
        <v/>
      </c>
      <c r="BC31" s="954" t="str">
        <f ca="1">IFERROR($K31*44/12*参考2_エネ使用量経年!BC32*参考2_エネ使用量経年!$K32,"")</f>
        <v/>
      </c>
      <c r="BD31" s="954" t="str">
        <f ca="1">IFERROR($H31*44/12*参考2_エネ使用量経年!BD32*参考2_エネ使用量経年!$H32,"")</f>
        <v/>
      </c>
      <c r="BE31" s="954" t="str">
        <f ca="1">IFERROR($I31*44/12*参考2_エネ使用量経年!BE32*参考2_エネ使用量経年!$I32,"")</f>
        <v/>
      </c>
      <c r="BF31" s="954" t="str">
        <f ca="1">IFERROR($J31*44/12*参考2_エネ使用量経年!BF32*参考2_エネ使用量経年!$J32,"")</f>
        <v/>
      </c>
      <c r="BG31" s="954" t="str">
        <f ca="1">IFERROR($K31*44/12*参考2_エネ使用量経年!BG32*参考2_エネ使用量経年!$K32,"")</f>
        <v/>
      </c>
      <c r="BH31" s="954" t="str">
        <f ca="1">IFERROR($H31*44/12*参考2_エネ使用量経年!BH32*参考2_エネ使用量経年!$H32,"")</f>
        <v/>
      </c>
      <c r="BI31" s="954" t="str">
        <f ca="1">IFERROR($I31*44/12*参考2_エネ使用量経年!BI32*参考2_エネ使用量経年!$I32,"")</f>
        <v/>
      </c>
      <c r="BJ31" s="954" t="str">
        <f ca="1">IFERROR($J31*44/12*参考2_エネ使用量経年!BJ32*参考2_エネ使用量経年!$J32,"")</f>
        <v/>
      </c>
      <c r="BK31" s="954" t="str">
        <f ca="1">IFERROR($K31*44/12*参考2_エネ使用量経年!BK32*参考2_エネ使用量経年!$K32,"")</f>
        <v/>
      </c>
      <c r="BL31" s="954" t="str">
        <f ca="1">IFERROR($H31*44/12*参考2_エネ使用量経年!BL32*参考2_エネ使用量経年!$H32,"")</f>
        <v/>
      </c>
      <c r="BM31" s="954" t="str">
        <f ca="1">IFERROR($I31*44/12*参考2_エネ使用量経年!BM32*参考2_エネ使用量経年!$I32,"")</f>
        <v/>
      </c>
      <c r="BN31" s="954" t="str">
        <f ca="1">IFERROR($J31*44/12*参考2_エネ使用量経年!BN32*参考2_エネ使用量経年!$J32,"")</f>
        <v/>
      </c>
      <c r="BO31" s="954" t="str">
        <f ca="1">IFERROR($K31*44/12*参考2_エネ使用量経年!BO32*参考2_エネ使用量経年!$K32,"")</f>
        <v/>
      </c>
    </row>
    <row r="32" spans="1:67" ht="20.100000000000001" hidden="1" customHeight="1" outlineLevel="1">
      <c r="A32" s="952">
        <v>32</v>
      </c>
      <c r="B32" s="1870"/>
      <c r="C32" s="1872"/>
      <c r="D32" s="824" t="s">
        <v>4172</v>
      </c>
      <c r="E32" s="824"/>
      <c r="F32" s="825"/>
      <c r="G32" s="891" t="s">
        <v>4685</v>
      </c>
      <c r="H32" s="953">
        <f t="shared" ca="1" si="0"/>
        <v>2.64E-2</v>
      </c>
      <c r="I32" s="953">
        <f t="shared" ca="1" si="1"/>
        <v>2.64E-2</v>
      </c>
      <c r="J32" s="953">
        <f t="shared" ca="1" si="2"/>
        <v>2.64E-2</v>
      </c>
      <c r="K32" s="953">
        <f t="shared" ca="1" si="3"/>
        <v>2.64E-2</v>
      </c>
      <c r="L32" s="954">
        <f ca="1">IFERROR($H32*44/12*参考2_エネ使用量経年!L33*参考2_エネ使用量経年!$H33,"")</f>
        <v>0</v>
      </c>
      <c r="M32" s="954">
        <f ca="1">IFERROR($I32*44/12*参考2_エネ使用量経年!M33*参考2_エネ使用量経年!$I33,"")</f>
        <v>0</v>
      </c>
      <c r="N32" s="954">
        <f ca="1">IFERROR($J32*44/12*参考2_エネ使用量経年!N33*参考2_エネ使用量経年!$J33,"")</f>
        <v>0</v>
      </c>
      <c r="O32" s="954">
        <f ca="1">IFERROR($K32*44/12*参考2_エネ使用量経年!O33*参考2_エネ使用量経年!$K33,"")</f>
        <v>0</v>
      </c>
      <c r="P32" s="954">
        <f ca="1">IFERROR($H32*44/12*参考2_エネ使用量経年!P33*参考2_エネ使用量経年!$H33,"")</f>
        <v>0</v>
      </c>
      <c r="Q32" s="954">
        <f ca="1">IFERROR($I32*44/12*参考2_エネ使用量経年!Q33*参考2_エネ使用量経年!$I33,"")</f>
        <v>0</v>
      </c>
      <c r="R32" s="954">
        <f ca="1">IFERROR($J32*44/12*参考2_エネ使用量経年!R33*参考2_エネ使用量経年!$J33,"")</f>
        <v>0</v>
      </c>
      <c r="S32" s="954">
        <f ca="1">IFERROR($K32*44/12*参考2_エネ使用量経年!S33*参考2_エネ使用量経年!$K33,"")</f>
        <v>0</v>
      </c>
      <c r="T32" s="954">
        <f ca="1">IFERROR($H32*44/12*参考2_エネ使用量経年!T33*参考2_エネ使用量経年!$H33,"")</f>
        <v>0</v>
      </c>
      <c r="U32" s="954">
        <f ca="1">IFERROR($I32*44/12*参考2_エネ使用量経年!U33*参考2_エネ使用量経年!$I33,"")</f>
        <v>0</v>
      </c>
      <c r="V32" s="954">
        <f ca="1">IFERROR($J32*44/12*参考2_エネ使用量経年!V33*参考2_エネ使用量経年!$J33,"")</f>
        <v>0</v>
      </c>
      <c r="W32" s="954">
        <f ca="1">IFERROR($K32*44/12*参考2_エネ使用量経年!W33*参考2_エネ使用量経年!$K33,"")</f>
        <v>0</v>
      </c>
      <c r="X32" s="954">
        <f ca="1">IFERROR($H32*44/12*参考2_エネ使用量経年!X33*参考2_エネ使用量経年!$H33,"")</f>
        <v>0</v>
      </c>
      <c r="Y32" s="954">
        <f ca="1">IFERROR($I32*44/12*参考2_エネ使用量経年!Y33*参考2_エネ使用量経年!$I33,"")</f>
        <v>0</v>
      </c>
      <c r="Z32" s="954">
        <f ca="1">IFERROR($J32*44/12*参考2_エネ使用量経年!Z33*参考2_エネ使用量経年!$J33,"")</f>
        <v>0</v>
      </c>
      <c r="AA32" s="954">
        <f ca="1">IFERROR($K32*44/12*参考2_エネ使用量経年!AA33*参考2_エネ使用量経年!$K33,"")</f>
        <v>0</v>
      </c>
      <c r="AB32" s="954" t="str">
        <f ca="1">IFERROR($H32*44/12*参考2_エネ使用量経年!AB33*参考2_エネ使用量経年!$H33,"")</f>
        <v/>
      </c>
      <c r="AC32" s="954" t="str">
        <f ca="1">IFERROR($I32*44/12*参考2_エネ使用量経年!AC33*参考2_エネ使用量経年!$I33,"")</f>
        <v/>
      </c>
      <c r="AD32" s="954" t="str">
        <f ca="1">IFERROR($J32*44/12*参考2_エネ使用量経年!AD33*参考2_エネ使用量経年!$J33,"")</f>
        <v/>
      </c>
      <c r="AE32" s="954" t="str">
        <f ca="1">IFERROR($K32*44/12*参考2_エネ使用量経年!AE33*参考2_エネ使用量経年!$K33,"")</f>
        <v/>
      </c>
      <c r="AF32" s="954" t="str">
        <f ca="1">IFERROR($H32*44/12*参考2_エネ使用量経年!AF33*参考2_エネ使用量経年!$H33,"")</f>
        <v/>
      </c>
      <c r="AG32" s="954" t="str">
        <f ca="1">IFERROR($I32*44/12*参考2_エネ使用量経年!AG33*参考2_エネ使用量経年!$I33,"")</f>
        <v/>
      </c>
      <c r="AH32" s="954" t="str">
        <f ca="1">IFERROR($J32*44/12*参考2_エネ使用量経年!AH33*参考2_エネ使用量経年!$J33,"")</f>
        <v/>
      </c>
      <c r="AI32" s="954" t="str">
        <f ca="1">IFERROR($K32*44/12*参考2_エネ使用量経年!AI33*参考2_エネ使用量経年!$K33,"")</f>
        <v/>
      </c>
      <c r="AJ32" s="954" t="str">
        <f ca="1">IFERROR($H32*44/12*参考2_エネ使用量経年!AJ33*参考2_エネ使用量経年!$H33,"")</f>
        <v/>
      </c>
      <c r="AK32" s="954" t="str">
        <f ca="1">IFERROR($I32*44/12*参考2_エネ使用量経年!AK33*参考2_エネ使用量経年!$I33,"")</f>
        <v/>
      </c>
      <c r="AL32" s="954" t="str">
        <f ca="1">IFERROR($J32*44/12*参考2_エネ使用量経年!AL33*参考2_エネ使用量経年!$J33,"")</f>
        <v/>
      </c>
      <c r="AM32" s="954" t="str">
        <f ca="1">IFERROR($K32*44/12*参考2_エネ使用量経年!AM33*参考2_エネ使用量経年!$K33,"")</f>
        <v/>
      </c>
      <c r="AN32" s="954" t="str">
        <f ca="1">IFERROR($H32*44/12*参考2_エネ使用量経年!AN33*参考2_エネ使用量経年!$H33,"")</f>
        <v/>
      </c>
      <c r="AO32" s="954" t="str">
        <f ca="1">IFERROR($I32*44/12*参考2_エネ使用量経年!AO33*参考2_エネ使用量経年!$I33,"")</f>
        <v/>
      </c>
      <c r="AP32" s="954" t="str">
        <f ca="1">IFERROR($J32*44/12*参考2_エネ使用量経年!AP33*参考2_エネ使用量経年!$J33,"")</f>
        <v/>
      </c>
      <c r="AQ32" s="954" t="str">
        <f ca="1">IFERROR($K32*44/12*参考2_エネ使用量経年!AQ33*参考2_エネ使用量経年!$K33,"")</f>
        <v/>
      </c>
      <c r="AR32" s="954" t="str">
        <f ca="1">IFERROR($H32*44/12*参考2_エネ使用量経年!AR33*参考2_エネ使用量経年!$H33,"")</f>
        <v/>
      </c>
      <c r="AS32" s="954" t="str">
        <f ca="1">IFERROR($I32*44/12*参考2_エネ使用量経年!AS33*参考2_エネ使用量経年!$I33,"")</f>
        <v/>
      </c>
      <c r="AT32" s="954" t="str">
        <f ca="1">IFERROR($J32*44/12*参考2_エネ使用量経年!AT33*参考2_エネ使用量経年!$J33,"")</f>
        <v/>
      </c>
      <c r="AU32" s="954" t="str">
        <f ca="1">IFERROR($K32*44/12*参考2_エネ使用量経年!AU33*参考2_エネ使用量経年!$K33,"")</f>
        <v/>
      </c>
      <c r="AV32" s="954" t="str">
        <f ca="1">IFERROR($H32*44/12*参考2_エネ使用量経年!AV33*参考2_エネ使用量経年!$H33,"")</f>
        <v/>
      </c>
      <c r="AW32" s="954" t="str">
        <f ca="1">IFERROR($I32*44/12*参考2_エネ使用量経年!AW33*参考2_エネ使用量経年!$I33,"")</f>
        <v/>
      </c>
      <c r="AX32" s="954" t="str">
        <f ca="1">IFERROR($J32*44/12*参考2_エネ使用量経年!AX33*参考2_エネ使用量経年!$J33,"")</f>
        <v/>
      </c>
      <c r="AY32" s="954" t="str">
        <f ca="1">IFERROR($K32*44/12*参考2_エネ使用量経年!AY33*参考2_エネ使用量経年!$K33,"")</f>
        <v/>
      </c>
      <c r="AZ32" s="954" t="str">
        <f ca="1">IFERROR($H32*44/12*参考2_エネ使用量経年!AZ33*参考2_エネ使用量経年!$H33,"")</f>
        <v/>
      </c>
      <c r="BA32" s="954" t="str">
        <f ca="1">IFERROR($I32*44/12*参考2_エネ使用量経年!BA33*参考2_エネ使用量経年!$I33,"")</f>
        <v/>
      </c>
      <c r="BB32" s="954" t="str">
        <f ca="1">IFERROR($J32*44/12*参考2_エネ使用量経年!BB33*参考2_エネ使用量経年!$J33,"")</f>
        <v/>
      </c>
      <c r="BC32" s="954" t="str">
        <f ca="1">IFERROR($K32*44/12*参考2_エネ使用量経年!BC33*参考2_エネ使用量経年!$K33,"")</f>
        <v/>
      </c>
      <c r="BD32" s="954" t="str">
        <f ca="1">IFERROR($H32*44/12*参考2_エネ使用量経年!BD33*参考2_エネ使用量経年!$H33,"")</f>
        <v/>
      </c>
      <c r="BE32" s="954" t="str">
        <f ca="1">IFERROR($I32*44/12*参考2_エネ使用量経年!BE33*参考2_エネ使用量経年!$I33,"")</f>
        <v/>
      </c>
      <c r="BF32" s="954" t="str">
        <f ca="1">IFERROR($J32*44/12*参考2_エネ使用量経年!BF33*参考2_エネ使用量経年!$J33,"")</f>
        <v/>
      </c>
      <c r="BG32" s="954" t="str">
        <f ca="1">IFERROR($K32*44/12*参考2_エネ使用量経年!BG33*参考2_エネ使用量経年!$K33,"")</f>
        <v/>
      </c>
      <c r="BH32" s="954" t="str">
        <f ca="1">IFERROR($H32*44/12*参考2_エネ使用量経年!BH33*参考2_エネ使用量経年!$H33,"")</f>
        <v/>
      </c>
      <c r="BI32" s="954" t="str">
        <f ca="1">IFERROR($I32*44/12*参考2_エネ使用量経年!BI33*参考2_エネ使用量経年!$I33,"")</f>
        <v/>
      </c>
      <c r="BJ32" s="954" t="str">
        <f ca="1">IFERROR($J32*44/12*参考2_エネ使用量経年!BJ33*参考2_エネ使用量経年!$J33,"")</f>
        <v/>
      </c>
      <c r="BK32" s="954" t="str">
        <f ca="1">IFERROR($K32*44/12*参考2_エネ使用量経年!BK33*参考2_エネ使用量経年!$K33,"")</f>
        <v/>
      </c>
      <c r="BL32" s="954" t="str">
        <f ca="1">IFERROR($H32*44/12*参考2_エネ使用量経年!BL33*参考2_エネ使用量経年!$H33,"")</f>
        <v/>
      </c>
      <c r="BM32" s="954" t="str">
        <f ca="1">IFERROR($I32*44/12*参考2_エネ使用量経年!BM33*参考2_エネ使用量経年!$I33,"")</f>
        <v/>
      </c>
      <c r="BN32" s="954" t="str">
        <f ca="1">IFERROR($J32*44/12*参考2_エネ使用量経年!BN33*参考2_エネ使用量経年!$J33,"")</f>
        <v/>
      </c>
      <c r="BO32" s="954" t="str">
        <f ca="1">IFERROR($K32*44/12*参考2_エネ使用量経年!BO33*参考2_エネ使用量経年!$K33,"")</f>
        <v/>
      </c>
    </row>
    <row r="33" spans="1:67" ht="20.100000000000001" hidden="1" customHeight="1" outlineLevel="1">
      <c r="A33" s="952">
        <v>33</v>
      </c>
      <c r="B33" s="1870"/>
      <c r="C33" s="1872"/>
      <c r="D33" s="824" t="s">
        <v>4404</v>
      </c>
      <c r="E33" s="824"/>
      <c r="F33" s="825"/>
      <c r="G33" s="891" t="s">
        <v>4685</v>
      </c>
      <c r="H33" s="953">
        <f t="shared" ca="1" si="0"/>
        <v>2.64E-2</v>
      </c>
      <c r="I33" s="953">
        <f t="shared" ca="1" si="1"/>
        <v>2.64E-2</v>
      </c>
      <c r="J33" s="953">
        <f t="shared" ca="1" si="2"/>
        <v>2.64E-2</v>
      </c>
      <c r="K33" s="953">
        <f t="shared" ca="1" si="3"/>
        <v>2.64E-2</v>
      </c>
      <c r="L33" s="954">
        <f ca="1">IFERROR($H33*44/12*参考2_エネ使用量経年!L34*参考2_エネ使用量経年!$H34,"")</f>
        <v>0</v>
      </c>
      <c r="M33" s="954">
        <f ca="1">IFERROR($I33*44/12*参考2_エネ使用量経年!M34*参考2_エネ使用量経年!$I34,"")</f>
        <v>0</v>
      </c>
      <c r="N33" s="954">
        <f ca="1">IFERROR($J33*44/12*参考2_エネ使用量経年!N34*参考2_エネ使用量経年!$J34,"")</f>
        <v>0</v>
      </c>
      <c r="O33" s="954">
        <f ca="1">IFERROR($K33*44/12*参考2_エネ使用量経年!O34*参考2_エネ使用量経年!$K34,"")</f>
        <v>0</v>
      </c>
      <c r="P33" s="954">
        <f ca="1">IFERROR($H33*44/12*参考2_エネ使用量経年!P34*参考2_エネ使用量経年!$H34,"")</f>
        <v>0</v>
      </c>
      <c r="Q33" s="954">
        <f ca="1">IFERROR($I33*44/12*参考2_エネ使用量経年!Q34*参考2_エネ使用量経年!$I34,"")</f>
        <v>0</v>
      </c>
      <c r="R33" s="954">
        <f ca="1">IFERROR($J33*44/12*参考2_エネ使用量経年!R34*参考2_エネ使用量経年!$J34,"")</f>
        <v>0</v>
      </c>
      <c r="S33" s="954">
        <f ca="1">IFERROR($K33*44/12*参考2_エネ使用量経年!S34*参考2_エネ使用量経年!$K34,"")</f>
        <v>0</v>
      </c>
      <c r="T33" s="954">
        <f ca="1">IFERROR($H33*44/12*参考2_エネ使用量経年!T34*参考2_エネ使用量経年!$H34,"")</f>
        <v>0</v>
      </c>
      <c r="U33" s="954">
        <f ca="1">IFERROR($I33*44/12*参考2_エネ使用量経年!U34*参考2_エネ使用量経年!$I34,"")</f>
        <v>0</v>
      </c>
      <c r="V33" s="954">
        <f ca="1">IFERROR($J33*44/12*参考2_エネ使用量経年!V34*参考2_エネ使用量経年!$J34,"")</f>
        <v>0</v>
      </c>
      <c r="W33" s="954">
        <f ca="1">IFERROR($K33*44/12*参考2_エネ使用量経年!W34*参考2_エネ使用量経年!$K34,"")</f>
        <v>0</v>
      </c>
      <c r="X33" s="954">
        <f ca="1">IFERROR($H33*44/12*参考2_エネ使用量経年!X34*参考2_エネ使用量経年!$H34,"")</f>
        <v>0</v>
      </c>
      <c r="Y33" s="954">
        <f ca="1">IFERROR($I33*44/12*参考2_エネ使用量経年!Y34*参考2_エネ使用量経年!$I34,"")</f>
        <v>0</v>
      </c>
      <c r="Z33" s="954">
        <f ca="1">IFERROR($J33*44/12*参考2_エネ使用量経年!Z34*参考2_エネ使用量経年!$J34,"")</f>
        <v>0</v>
      </c>
      <c r="AA33" s="954">
        <f ca="1">IFERROR($K33*44/12*参考2_エネ使用量経年!AA34*参考2_エネ使用量経年!$K34,"")</f>
        <v>0</v>
      </c>
      <c r="AB33" s="954" t="str">
        <f ca="1">IFERROR($H33*44/12*参考2_エネ使用量経年!AB34*参考2_エネ使用量経年!$H34,"")</f>
        <v/>
      </c>
      <c r="AC33" s="954" t="str">
        <f ca="1">IFERROR($I33*44/12*参考2_エネ使用量経年!AC34*参考2_エネ使用量経年!$I34,"")</f>
        <v/>
      </c>
      <c r="AD33" s="954" t="str">
        <f ca="1">IFERROR($J33*44/12*参考2_エネ使用量経年!AD34*参考2_エネ使用量経年!$J34,"")</f>
        <v/>
      </c>
      <c r="AE33" s="954" t="str">
        <f ca="1">IFERROR($K33*44/12*参考2_エネ使用量経年!AE34*参考2_エネ使用量経年!$K34,"")</f>
        <v/>
      </c>
      <c r="AF33" s="954" t="str">
        <f ca="1">IFERROR($H33*44/12*参考2_エネ使用量経年!AF34*参考2_エネ使用量経年!$H34,"")</f>
        <v/>
      </c>
      <c r="AG33" s="954" t="str">
        <f ca="1">IFERROR($I33*44/12*参考2_エネ使用量経年!AG34*参考2_エネ使用量経年!$I34,"")</f>
        <v/>
      </c>
      <c r="AH33" s="954" t="str">
        <f ca="1">IFERROR($J33*44/12*参考2_エネ使用量経年!AH34*参考2_エネ使用量経年!$J34,"")</f>
        <v/>
      </c>
      <c r="AI33" s="954" t="str">
        <f ca="1">IFERROR($K33*44/12*参考2_エネ使用量経年!AI34*参考2_エネ使用量経年!$K34,"")</f>
        <v/>
      </c>
      <c r="AJ33" s="954" t="str">
        <f ca="1">IFERROR($H33*44/12*参考2_エネ使用量経年!AJ34*参考2_エネ使用量経年!$H34,"")</f>
        <v/>
      </c>
      <c r="AK33" s="954" t="str">
        <f ca="1">IFERROR($I33*44/12*参考2_エネ使用量経年!AK34*参考2_エネ使用量経年!$I34,"")</f>
        <v/>
      </c>
      <c r="AL33" s="954" t="str">
        <f ca="1">IFERROR($J33*44/12*参考2_エネ使用量経年!AL34*参考2_エネ使用量経年!$J34,"")</f>
        <v/>
      </c>
      <c r="AM33" s="954" t="str">
        <f ca="1">IFERROR($K33*44/12*参考2_エネ使用量経年!AM34*参考2_エネ使用量経年!$K34,"")</f>
        <v/>
      </c>
      <c r="AN33" s="954" t="str">
        <f ca="1">IFERROR($H33*44/12*参考2_エネ使用量経年!AN34*参考2_エネ使用量経年!$H34,"")</f>
        <v/>
      </c>
      <c r="AO33" s="954" t="str">
        <f ca="1">IFERROR($I33*44/12*参考2_エネ使用量経年!AO34*参考2_エネ使用量経年!$I34,"")</f>
        <v/>
      </c>
      <c r="AP33" s="954" t="str">
        <f ca="1">IFERROR($J33*44/12*参考2_エネ使用量経年!AP34*参考2_エネ使用量経年!$J34,"")</f>
        <v/>
      </c>
      <c r="AQ33" s="954" t="str">
        <f ca="1">IFERROR($K33*44/12*参考2_エネ使用量経年!AQ34*参考2_エネ使用量経年!$K34,"")</f>
        <v/>
      </c>
      <c r="AR33" s="954" t="str">
        <f ca="1">IFERROR($H33*44/12*参考2_エネ使用量経年!AR34*参考2_エネ使用量経年!$H34,"")</f>
        <v/>
      </c>
      <c r="AS33" s="954" t="str">
        <f ca="1">IFERROR($I33*44/12*参考2_エネ使用量経年!AS34*参考2_エネ使用量経年!$I34,"")</f>
        <v/>
      </c>
      <c r="AT33" s="954" t="str">
        <f ca="1">IFERROR($J33*44/12*参考2_エネ使用量経年!AT34*参考2_エネ使用量経年!$J34,"")</f>
        <v/>
      </c>
      <c r="AU33" s="954" t="str">
        <f ca="1">IFERROR($K33*44/12*参考2_エネ使用量経年!AU34*参考2_エネ使用量経年!$K34,"")</f>
        <v/>
      </c>
      <c r="AV33" s="954" t="str">
        <f ca="1">IFERROR($H33*44/12*参考2_エネ使用量経年!AV34*参考2_エネ使用量経年!$H34,"")</f>
        <v/>
      </c>
      <c r="AW33" s="954" t="str">
        <f ca="1">IFERROR($I33*44/12*参考2_エネ使用量経年!AW34*参考2_エネ使用量経年!$I34,"")</f>
        <v/>
      </c>
      <c r="AX33" s="954" t="str">
        <f ca="1">IFERROR($J33*44/12*参考2_エネ使用量経年!AX34*参考2_エネ使用量経年!$J34,"")</f>
        <v/>
      </c>
      <c r="AY33" s="954" t="str">
        <f ca="1">IFERROR($K33*44/12*参考2_エネ使用量経年!AY34*参考2_エネ使用量経年!$K34,"")</f>
        <v/>
      </c>
      <c r="AZ33" s="954" t="str">
        <f ca="1">IFERROR($H33*44/12*参考2_エネ使用量経年!AZ34*参考2_エネ使用量経年!$H34,"")</f>
        <v/>
      </c>
      <c r="BA33" s="954" t="str">
        <f ca="1">IFERROR($I33*44/12*参考2_エネ使用量経年!BA34*参考2_エネ使用量経年!$I34,"")</f>
        <v/>
      </c>
      <c r="BB33" s="954" t="str">
        <f ca="1">IFERROR($J33*44/12*参考2_エネ使用量経年!BB34*参考2_エネ使用量経年!$J34,"")</f>
        <v/>
      </c>
      <c r="BC33" s="954" t="str">
        <f ca="1">IFERROR($K33*44/12*参考2_エネ使用量経年!BC34*参考2_エネ使用量経年!$K34,"")</f>
        <v/>
      </c>
      <c r="BD33" s="954" t="str">
        <f ca="1">IFERROR($H33*44/12*参考2_エネ使用量経年!BD34*参考2_エネ使用量経年!$H34,"")</f>
        <v/>
      </c>
      <c r="BE33" s="954" t="str">
        <f ca="1">IFERROR($I33*44/12*参考2_エネ使用量経年!BE34*参考2_エネ使用量経年!$I34,"")</f>
        <v/>
      </c>
      <c r="BF33" s="954" t="str">
        <f ca="1">IFERROR($J33*44/12*参考2_エネ使用量経年!BF34*参考2_エネ使用量経年!$J34,"")</f>
        <v/>
      </c>
      <c r="BG33" s="954" t="str">
        <f ca="1">IFERROR($K33*44/12*参考2_エネ使用量経年!BG34*参考2_エネ使用量経年!$K34,"")</f>
        <v/>
      </c>
      <c r="BH33" s="954" t="str">
        <f ca="1">IFERROR($H33*44/12*参考2_エネ使用量経年!BH34*参考2_エネ使用量経年!$H34,"")</f>
        <v/>
      </c>
      <c r="BI33" s="954" t="str">
        <f ca="1">IFERROR($I33*44/12*参考2_エネ使用量経年!BI34*参考2_エネ使用量経年!$I34,"")</f>
        <v/>
      </c>
      <c r="BJ33" s="954" t="str">
        <f ca="1">IFERROR($J33*44/12*参考2_エネ使用量経年!BJ34*参考2_エネ使用量経年!$J34,"")</f>
        <v/>
      </c>
      <c r="BK33" s="954" t="str">
        <f ca="1">IFERROR($K33*44/12*参考2_エネ使用量経年!BK34*参考2_エネ使用量経年!$K34,"")</f>
        <v/>
      </c>
      <c r="BL33" s="954" t="str">
        <f ca="1">IFERROR($H33*44/12*参考2_エネ使用量経年!BL34*参考2_エネ使用量経年!$H34,"")</f>
        <v/>
      </c>
      <c r="BM33" s="954" t="str">
        <f ca="1">IFERROR($I33*44/12*参考2_エネ使用量経年!BM34*参考2_エネ使用量経年!$I34,"")</f>
        <v/>
      </c>
      <c r="BN33" s="954" t="str">
        <f ca="1">IFERROR($J33*44/12*参考2_エネ使用量経年!BN34*参考2_エネ使用量経年!$J34,"")</f>
        <v/>
      </c>
      <c r="BO33" s="954" t="str">
        <f ca="1">IFERROR($K33*44/12*参考2_エネ使用量経年!BO34*参考2_エネ使用量経年!$K34,"")</f>
        <v/>
      </c>
    </row>
    <row r="34" spans="1:67" ht="20.100000000000001" hidden="1" customHeight="1" outlineLevel="1">
      <c r="A34" s="952">
        <v>34</v>
      </c>
      <c r="B34" s="1870"/>
      <c r="C34" s="1872"/>
      <c r="D34" s="824" t="s">
        <v>4174</v>
      </c>
      <c r="E34" s="824"/>
      <c r="F34" s="825"/>
      <c r="G34" s="891" t="s">
        <v>4685</v>
      </c>
      <c r="H34" s="953">
        <f t="shared" ca="1" si="0"/>
        <v>4.2000000000000003E-2</v>
      </c>
      <c r="I34" s="953">
        <f t="shared" ca="1" si="1"/>
        <v>4.2000000000000003E-2</v>
      </c>
      <c r="J34" s="953">
        <f t="shared" ca="1" si="2"/>
        <v>4.2000000000000003E-2</v>
      </c>
      <c r="K34" s="953">
        <f t="shared" ca="1" si="3"/>
        <v>4.2000000000000003E-2</v>
      </c>
      <c r="L34" s="954">
        <f ca="1">IFERROR($H34*44/12*参考2_エネ使用量経年!L35*参考2_エネ使用量経年!$H35,"")</f>
        <v>0</v>
      </c>
      <c r="M34" s="954">
        <f ca="1">IFERROR($I34*44/12*参考2_エネ使用量経年!M35*参考2_エネ使用量経年!$I35,"")</f>
        <v>0</v>
      </c>
      <c r="N34" s="954">
        <f ca="1">IFERROR($J34*44/12*参考2_エネ使用量経年!N35*参考2_エネ使用量経年!$J35,"")</f>
        <v>0</v>
      </c>
      <c r="O34" s="954">
        <f ca="1">IFERROR($K34*44/12*参考2_エネ使用量経年!O35*参考2_エネ使用量経年!$K35,"")</f>
        <v>0</v>
      </c>
      <c r="P34" s="954">
        <f ca="1">IFERROR($H34*44/12*参考2_エネ使用量経年!P35*参考2_エネ使用量経年!$H35,"")</f>
        <v>0</v>
      </c>
      <c r="Q34" s="954">
        <f ca="1">IFERROR($I34*44/12*参考2_エネ使用量経年!Q35*参考2_エネ使用量経年!$I35,"")</f>
        <v>0</v>
      </c>
      <c r="R34" s="954">
        <f ca="1">IFERROR($J34*44/12*参考2_エネ使用量経年!R35*参考2_エネ使用量経年!$J35,"")</f>
        <v>0</v>
      </c>
      <c r="S34" s="954">
        <f ca="1">IFERROR($K34*44/12*参考2_エネ使用量経年!S35*参考2_エネ使用量経年!$K35,"")</f>
        <v>0</v>
      </c>
      <c r="T34" s="954">
        <f ca="1">IFERROR($H34*44/12*参考2_エネ使用量経年!T35*参考2_エネ使用量経年!$H35,"")</f>
        <v>0</v>
      </c>
      <c r="U34" s="954">
        <f ca="1">IFERROR($I34*44/12*参考2_エネ使用量経年!U35*参考2_エネ使用量経年!$I35,"")</f>
        <v>0</v>
      </c>
      <c r="V34" s="954">
        <f ca="1">IFERROR($J34*44/12*参考2_エネ使用量経年!V35*参考2_エネ使用量経年!$J35,"")</f>
        <v>0</v>
      </c>
      <c r="W34" s="954">
        <f ca="1">IFERROR($K34*44/12*参考2_エネ使用量経年!W35*参考2_エネ使用量経年!$K35,"")</f>
        <v>0</v>
      </c>
      <c r="X34" s="954">
        <f ca="1">IFERROR($H34*44/12*参考2_エネ使用量経年!X35*参考2_エネ使用量経年!$H35,"")</f>
        <v>0</v>
      </c>
      <c r="Y34" s="954">
        <f ca="1">IFERROR($I34*44/12*参考2_エネ使用量経年!Y35*参考2_エネ使用量経年!$I35,"")</f>
        <v>0</v>
      </c>
      <c r="Z34" s="954">
        <f ca="1">IFERROR($J34*44/12*参考2_エネ使用量経年!Z35*参考2_エネ使用量経年!$J35,"")</f>
        <v>0</v>
      </c>
      <c r="AA34" s="954">
        <f ca="1">IFERROR($K34*44/12*参考2_エネ使用量経年!AA35*参考2_エネ使用量経年!$K35,"")</f>
        <v>0</v>
      </c>
      <c r="AB34" s="954" t="str">
        <f ca="1">IFERROR($H34*44/12*参考2_エネ使用量経年!AB35*参考2_エネ使用量経年!$H35,"")</f>
        <v/>
      </c>
      <c r="AC34" s="954" t="str">
        <f ca="1">IFERROR($I34*44/12*参考2_エネ使用量経年!AC35*参考2_エネ使用量経年!$I35,"")</f>
        <v/>
      </c>
      <c r="AD34" s="954" t="str">
        <f ca="1">IFERROR($J34*44/12*参考2_エネ使用量経年!AD35*参考2_エネ使用量経年!$J35,"")</f>
        <v/>
      </c>
      <c r="AE34" s="954" t="str">
        <f ca="1">IFERROR($K34*44/12*参考2_エネ使用量経年!AE35*参考2_エネ使用量経年!$K35,"")</f>
        <v/>
      </c>
      <c r="AF34" s="954" t="str">
        <f ca="1">IFERROR($H34*44/12*参考2_エネ使用量経年!AF35*参考2_エネ使用量経年!$H35,"")</f>
        <v/>
      </c>
      <c r="AG34" s="954" t="str">
        <f ca="1">IFERROR($I34*44/12*参考2_エネ使用量経年!AG35*参考2_エネ使用量経年!$I35,"")</f>
        <v/>
      </c>
      <c r="AH34" s="954" t="str">
        <f ca="1">IFERROR($J34*44/12*参考2_エネ使用量経年!AH35*参考2_エネ使用量経年!$J35,"")</f>
        <v/>
      </c>
      <c r="AI34" s="954" t="str">
        <f ca="1">IFERROR($K34*44/12*参考2_エネ使用量経年!AI35*参考2_エネ使用量経年!$K35,"")</f>
        <v/>
      </c>
      <c r="AJ34" s="954" t="str">
        <f ca="1">IFERROR($H34*44/12*参考2_エネ使用量経年!AJ35*参考2_エネ使用量経年!$H35,"")</f>
        <v/>
      </c>
      <c r="AK34" s="954" t="str">
        <f ca="1">IFERROR($I34*44/12*参考2_エネ使用量経年!AK35*参考2_エネ使用量経年!$I35,"")</f>
        <v/>
      </c>
      <c r="AL34" s="954" t="str">
        <f ca="1">IFERROR($J34*44/12*参考2_エネ使用量経年!AL35*参考2_エネ使用量経年!$J35,"")</f>
        <v/>
      </c>
      <c r="AM34" s="954" t="str">
        <f ca="1">IFERROR($K34*44/12*参考2_エネ使用量経年!AM35*参考2_エネ使用量経年!$K35,"")</f>
        <v/>
      </c>
      <c r="AN34" s="954" t="str">
        <f ca="1">IFERROR($H34*44/12*参考2_エネ使用量経年!AN35*参考2_エネ使用量経年!$H35,"")</f>
        <v/>
      </c>
      <c r="AO34" s="954" t="str">
        <f ca="1">IFERROR($I34*44/12*参考2_エネ使用量経年!AO35*参考2_エネ使用量経年!$I35,"")</f>
        <v/>
      </c>
      <c r="AP34" s="954" t="str">
        <f ca="1">IFERROR($J34*44/12*参考2_エネ使用量経年!AP35*参考2_エネ使用量経年!$J35,"")</f>
        <v/>
      </c>
      <c r="AQ34" s="954" t="str">
        <f ca="1">IFERROR($K34*44/12*参考2_エネ使用量経年!AQ35*参考2_エネ使用量経年!$K35,"")</f>
        <v/>
      </c>
      <c r="AR34" s="954" t="str">
        <f ca="1">IFERROR($H34*44/12*参考2_エネ使用量経年!AR35*参考2_エネ使用量経年!$H35,"")</f>
        <v/>
      </c>
      <c r="AS34" s="954" t="str">
        <f ca="1">IFERROR($I34*44/12*参考2_エネ使用量経年!AS35*参考2_エネ使用量経年!$I35,"")</f>
        <v/>
      </c>
      <c r="AT34" s="954" t="str">
        <f ca="1">IFERROR($J34*44/12*参考2_エネ使用量経年!AT35*参考2_エネ使用量経年!$J35,"")</f>
        <v/>
      </c>
      <c r="AU34" s="954" t="str">
        <f ca="1">IFERROR($K34*44/12*参考2_エネ使用量経年!AU35*参考2_エネ使用量経年!$K35,"")</f>
        <v/>
      </c>
      <c r="AV34" s="954" t="str">
        <f ca="1">IFERROR($H34*44/12*参考2_エネ使用量経年!AV35*参考2_エネ使用量経年!$H35,"")</f>
        <v/>
      </c>
      <c r="AW34" s="954" t="str">
        <f ca="1">IFERROR($I34*44/12*参考2_エネ使用量経年!AW35*参考2_エネ使用量経年!$I35,"")</f>
        <v/>
      </c>
      <c r="AX34" s="954" t="str">
        <f ca="1">IFERROR($J34*44/12*参考2_エネ使用量経年!AX35*参考2_エネ使用量経年!$J35,"")</f>
        <v/>
      </c>
      <c r="AY34" s="954" t="str">
        <f ca="1">IFERROR($K34*44/12*参考2_エネ使用量経年!AY35*参考2_エネ使用量経年!$K35,"")</f>
        <v/>
      </c>
      <c r="AZ34" s="954" t="str">
        <f ca="1">IFERROR($H34*44/12*参考2_エネ使用量経年!AZ35*参考2_エネ使用量経年!$H35,"")</f>
        <v/>
      </c>
      <c r="BA34" s="954" t="str">
        <f ca="1">IFERROR($I34*44/12*参考2_エネ使用量経年!BA35*参考2_エネ使用量経年!$I35,"")</f>
        <v/>
      </c>
      <c r="BB34" s="954" t="str">
        <f ca="1">IFERROR($J34*44/12*参考2_エネ使用量経年!BB35*参考2_エネ使用量経年!$J35,"")</f>
        <v/>
      </c>
      <c r="BC34" s="954" t="str">
        <f ca="1">IFERROR($K34*44/12*参考2_エネ使用量経年!BC35*参考2_エネ使用量経年!$K35,"")</f>
        <v/>
      </c>
      <c r="BD34" s="954" t="str">
        <f ca="1">IFERROR($H34*44/12*参考2_エネ使用量経年!BD35*参考2_エネ使用量経年!$H35,"")</f>
        <v/>
      </c>
      <c r="BE34" s="954" t="str">
        <f ca="1">IFERROR($I34*44/12*参考2_エネ使用量経年!BE35*参考2_エネ使用量経年!$I35,"")</f>
        <v/>
      </c>
      <c r="BF34" s="954" t="str">
        <f ca="1">IFERROR($J34*44/12*参考2_エネ使用量経年!BF35*参考2_エネ使用量経年!$J35,"")</f>
        <v/>
      </c>
      <c r="BG34" s="954" t="str">
        <f ca="1">IFERROR($K34*44/12*参考2_エネ使用量経年!BG35*参考2_エネ使用量経年!$K35,"")</f>
        <v/>
      </c>
      <c r="BH34" s="954" t="str">
        <f ca="1">IFERROR($H34*44/12*参考2_エネ使用量経年!BH35*参考2_エネ使用量経年!$H35,"")</f>
        <v/>
      </c>
      <c r="BI34" s="954" t="str">
        <f ca="1">IFERROR($I34*44/12*参考2_エネ使用量経年!BI35*参考2_エネ使用量経年!$I35,"")</f>
        <v/>
      </c>
      <c r="BJ34" s="954" t="str">
        <f ca="1">IFERROR($J34*44/12*参考2_エネ使用量経年!BJ35*参考2_エネ使用量経年!$J35,"")</f>
        <v/>
      </c>
      <c r="BK34" s="954" t="str">
        <f ca="1">IFERROR($K34*44/12*参考2_エネ使用量経年!BK35*参考2_エネ使用量経年!$K35,"")</f>
        <v/>
      </c>
      <c r="BL34" s="954" t="str">
        <f ca="1">IFERROR($H34*44/12*参考2_エネ使用量経年!BL35*参考2_エネ使用量経年!$H35,"")</f>
        <v/>
      </c>
      <c r="BM34" s="954" t="str">
        <f ca="1">IFERROR($I34*44/12*参考2_エネ使用量経年!BM35*参考2_エネ使用量経年!$I35,"")</f>
        <v/>
      </c>
      <c r="BN34" s="954" t="str">
        <f ca="1">IFERROR($J34*44/12*参考2_エネ使用量経年!BN35*参考2_エネ使用量経年!$J35,"")</f>
        <v/>
      </c>
      <c r="BO34" s="954" t="str">
        <f ca="1">IFERROR($K34*44/12*参考2_エネ使用量経年!BO35*参考2_エネ使用量経年!$K35,"")</f>
        <v/>
      </c>
    </row>
    <row r="35" spans="1:67" ht="20.100000000000001" hidden="1" customHeight="1" outlineLevel="1">
      <c r="A35" s="952">
        <v>7</v>
      </c>
      <c r="B35" s="1871"/>
      <c r="C35" s="1872"/>
      <c r="D35" s="824" t="s">
        <v>4405</v>
      </c>
      <c r="E35" s="829"/>
      <c r="F35" s="825"/>
      <c r="G35" s="891" t="s">
        <v>4685</v>
      </c>
      <c r="H35" s="955"/>
      <c r="I35" s="955"/>
      <c r="J35" s="955"/>
      <c r="K35" s="955"/>
      <c r="L35" s="956">
        <f ca="1">SUM(SUMIFS(OFFSET(A1_集計2024,$A35,9,1,200),OFFSET(貼付け_2024実績,4,9,1,200),{"横浜*","川崎*","県域*","エネルギー管理指定工場等*"}))</f>
        <v>0</v>
      </c>
      <c r="M35" s="956">
        <f ca="1">SUM(SUMIFS(OFFSET(A1_集計2025,$A35,9,1,200),OFFSET(貼付け_2025実績,4,9,1,200),{"横浜*","川崎*","県域*","エネルギー管理指定工場等*"}))</f>
        <v>0</v>
      </c>
      <c r="N35" s="956">
        <f ca="1">SUM(SUMIFS(OFFSET(A1_集計2026,$A35,9,1,200),OFFSET(貼付け_2026実績,4,9,1,200),{"横浜*","川崎*","県域*","エネルギー管理指定工場等*"}))</f>
        <v>0</v>
      </c>
      <c r="O35" s="956">
        <f ca="1">SUM(SUMIFS(OFFSET(A1_集計2027,$A35,9,1,200),OFFSET(貼付け_2027実績,4,9,1,200),{"横浜*","川崎*","県域*","エネルギー管理指定工場等*"}))</f>
        <v>0</v>
      </c>
      <c r="P35" s="954">
        <f ca="1">SUM(SUMIFS(OFFSET(A1_集計2024,$A35,9,1,200),OFFSET(貼付け_2024実績,4,9,1,200),{"横浜*","川崎*"}))</f>
        <v>0</v>
      </c>
      <c r="Q35" s="954">
        <f ca="1">SUM(SUMIFS(OFFSET(A1_集計2025,$A35,9,1,200),OFFSET(貼付け_2025実績,4,9,1,200),{"横浜*","川崎*"}))</f>
        <v>0</v>
      </c>
      <c r="R35" s="954">
        <f ca="1">SUM(SUMIFS(OFFSET(A1_集計2026,$A35,9,1,200),OFFSET(貼付け_2026実績,4,9,1,200),{"横浜*","川崎*"}))</f>
        <v>0</v>
      </c>
      <c r="S35" s="954">
        <f ca="1">SUM(SUMIFS(OFFSET(A1_集計2027,$A35,9,1,200),OFFSET(貼付け_2027実績,4,9,1,200),{"横浜*","川崎*"}))</f>
        <v>0</v>
      </c>
      <c r="T35" s="954">
        <f ca="1">SUM(SUMIFS(OFFSET(A1_集計2024,$A35,9,1,200),OFFSET(貼付け_2024実績,4,9,1,200),{"県域*","エネルギー管理指定工場等*"}))</f>
        <v>0</v>
      </c>
      <c r="U35" s="954">
        <f ca="1">SUM(SUMIFS(OFFSET(A1_集計2025,$A35,9,1,200),OFFSET(貼付け_2025実績,4,9,1,200),{"県域*","エネルギー管理指定工場等*"}))</f>
        <v>0</v>
      </c>
      <c r="V35" s="954">
        <f ca="1">SUM(SUMIFS(OFFSET(A1_集計2026,$A35,9,1,200),OFFSET(貼付け_2026実績,4,9,1,200),{"県域*","エネルギー管理指定工場等*"}))</f>
        <v>0</v>
      </c>
      <c r="W35" s="954">
        <f ca="1">SUM(SUMIFS(OFFSET(A1_集計2027,$A35,9,1,200),OFFSET(貼付け_2027実績,4,9,1,200),{"県域*","エネルギー管理指定工場等*"}))</f>
        <v>0</v>
      </c>
      <c r="X35" s="954">
        <f ca="1">SUMIFS(OFFSET(A1_集計2024,$A35,9,1,200),OFFSET(貼付け_2024実績,4,9,1,200),"県域*")</f>
        <v>0</v>
      </c>
      <c r="Y35" s="954">
        <f ca="1">SUMIFS(OFFSET(A1_集計2025,$A35,9,1,200),OFFSET(貼付け_2025実績,4,9,1,200),"県域*")</f>
        <v>0</v>
      </c>
      <c r="Z35" s="954">
        <f ca="1">SUMIFS(OFFSET(A1_集計2026,$A35,9,1,200),OFFSET(貼付け_2026実績,4,9,1,200),"県域*")</f>
        <v>0</v>
      </c>
      <c r="AA35" s="954">
        <f ca="1">SUMIFS(OFFSET(A1_集計2027,$A35,9,1,200),OFFSET(貼付け_2027実績,4,9,1,200),"県域*")</f>
        <v>0</v>
      </c>
      <c r="AB35" s="954" t="str">
        <f ca="1">IFERROR(OFFSET(A1_集計2024,$A35,AB$1),"")</f>
        <v/>
      </c>
      <c r="AC35" s="954" t="str">
        <f ca="1">IFERROR(OFFSET(A1_集計2025,$A35,AC$1),"")</f>
        <v/>
      </c>
      <c r="AD35" s="954" t="str">
        <f ca="1">IFERROR(OFFSET(A1_集計2026,$A35,AD$1),"")</f>
        <v/>
      </c>
      <c r="AE35" s="954" t="str">
        <f ca="1">IFERROR(OFFSET(A1_集計2027,$A35,AE$1),"")</f>
        <v/>
      </c>
      <c r="AF35" s="954" t="str">
        <f ca="1">IFERROR(OFFSET(A1_集計2024,$A35,AF$1),"")</f>
        <v/>
      </c>
      <c r="AG35" s="954" t="str">
        <f ca="1">IFERROR(OFFSET(A1_集計2025,$A35,AG$1),"")</f>
        <v/>
      </c>
      <c r="AH35" s="954" t="str">
        <f ca="1">IFERROR(OFFSET(A1_集計2026,$A35,AH$1),"")</f>
        <v/>
      </c>
      <c r="AI35" s="954" t="str">
        <f ca="1">IFERROR(OFFSET(A1_集計2027,$A35,AI$1),"")</f>
        <v/>
      </c>
      <c r="AJ35" s="954" t="str">
        <f ca="1">IFERROR(OFFSET(A1_集計2024,$A35,AJ$1),"")</f>
        <v/>
      </c>
      <c r="AK35" s="954" t="str">
        <f ca="1">IFERROR(OFFSET(A1_集計2025,$A35,AK$1),"")</f>
        <v/>
      </c>
      <c r="AL35" s="954" t="str">
        <f ca="1">IFERROR(OFFSET(A1_集計2026,$A35,AL$1),"")</f>
        <v/>
      </c>
      <c r="AM35" s="954" t="str">
        <f ca="1">IFERROR(OFFSET(A1_集計2027,$A35,AM$1),"")</f>
        <v/>
      </c>
      <c r="AN35" s="954" t="str">
        <f ca="1">IFERROR(OFFSET(A1_集計2024,$A35,AN$1),"")</f>
        <v/>
      </c>
      <c r="AO35" s="954" t="str">
        <f ca="1">IFERROR(OFFSET(A1_集計2025,$A35,AO$1),"")</f>
        <v/>
      </c>
      <c r="AP35" s="954" t="str">
        <f ca="1">IFERROR(OFFSET(A1_集計2026,$A35,AP$1),"")</f>
        <v/>
      </c>
      <c r="AQ35" s="954" t="str">
        <f ca="1">IFERROR(OFFSET(A1_集計2027,$A35,AQ$1),"")</f>
        <v/>
      </c>
      <c r="AR35" s="954" t="str">
        <f ca="1">IFERROR(OFFSET(A1_集計2024,$A35,AR$1),"")</f>
        <v/>
      </c>
      <c r="AS35" s="954" t="str">
        <f ca="1">IFERROR(OFFSET(A1_集計2025,$A35,AS$1),"")</f>
        <v/>
      </c>
      <c r="AT35" s="954" t="str">
        <f ca="1">IFERROR(OFFSET(A1_集計2026,$A35,AT$1),"")</f>
        <v/>
      </c>
      <c r="AU35" s="954" t="str">
        <f ca="1">IFERROR(OFFSET(A1_集計2027,$A35,AU$1),"")</f>
        <v/>
      </c>
      <c r="AV35" s="954" t="str">
        <f ca="1">IFERROR(OFFSET(A1_集計2024,$A35,AV$1),"")</f>
        <v/>
      </c>
      <c r="AW35" s="954" t="str">
        <f ca="1">IFERROR(OFFSET(A1_集計2025,$A35,AW$1),"")</f>
        <v/>
      </c>
      <c r="AX35" s="954" t="str">
        <f ca="1">IFERROR(OFFSET(A1_集計2026,$A35,AX$1),"")</f>
        <v/>
      </c>
      <c r="AY35" s="954" t="str">
        <f ca="1">IFERROR(OFFSET(A1_集計2027,$A35,AY$1),"")</f>
        <v/>
      </c>
      <c r="AZ35" s="954" t="str">
        <f ca="1">IFERROR(OFFSET(A1_集計2024,$A35,AZ$1),"")</f>
        <v/>
      </c>
      <c r="BA35" s="954" t="str">
        <f ca="1">IFERROR(OFFSET(A1_集計2025,$A35,BA$1),"")</f>
        <v/>
      </c>
      <c r="BB35" s="954" t="str">
        <f ca="1">IFERROR(OFFSET(A1_集計2026,$A35,BB$1),"")</f>
        <v/>
      </c>
      <c r="BC35" s="954" t="str">
        <f ca="1">IFERROR(OFFSET(A1_集計2027,$A35,BC$1),"")</f>
        <v/>
      </c>
      <c r="BD35" s="954" t="str">
        <f ca="1">IFERROR(OFFSET(A1_集計2024,$A35,BD$1),"")</f>
        <v/>
      </c>
      <c r="BE35" s="954" t="str">
        <f ca="1">IFERROR(OFFSET(A1_集計2025,$A35,BE$1),"")</f>
        <v/>
      </c>
      <c r="BF35" s="954" t="str">
        <f ca="1">IFERROR(OFFSET(A1_集計2026,$A35,BF$1),"")</f>
        <v/>
      </c>
      <c r="BG35" s="954" t="str">
        <f ca="1">IFERROR(OFFSET(A1_集計2027,$A35,BG$1),"")</f>
        <v/>
      </c>
      <c r="BH35" s="954" t="str">
        <f ca="1">IFERROR(OFFSET(A1_集計2024,$A35,BH$1),"")</f>
        <v/>
      </c>
      <c r="BI35" s="954" t="str">
        <f ca="1">IFERROR(OFFSET(A1_集計2025,$A35,BI$1),"")</f>
        <v/>
      </c>
      <c r="BJ35" s="954" t="str">
        <f ca="1">IFERROR(OFFSET(A1_集計2026,$A35,BJ$1),"")</f>
        <v/>
      </c>
      <c r="BK35" s="954" t="str">
        <f ca="1">IFERROR(OFFSET(A1_集計2027,$A35,BK$1),"")</f>
        <v/>
      </c>
      <c r="BL35" s="954" t="str">
        <f ca="1">IFERROR(OFFSET(A1_集計2024,$A35,BL$1),"")</f>
        <v/>
      </c>
      <c r="BM35" s="954" t="str">
        <f ca="1">IFERROR(OFFSET(A1_集計2025,$A35,BM$1),"")</f>
        <v/>
      </c>
      <c r="BN35" s="954" t="str">
        <f ca="1">IFERROR(OFFSET(A1_集計2026,$A35,BN$1),"")</f>
        <v/>
      </c>
      <c r="BO35" s="954" t="str">
        <f ca="1">IFERROR(OFFSET(A1_集計2027,$A35,BO$1),"")</f>
        <v/>
      </c>
    </row>
    <row r="36" spans="1:67" ht="20.100000000000001" hidden="1" customHeight="1" outlineLevel="1">
      <c r="A36" s="952">
        <v>36</v>
      </c>
      <c r="B36" s="1870"/>
      <c r="C36" s="1872"/>
      <c r="D36" s="824" t="s">
        <v>4248</v>
      </c>
      <c r="E36" s="831" t="str">
        <f ca="1">参考2_エネ使用量経年!E37</f>
        <v/>
      </c>
      <c r="F36" s="825"/>
      <c r="G36" s="891" t="s">
        <v>4685</v>
      </c>
      <c r="H36" s="953">
        <f t="shared" ref="H36:H56" ca="1" si="4">IFERROR(OFFSET(貼付け_2024実績,$A36,6),"")</f>
        <v>0</v>
      </c>
      <c r="I36" s="953">
        <f t="shared" ref="I36:I56" ca="1" si="5">IFERROR(OFFSET(貼付け_2025実績,$A36,6),"")</f>
        <v>0</v>
      </c>
      <c r="J36" s="953">
        <f t="shared" ref="J36:J56" ca="1" si="6">IFERROR(OFFSET(貼付け_2026実績,$A36,6),"")</f>
        <v>0</v>
      </c>
      <c r="K36" s="953">
        <f t="shared" ref="K36:K56" ca="1" si="7">IFERROR(OFFSET(貼付け_2027実績,$A36,6),"")</f>
        <v>0</v>
      </c>
      <c r="L36" s="954">
        <f ca="1">IFERROR($H36*44/12*参考2_エネ使用量経年!L37*参考2_エネ使用量経年!$H37,"")</f>
        <v>0</v>
      </c>
      <c r="M36" s="954">
        <f ca="1">IFERROR($I36*44/12*参考2_エネ使用量経年!M37*参考2_エネ使用量経年!$I37,"")</f>
        <v>0</v>
      </c>
      <c r="N36" s="954">
        <f ca="1">IFERROR($J36*44/12*参考2_エネ使用量経年!N37*参考2_エネ使用量経年!$J37,"")</f>
        <v>0</v>
      </c>
      <c r="O36" s="954">
        <f ca="1">IFERROR($K36*44/12*参考2_エネ使用量経年!O37*参考2_エネ使用量経年!$K37,"")</f>
        <v>0</v>
      </c>
      <c r="P36" s="954">
        <f ca="1">IFERROR($H36*44/12*参考2_エネ使用量経年!P37*参考2_エネ使用量経年!$H37,"")</f>
        <v>0</v>
      </c>
      <c r="Q36" s="954">
        <f ca="1">IFERROR($I36*44/12*参考2_エネ使用量経年!Q37*参考2_エネ使用量経年!$I37,"")</f>
        <v>0</v>
      </c>
      <c r="R36" s="954">
        <f ca="1">IFERROR($J36*44/12*参考2_エネ使用量経年!R37*参考2_エネ使用量経年!$J37,"")</f>
        <v>0</v>
      </c>
      <c r="S36" s="954">
        <f ca="1">IFERROR($K36*44/12*参考2_エネ使用量経年!S37*参考2_エネ使用量経年!$K37,"")</f>
        <v>0</v>
      </c>
      <c r="T36" s="954">
        <f ca="1">IFERROR($H36*44/12*参考2_エネ使用量経年!T37*参考2_エネ使用量経年!$H37,"")</f>
        <v>0</v>
      </c>
      <c r="U36" s="954">
        <f ca="1">IFERROR($I36*44/12*参考2_エネ使用量経年!U37*参考2_エネ使用量経年!$I37,"")</f>
        <v>0</v>
      </c>
      <c r="V36" s="954">
        <f ca="1">IFERROR($J36*44/12*参考2_エネ使用量経年!V37*参考2_エネ使用量経年!$J37,"")</f>
        <v>0</v>
      </c>
      <c r="W36" s="954">
        <f ca="1">IFERROR($K36*44/12*参考2_エネ使用量経年!W37*参考2_エネ使用量経年!$K37,"")</f>
        <v>0</v>
      </c>
      <c r="X36" s="954">
        <f ca="1">IFERROR($H36*44/12*参考2_エネ使用量経年!X37*参考2_エネ使用量経年!$H37,"")</f>
        <v>0</v>
      </c>
      <c r="Y36" s="954">
        <f ca="1">IFERROR($I36*44/12*参考2_エネ使用量経年!Y37*参考2_エネ使用量経年!$I37,"")</f>
        <v>0</v>
      </c>
      <c r="Z36" s="954">
        <f ca="1">IFERROR($J36*44/12*参考2_エネ使用量経年!Z37*参考2_エネ使用量経年!$J37,"")</f>
        <v>0</v>
      </c>
      <c r="AA36" s="954">
        <f ca="1">IFERROR($K36*44/12*参考2_エネ使用量経年!AA37*参考2_エネ使用量経年!$K37,"")</f>
        <v>0</v>
      </c>
      <c r="AB36" s="954" t="str">
        <f ca="1">IFERROR($H36*44/12*参考2_エネ使用量経年!AB37*参考2_エネ使用量経年!$H37,"")</f>
        <v/>
      </c>
      <c r="AC36" s="954" t="str">
        <f ca="1">IFERROR($I36*44/12*参考2_エネ使用量経年!AC37*参考2_エネ使用量経年!$I37,"")</f>
        <v/>
      </c>
      <c r="AD36" s="954" t="str">
        <f ca="1">IFERROR($J36*44/12*参考2_エネ使用量経年!AD37*参考2_エネ使用量経年!$J37,"")</f>
        <v/>
      </c>
      <c r="AE36" s="954" t="str">
        <f ca="1">IFERROR($K36*44/12*参考2_エネ使用量経年!AE37*参考2_エネ使用量経年!$K37,"")</f>
        <v/>
      </c>
      <c r="AF36" s="954" t="str">
        <f ca="1">IFERROR($H36*44/12*参考2_エネ使用量経年!AF37*参考2_エネ使用量経年!$H37,"")</f>
        <v/>
      </c>
      <c r="AG36" s="954" t="str">
        <f ca="1">IFERROR($I36*44/12*参考2_エネ使用量経年!AG37*参考2_エネ使用量経年!$I37,"")</f>
        <v/>
      </c>
      <c r="AH36" s="954" t="str">
        <f ca="1">IFERROR($J36*44/12*参考2_エネ使用量経年!AH37*参考2_エネ使用量経年!$J37,"")</f>
        <v/>
      </c>
      <c r="AI36" s="954" t="str">
        <f ca="1">IFERROR($K36*44/12*参考2_エネ使用量経年!AI37*参考2_エネ使用量経年!$K37,"")</f>
        <v/>
      </c>
      <c r="AJ36" s="954" t="str">
        <f ca="1">IFERROR($H36*44/12*参考2_エネ使用量経年!AJ37*参考2_エネ使用量経年!$H37,"")</f>
        <v/>
      </c>
      <c r="AK36" s="954" t="str">
        <f ca="1">IFERROR($I36*44/12*参考2_エネ使用量経年!AK37*参考2_エネ使用量経年!$I37,"")</f>
        <v/>
      </c>
      <c r="AL36" s="954" t="str">
        <f ca="1">IFERROR($J36*44/12*参考2_エネ使用量経年!AL37*参考2_エネ使用量経年!$J37,"")</f>
        <v/>
      </c>
      <c r="AM36" s="954" t="str">
        <f ca="1">IFERROR($K36*44/12*参考2_エネ使用量経年!AM37*参考2_エネ使用量経年!$K37,"")</f>
        <v/>
      </c>
      <c r="AN36" s="954" t="str">
        <f ca="1">IFERROR($H36*44/12*参考2_エネ使用量経年!AN37*参考2_エネ使用量経年!$H37,"")</f>
        <v/>
      </c>
      <c r="AO36" s="954" t="str">
        <f ca="1">IFERROR($I36*44/12*参考2_エネ使用量経年!AO37*参考2_エネ使用量経年!$I37,"")</f>
        <v/>
      </c>
      <c r="AP36" s="954" t="str">
        <f ca="1">IFERROR($J36*44/12*参考2_エネ使用量経年!AP37*参考2_エネ使用量経年!$J37,"")</f>
        <v/>
      </c>
      <c r="AQ36" s="954" t="str">
        <f ca="1">IFERROR($K36*44/12*参考2_エネ使用量経年!AQ37*参考2_エネ使用量経年!$K37,"")</f>
        <v/>
      </c>
      <c r="AR36" s="954" t="str">
        <f ca="1">IFERROR($H36*44/12*参考2_エネ使用量経年!AR37*参考2_エネ使用量経年!$H37,"")</f>
        <v/>
      </c>
      <c r="AS36" s="954" t="str">
        <f ca="1">IFERROR($I36*44/12*参考2_エネ使用量経年!AS37*参考2_エネ使用量経年!$I37,"")</f>
        <v/>
      </c>
      <c r="AT36" s="954" t="str">
        <f ca="1">IFERROR($J36*44/12*参考2_エネ使用量経年!AT37*参考2_エネ使用量経年!$J37,"")</f>
        <v/>
      </c>
      <c r="AU36" s="954" t="str">
        <f ca="1">IFERROR($K36*44/12*参考2_エネ使用量経年!AU37*参考2_エネ使用量経年!$K37,"")</f>
        <v/>
      </c>
      <c r="AV36" s="954" t="str">
        <f ca="1">IFERROR($H36*44/12*参考2_エネ使用量経年!AV37*参考2_エネ使用量経年!$H37,"")</f>
        <v/>
      </c>
      <c r="AW36" s="954" t="str">
        <f ca="1">IFERROR($I36*44/12*参考2_エネ使用量経年!AW37*参考2_エネ使用量経年!$I37,"")</f>
        <v/>
      </c>
      <c r="AX36" s="954" t="str">
        <f ca="1">IFERROR($J36*44/12*参考2_エネ使用量経年!AX37*参考2_エネ使用量経年!$J37,"")</f>
        <v/>
      </c>
      <c r="AY36" s="954" t="str">
        <f ca="1">IFERROR($K36*44/12*参考2_エネ使用量経年!AY37*参考2_エネ使用量経年!$K37,"")</f>
        <v/>
      </c>
      <c r="AZ36" s="954" t="str">
        <f ca="1">IFERROR($H36*44/12*参考2_エネ使用量経年!AZ37*参考2_エネ使用量経年!$H37,"")</f>
        <v/>
      </c>
      <c r="BA36" s="954" t="str">
        <f ca="1">IFERROR($I36*44/12*参考2_エネ使用量経年!BA37*参考2_エネ使用量経年!$I37,"")</f>
        <v/>
      </c>
      <c r="BB36" s="954" t="str">
        <f ca="1">IFERROR($J36*44/12*参考2_エネ使用量経年!BB37*参考2_エネ使用量経年!$J37,"")</f>
        <v/>
      </c>
      <c r="BC36" s="954" t="str">
        <f ca="1">IFERROR($K36*44/12*参考2_エネ使用量経年!BC37*参考2_エネ使用量経年!$K37,"")</f>
        <v/>
      </c>
      <c r="BD36" s="954" t="str">
        <f ca="1">IFERROR($H36*44/12*参考2_エネ使用量経年!BD37*参考2_エネ使用量経年!$H37,"")</f>
        <v/>
      </c>
      <c r="BE36" s="954" t="str">
        <f ca="1">IFERROR($I36*44/12*参考2_エネ使用量経年!BE37*参考2_エネ使用量経年!$I37,"")</f>
        <v/>
      </c>
      <c r="BF36" s="954" t="str">
        <f ca="1">IFERROR($J36*44/12*参考2_エネ使用量経年!BF37*参考2_エネ使用量経年!$J37,"")</f>
        <v/>
      </c>
      <c r="BG36" s="954" t="str">
        <f ca="1">IFERROR($K36*44/12*参考2_エネ使用量経年!BG37*参考2_エネ使用量経年!$K37,"")</f>
        <v/>
      </c>
      <c r="BH36" s="954" t="str">
        <f ca="1">IFERROR($H36*44/12*参考2_エネ使用量経年!BH37*参考2_エネ使用量経年!$H37,"")</f>
        <v/>
      </c>
      <c r="BI36" s="954" t="str">
        <f ca="1">IFERROR($I36*44/12*参考2_エネ使用量経年!BI37*参考2_エネ使用量経年!$I37,"")</f>
        <v/>
      </c>
      <c r="BJ36" s="954" t="str">
        <f ca="1">IFERROR($J36*44/12*参考2_エネ使用量経年!BJ37*参考2_エネ使用量経年!$J37,"")</f>
        <v/>
      </c>
      <c r="BK36" s="954" t="str">
        <f ca="1">IFERROR($K36*44/12*参考2_エネ使用量経年!BK37*参考2_エネ使用量経年!$K37,"")</f>
        <v/>
      </c>
      <c r="BL36" s="954" t="str">
        <f ca="1">IFERROR($H36*44/12*参考2_エネ使用量経年!BL37*参考2_エネ使用量経年!$H37,"")</f>
        <v/>
      </c>
      <c r="BM36" s="954" t="str">
        <f ca="1">IFERROR($I36*44/12*参考2_エネ使用量経年!BM37*参考2_エネ使用量経年!$I37,"")</f>
        <v/>
      </c>
      <c r="BN36" s="954" t="str">
        <f ca="1">IFERROR($J36*44/12*参考2_エネ使用量経年!BN37*参考2_エネ使用量経年!$J37,"")</f>
        <v/>
      </c>
      <c r="BO36" s="954" t="str">
        <f ca="1">IFERROR($K36*44/12*参考2_エネ使用量経年!BO37*参考2_エネ使用量経年!$K37,"")</f>
        <v/>
      </c>
    </row>
    <row r="37" spans="1:67" ht="20.100000000000001" hidden="1" customHeight="1" outlineLevel="1">
      <c r="A37" s="952">
        <v>37</v>
      </c>
      <c r="B37" s="1870"/>
      <c r="C37" s="1872" t="s">
        <v>4406</v>
      </c>
      <c r="D37" s="832" t="s">
        <v>4407</v>
      </c>
      <c r="E37" s="824"/>
      <c r="F37" s="825"/>
      <c r="G37" s="891" t="s">
        <v>4685</v>
      </c>
      <c r="H37" s="953">
        <f t="shared" ca="1" si="4"/>
        <v>0</v>
      </c>
      <c r="I37" s="953">
        <f t="shared" ca="1" si="5"/>
        <v>0</v>
      </c>
      <c r="J37" s="953">
        <f t="shared" ca="1" si="6"/>
        <v>0</v>
      </c>
      <c r="K37" s="953">
        <f t="shared" ca="1" si="7"/>
        <v>0</v>
      </c>
      <c r="L37" s="954">
        <f ca="1">IFERROR($H37*44/12*参考2_エネ使用量経年!L38*参考2_エネ使用量経年!$H38,"")</f>
        <v>0</v>
      </c>
      <c r="M37" s="954">
        <f ca="1">IFERROR($I37*44/12*参考2_エネ使用量経年!M38*参考2_エネ使用量経年!$I38,"")</f>
        <v>0</v>
      </c>
      <c r="N37" s="954">
        <f ca="1">IFERROR($J37*44/12*参考2_エネ使用量経年!N38*参考2_エネ使用量経年!$J38,"")</f>
        <v>0</v>
      </c>
      <c r="O37" s="954">
        <f ca="1">IFERROR($K37*44/12*参考2_エネ使用量経年!O38*参考2_エネ使用量経年!$K38,"")</f>
        <v>0</v>
      </c>
      <c r="P37" s="954">
        <f ca="1">IFERROR($H37*44/12*参考2_エネ使用量経年!P38*参考2_エネ使用量経年!$H38,"")</f>
        <v>0</v>
      </c>
      <c r="Q37" s="954">
        <f ca="1">IFERROR($I37*44/12*参考2_エネ使用量経年!Q38*参考2_エネ使用量経年!$I38,"")</f>
        <v>0</v>
      </c>
      <c r="R37" s="954">
        <f ca="1">IFERROR($J37*44/12*参考2_エネ使用量経年!R38*参考2_エネ使用量経年!$J38,"")</f>
        <v>0</v>
      </c>
      <c r="S37" s="954">
        <f ca="1">IFERROR($K37*44/12*参考2_エネ使用量経年!S38*参考2_エネ使用量経年!$K38,"")</f>
        <v>0</v>
      </c>
      <c r="T37" s="954">
        <f ca="1">IFERROR($H37*44/12*参考2_エネ使用量経年!T38*参考2_エネ使用量経年!$H38,"")</f>
        <v>0</v>
      </c>
      <c r="U37" s="954">
        <f ca="1">IFERROR($I37*44/12*参考2_エネ使用量経年!U38*参考2_エネ使用量経年!$I38,"")</f>
        <v>0</v>
      </c>
      <c r="V37" s="954">
        <f ca="1">IFERROR($J37*44/12*参考2_エネ使用量経年!V38*参考2_エネ使用量経年!$J38,"")</f>
        <v>0</v>
      </c>
      <c r="W37" s="954">
        <f ca="1">IFERROR($K37*44/12*参考2_エネ使用量経年!W38*参考2_エネ使用量経年!$K38,"")</f>
        <v>0</v>
      </c>
      <c r="X37" s="954">
        <f ca="1">IFERROR($H37*44/12*参考2_エネ使用量経年!X38*参考2_エネ使用量経年!$H38,"")</f>
        <v>0</v>
      </c>
      <c r="Y37" s="954">
        <f ca="1">IFERROR($I37*44/12*参考2_エネ使用量経年!Y38*参考2_エネ使用量経年!$I38,"")</f>
        <v>0</v>
      </c>
      <c r="Z37" s="954">
        <f ca="1">IFERROR($J37*44/12*参考2_エネ使用量経年!Z38*参考2_エネ使用量経年!$J38,"")</f>
        <v>0</v>
      </c>
      <c r="AA37" s="954">
        <f ca="1">IFERROR($K37*44/12*参考2_エネ使用量経年!AA38*参考2_エネ使用量経年!$K38,"")</f>
        <v>0</v>
      </c>
      <c r="AB37" s="954" t="str">
        <f ca="1">IFERROR($H37*44/12*参考2_エネ使用量経年!AB38*参考2_エネ使用量経年!$H38,"")</f>
        <v/>
      </c>
      <c r="AC37" s="954" t="str">
        <f ca="1">IFERROR($I37*44/12*参考2_エネ使用量経年!AC38*参考2_エネ使用量経年!$I38,"")</f>
        <v/>
      </c>
      <c r="AD37" s="954" t="str">
        <f ca="1">IFERROR($J37*44/12*参考2_エネ使用量経年!AD38*参考2_エネ使用量経年!$J38,"")</f>
        <v/>
      </c>
      <c r="AE37" s="954" t="str">
        <f ca="1">IFERROR($K37*44/12*参考2_エネ使用量経年!AE38*参考2_エネ使用量経年!$K38,"")</f>
        <v/>
      </c>
      <c r="AF37" s="954" t="str">
        <f ca="1">IFERROR($H37*44/12*参考2_エネ使用量経年!AF38*参考2_エネ使用量経年!$H38,"")</f>
        <v/>
      </c>
      <c r="AG37" s="954" t="str">
        <f ca="1">IFERROR($I37*44/12*参考2_エネ使用量経年!AG38*参考2_エネ使用量経年!$I38,"")</f>
        <v/>
      </c>
      <c r="AH37" s="954" t="str">
        <f ca="1">IFERROR($J37*44/12*参考2_エネ使用量経年!AH38*参考2_エネ使用量経年!$J38,"")</f>
        <v/>
      </c>
      <c r="AI37" s="954" t="str">
        <f ca="1">IFERROR($K37*44/12*参考2_エネ使用量経年!AI38*参考2_エネ使用量経年!$K38,"")</f>
        <v/>
      </c>
      <c r="AJ37" s="954" t="str">
        <f ca="1">IFERROR($H37*44/12*参考2_エネ使用量経年!AJ38*参考2_エネ使用量経年!$H38,"")</f>
        <v/>
      </c>
      <c r="AK37" s="954" t="str">
        <f ca="1">IFERROR($I37*44/12*参考2_エネ使用量経年!AK38*参考2_エネ使用量経年!$I38,"")</f>
        <v/>
      </c>
      <c r="AL37" s="954" t="str">
        <f ca="1">IFERROR($J37*44/12*参考2_エネ使用量経年!AL38*参考2_エネ使用量経年!$J38,"")</f>
        <v/>
      </c>
      <c r="AM37" s="954" t="str">
        <f ca="1">IFERROR($K37*44/12*参考2_エネ使用量経年!AM38*参考2_エネ使用量経年!$K38,"")</f>
        <v/>
      </c>
      <c r="AN37" s="954" t="str">
        <f ca="1">IFERROR($H37*44/12*参考2_エネ使用量経年!AN38*参考2_エネ使用量経年!$H38,"")</f>
        <v/>
      </c>
      <c r="AO37" s="954" t="str">
        <f ca="1">IFERROR($I37*44/12*参考2_エネ使用量経年!AO38*参考2_エネ使用量経年!$I38,"")</f>
        <v/>
      </c>
      <c r="AP37" s="954" t="str">
        <f ca="1">IFERROR($J37*44/12*参考2_エネ使用量経年!AP38*参考2_エネ使用量経年!$J38,"")</f>
        <v/>
      </c>
      <c r="AQ37" s="954" t="str">
        <f ca="1">IFERROR($K37*44/12*参考2_エネ使用量経年!AQ38*参考2_エネ使用量経年!$K38,"")</f>
        <v/>
      </c>
      <c r="AR37" s="954" t="str">
        <f ca="1">IFERROR($H37*44/12*参考2_エネ使用量経年!AR38*参考2_エネ使用量経年!$H38,"")</f>
        <v/>
      </c>
      <c r="AS37" s="954" t="str">
        <f ca="1">IFERROR($I37*44/12*参考2_エネ使用量経年!AS38*参考2_エネ使用量経年!$I38,"")</f>
        <v/>
      </c>
      <c r="AT37" s="954" t="str">
        <f ca="1">IFERROR($J37*44/12*参考2_エネ使用量経年!AT38*参考2_エネ使用量経年!$J38,"")</f>
        <v/>
      </c>
      <c r="AU37" s="954" t="str">
        <f ca="1">IFERROR($K37*44/12*参考2_エネ使用量経年!AU38*参考2_エネ使用量経年!$K38,"")</f>
        <v/>
      </c>
      <c r="AV37" s="954" t="str">
        <f ca="1">IFERROR($H37*44/12*参考2_エネ使用量経年!AV38*参考2_エネ使用量経年!$H38,"")</f>
        <v/>
      </c>
      <c r="AW37" s="954" t="str">
        <f ca="1">IFERROR($I37*44/12*参考2_エネ使用量経年!AW38*参考2_エネ使用量経年!$I38,"")</f>
        <v/>
      </c>
      <c r="AX37" s="954" t="str">
        <f ca="1">IFERROR($J37*44/12*参考2_エネ使用量経年!AX38*参考2_エネ使用量経年!$J38,"")</f>
        <v/>
      </c>
      <c r="AY37" s="954" t="str">
        <f ca="1">IFERROR($K37*44/12*参考2_エネ使用量経年!AY38*参考2_エネ使用量経年!$K38,"")</f>
        <v/>
      </c>
      <c r="AZ37" s="954" t="str">
        <f ca="1">IFERROR($H37*44/12*参考2_エネ使用量経年!AZ38*参考2_エネ使用量経年!$H38,"")</f>
        <v/>
      </c>
      <c r="BA37" s="954" t="str">
        <f ca="1">IFERROR($I37*44/12*参考2_エネ使用量経年!BA38*参考2_エネ使用量経年!$I38,"")</f>
        <v/>
      </c>
      <c r="BB37" s="954" t="str">
        <f ca="1">IFERROR($J37*44/12*参考2_エネ使用量経年!BB38*参考2_エネ使用量経年!$J38,"")</f>
        <v/>
      </c>
      <c r="BC37" s="954" t="str">
        <f ca="1">IFERROR($K37*44/12*参考2_エネ使用量経年!BC38*参考2_エネ使用量経年!$K38,"")</f>
        <v/>
      </c>
      <c r="BD37" s="954" t="str">
        <f ca="1">IFERROR($H37*44/12*参考2_エネ使用量経年!BD38*参考2_エネ使用量経年!$H38,"")</f>
        <v/>
      </c>
      <c r="BE37" s="954" t="str">
        <f ca="1">IFERROR($I37*44/12*参考2_エネ使用量経年!BE38*参考2_エネ使用量経年!$I38,"")</f>
        <v/>
      </c>
      <c r="BF37" s="954" t="str">
        <f ca="1">IFERROR($J37*44/12*参考2_エネ使用量経年!BF38*参考2_エネ使用量経年!$J38,"")</f>
        <v/>
      </c>
      <c r="BG37" s="954" t="str">
        <f ca="1">IFERROR($K37*44/12*参考2_エネ使用量経年!BG38*参考2_エネ使用量経年!$K38,"")</f>
        <v/>
      </c>
      <c r="BH37" s="954" t="str">
        <f ca="1">IFERROR($H37*44/12*参考2_エネ使用量経年!BH38*参考2_エネ使用量経年!$H38,"")</f>
        <v/>
      </c>
      <c r="BI37" s="954" t="str">
        <f ca="1">IFERROR($I37*44/12*参考2_エネ使用量経年!BI38*参考2_エネ使用量経年!$I38,"")</f>
        <v/>
      </c>
      <c r="BJ37" s="954" t="str">
        <f ca="1">IFERROR($J37*44/12*参考2_エネ使用量経年!BJ38*参考2_エネ使用量経年!$J38,"")</f>
        <v/>
      </c>
      <c r="BK37" s="954" t="str">
        <f ca="1">IFERROR($K37*44/12*参考2_エネ使用量経年!BK38*参考2_エネ使用量経年!$K38,"")</f>
        <v/>
      </c>
      <c r="BL37" s="954" t="str">
        <f ca="1">IFERROR($H37*44/12*参考2_エネ使用量経年!BL38*参考2_エネ使用量経年!$H38,"")</f>
        <v/>
      </c>
      <c r="BM37" s="954" t="str">
        <f ca="1">IFERROR($I37*44/12*参考2_エネ使用量経年!BM38*参考2_エネ使用量経年!$I38,"")</f>
        <v/>
      </c>
      <c r="BN37" s="954" t="str">
        <f ca="1">IFERROR($J37*44/12*参考2_エネ使用量経年!BN38*参考2_エネ使用量経年!$J38,"")</f>
        <v/>
      </c>
      <c r="BO37" s="954" t="str">
        <f ca="1">IFERROR($K37*44/12*参考2_エネ使用量経年!BO38*参考2_エネ使用量経年!$K38,"")</f>
        <v/>
      </c>
    </row>
    <row r="38" spans="1:67" ht="20.100000000000001" hidden="1" customHeight="1" outlineLevel="1">
      <c r="A38" s="952">
        <v>38</v>
      </c>
      <c r="B38" s="1870"/>
      <c r="C38" s="1872"/>
      <c r="D38" s="832" t="s">
        <v>4408</v>
      </c>
      <c r="E38" s="824"/>
      <c r="F38" s="825"/>
      <c r="G38" s="891" t="s">
        <v>4685</v>
      </c>
      <c r="H38" s="953">
        <f t="shared" ca="1" si="4"/>
        <v>0</v>
      </c>
      <c r="I38" s="953">
        <f t="shared" ca="1" si="5"/>
        <v>0</v>
      </c>
      <c r="J38" s="953">
        <f t="shared" ca="1" si="6"/>
        <v>0</v>
      </c>
      <c r="K38" s="953">
        <f t="shared" ca="1" si="7"/>
        <v>0</v>
      </c>
      <c r="L38" s="954">
        <f ca="1">IFERROR($H38*44/12*参考2_エネ使用量経年!L39*参考2_エネ使用量経年!$H39,"")</f>
        <v>0</v>
      </c>
      <c r="M38" s="954">
        <f ca="1">IFERROR($I38*44/12*参考2_エネ使用量経年!M39*参考2_エネ使用量経年!$I39,"")</f>
        <v>0</v>
      </c>
      <c r="N38" s="954">
        <f ca="1">IFERROR($J38*44/12*参考2_エネ使用量経年!N39*参考2_エネ使用量経年!$J39,"")</f>
        <v>0</v>
      </c>
      <c r="O38" s="954">
        <f ca="1">IFERROR($K38*44/12*参考2_エネ使用量経年!O39*参考2_エネ使用量経年!$K39,"")</f>
        <v>0</v>
      </c>
      <c r="P38" s="954">
        <f ca="1">IFERROR($H38*44/12*参考2_エネ使用量経年!P39*参考2_エネ使用量経年!$H39,"")</f>
        <v>0</v>
      </c>
      <c r="Q38" s="954">
        <f ca="1">IFERROR($I38*44/12*参考2_エネ使用量経年!Q39*参考2_エネ使用量経年!$I39,"")</f>
        <v>0</v>
      </c>
      <c r="R38" s="954">
        <f ca="1">IFERROR($J38*44/12*参考2_エネ使用量経年!R39*参考2_エネ使用量経年!$J39,"")</f>
        <v>0</v>
      </c>
      <c r="S38" s="954">
        <f ca="1">IFERROR($K38*44/12*参考2_エネ使用量経年!S39*参考2_エネ使用量経年!$K39,"")</f>
        <v>0</v>
      </c>
      <c r="T38" s="954">
        <f ca="1">IFERROR($H38*44/12*参考2_エネ使用量経年!T39*参考2_エネ使用量経年!$H39,"")</f>
        <v>0</v>
      </c>
      <c r="U38" s="954">
        <f ca="1">IFERROR($I38*44/12*参考2_エネ使用量経年!U39*参考2_エネ使用量経年!$I39,"")</f>
        <v>0</v>
      </c>
      <c r="V38" s="954">
        <f ca="1">IFERROR($J38*44/12*参考2_エネ使用量経年!V39*参考2_エネ使用量経年!$J39,"")</f>
        <v>0</v>
      </c>
      <c r="W38" s="954">
        <f ca="1">IFERROR($K38*44/12*参考2_エネ使用量経年!W39*参考2_エネ使用量経年!$K39,"")</f>
        <v>0</v>
      </c>
      <c r="X38" s="954">
        <f ca="1">IFERROR($H38*44/12*参考2_エネ使用量経年!X39*参考2_エネ使用量経年!$H39,"")</f>
        <v>0</v>
      </c>
      <c r="Y38" s="954">
        <f ca="1">IFERROR($I38*44/12*参考2_エネ使用量経年!Y39*参考2_エネ使用量経年!$I39,"")</f>
        <v>0</v>
      </c>
      <c r="Z38" s="954">
        <f ca="1">IFERROR($J38*44/12*参考2_エネ使用量経年!Z39*参考2_エネ使用量経年!$J39,"")</f>
        <v>0</v>
      </c>
      <c r="AA38" s="954">
        <f ca="1">IFERROR($K38*44/12*参考2_エネ使用量経年!AA39*参考2_エネ使用量経年!$K39,"")</f>
        <v>0</v>
      </c>
      <c r="AB38" s="954" t="str">
        <f ca="1">IFERROR($H38*44/12*参考2_エネ使用量経年!AB39*参考2_エネ使用量経年!$H39,"")</f>
        <v/>
      </c>
      <c r="AC38" s="954" t="str">
        <f ca="1">IFERROR($I38*44/12*参考2_エネ使用量経年!AC39*参考2_エネ使用量経年!$I39,"")</f>
        <v/>
      </c>
      <c r="AD38" s="954" t="str">
        <f ca="1">IFERROR($J38*44/12*参考2_エネ使用量経年!AD39*参考2_エネ使用量経年!$J39,"")</f>
        <v/>
      </c>
      <c r="AE38" s="954" t="str">
        <f ca="1">IFERROR($K38*44/12*参考2_エネ使用量経年!AE39*参考2_エネ使用量経年!$K39,"")</f>
        <v/>
      </c>
      <c r="AF38" s="954" t="str">
        <f ca="1">IFERROR($H38*44/12*参考2_エネ使用量経年!AF39*参考2_エネ使用量経年!$H39,"")</f>
        <v/>
      </c>
      <c r="AG38" s="954" t="str">
        <f ca="1">IFERROR($I38*44/12*参考2_エネ使用量経年!AG39*参考2_エネ使用量経年!$I39,"")</f>
        <v/>
      </c>
      <c r="AH38" s="954" t="str">
        <f ca="1">IFERROR($J38*44/12*参考2_エネ使用量経年!AH39*参考2_エネ使用量経年!$J39,"")</f>
        <v/>
      </c>
      <c r="AI38" s="954" t="str">
        <f ca="1">IFERROR($K38*44/12*参考2_エネ使用量経年!AI39*参考2_エネ使用量経年!$K39,"")</f>
        <v/>
      </c>
      <c r="AJ38" s="954" t="str">
        <f ca="1">IFERROR($H38*44/12*参考2_エネ使用量経年!AJ39*参考2_エネ使用量経年!$H39,"")</f>
        <v/>
      </c>
      <c r="AK38" s="954" t="str">
        <f ca="1">IFERROR($I38*44/12*参考2_エネ使用量経年!AK39*参考2_エネ使用量経年!$I39,"")</f>
        <v/>
      </c>
      <c r="AL38" s="954" t="str">
        <f ca="1">IFERROR($J38*44/12*参考2_エネ使用量経年!AL39*参考2_エネ使用量経年!$J39,"")</f>
        <v/>
      </c>
      <c r="AM38" s="954" t="str">
        <f ca="1">IFERROR($K38*44/12*参考2_エネ使用量経年!AM39*参考2_エネ使用量経年!$K39,"")</f>
        <v/>
      </c>
      <c r="AN38" s="954" t="str">
        <f ca="1">IFERROR($H38*44/12*参考2_エネ使用量経年!AN39*参考2_エネ使用量経年!$H39,"")</f>
        <v/>
      </c>
      <c r="AO38" s="954" t="str">
        <f ca="1">IFERROR($I38*44/12*参考2_エネ使用量経年!AO39*参考2_エネ使用量経年!$I39,"")</f>
        <v/>
      </c>
      <c r="AP38" s="954" t="str">
        <f ca="1">IFERROR($J38*44/12*参考2_エネ使用量経年!AP39*参考2_エネ使用量経年!$J39,"")</f>
        <v/>
      </c>
      <c r="AQ38" s="954" t="str">
        <f ca="1">IFERROR($K38*44/12*参考2_エネ使用量経年!AQ39*参考2_エネ使用量経年!$K39,"")</f>
        <v/>
      </c>
      <c r="AR38" s="954" t="str">
        <f ca="1">IFERROR($H38*44/12*参考2_エネ使用量経年!AR39*参考2_エネ使用量経年!$H39,"")</f>
        <v/>
      </c>
      <c r="AS38" s="954" t="str">
        <f ca="1">IFERROR($I38*44/12*参考2_エネ使用量経年!AS39*参考2_エネ使用量経年!$I39,"")</f>
        <v/>
      </c>
      <c r="AT38" s="954" t="str">
        <f ca="1">IFERROR($J38*44/12*参考2_エネ使用量経年!AT39*参考2_エネ使用量経年!$J39,"")</f>
        <v/>
      </c>
      <c r="AU38" s="954" t="str">
        <f ca="1">IFERROR($K38*44/12*参考2_エネ使用量経年!AU39*参考2_エネ使用量経年!$K39,"")</f>
        <v/>
      </c>
      <c r="AV38" s="954" t="str">
        <f ca="1">IFERROR($H38*44/12*参考2_エネ使用量経年!AV39*参考2_エネ使用量経年!$H39,"")</f>
        <v/>
      </c>
      <c r="AW38" s="954" t="str">
        <f ca="1">IFERROR($I38*44/12*参考2_エネ使用量経年!AW39*参考2_エネ使用量経年!$I39,"")</f>
        <v/>
      </c>
      <c r="AX38" s="954" t="str">
        <f ca="1">IFERROR($J38*44/12*参考2_エネ使用量経年!AX39*参考2_エネ使用量経年!$J39,"")</f>
        <v/>
      </c>
      <c r="AY38" s="954" t="str">
        <f ca="1">IFERROR($K38*44/12*参考2_エネ使用量経年!AY39*参考2_エネ使用量経年!$K39,"")</f>
        <v/>
      </c>
      <c r="AZ38" s="954" t="str">
        <f ca="1">IFERROR($H38*44/12*参考2_エネ使用量経年!AZ39*参考2_エネ使用量経年!$H39,"")</f>
        <v/>
      </c>
      <c r="BA38" s="954" t="str">
        <f ca="1">IFERROR($I38*44/12*参考2_エネ使用量経年!BA39*参考2_エネ使用量経年!$I39,"")</f>
        <v/>
      </c>
      <c r="BB38" s="954" t="str">
        <f ca="1">IFERROR($J38*44/12*参考2_エネ使用量経年!BB39*参考2_エネ使用量経年!$J39,"")</f>
        <v/>
      </c>
      <c r="BC38" s="954" t="str">
        <f ca="1">IFERROR($K38*44/12*参考2_エネ使用量経年!BC39*参考2_エネ使用量経年!$K39,"")</f>
        <v/>
      </c>
      <c r="BD38" s="954" t="str">
        <f ca="1">IFERROR($H38*44/12*参考2_エネ使用量経年!BD39*参考2_エネ使用量経年!$H39,"")</f>
        <v/>
      </c>
      <c r="BE38" s="954" t="str">
        <f ca="1">IFERROR($I38*44/12*参考2_エネ使用量経年!BE39*参考2_エネ使用量経年!$I39,"")</f>
        <v/>
      </c>
      <c r="BF38" s="954" t="str">
        <f ca="1">IFERROR($J38*44/12*参考2_エネ使用量経年!BF39*参考2_エネ使用量経年!$J39,"")</f>
        <v/>
      </c>
      <c r="BG38" s="954" t="str">
        <f ca="1">IFERROR($K38*44/12*参考2_エネ使用量経年!BG39*参考2_エネ使用量経年!$K39,"")</f>
        <v/>
      </c>
      <c r="BH38" s="954" t="str">
        <f ca="1">IFERROR($H38*44/12*参考2_エネ使用量経年!BH39*参考2_エネ使用量経年!$H39,"")</f>
        <v/>
      </c>
      <c r="BI38" s="954" t="str">
        <f ca="1">IFERROR($I38*44/12*参考2_エネ使用量経年!BI39*参考2_エネ使用量経年!$I39,"")</f>
        <v/>
      </c>
      <c r="BJ38" s="954" t="str">
        <f ca="1">IFERROR($J38*44/12*参考2_エネ使用量経年!BJ39*参考2_エネ使用量経年!$J39,"")</f>
        <v/>
      </c>
      <c r="BK38" s="954" t="str">
        <f ca="1">IFERROR($K38*44/12*参考2_エネ使用量経年!BK39*参考2_エネ使用量経年!$K39,"")</f>
        <v/>
      </c>
      <c r="BL38" s="954" t="str">
        <f ca="1">IFERROR($H38*44/12*参考2_エネ使用量経年!BL39*参考2_エネ使用量経年!$H39,"")</f>
        <v/>
      </c>
      <c r="BM38" s="954" t="str">
        <f ca="1">IFERROR($I38*44/12*参考2_エネ使用量経年!BM39*参考2_エネ使用量経年!$I39,"")</f>
        <v/>
      </c>
      <c r="BN38" s="954" t="str">
        <f ca="1">IFERROR($J38*44/12*参考2_エネ使用量経年!BN39*参考2_エネ使用量経年!$J39,"")</f>
        <v/>
      </c>
      <c r="BO38" s="954" t="str">
        <f ca="1">IFERROR($K38*44/12*参考2_エネ使用量経年!BO39*参考2_エネ使用量経年!$K39,"")</f>
        <v/>
      </c>
    </row>
    <row r="39" spans="1:67" ht="20.100000000000001" hidden="1" customHeight="1" outlineLevel="1">
      <c r="A39" s="952">
        <v>39</v>
      </c>
      <c r="B39" s="1870"/>
      <c r="C39" s="1872"/>
      <c r="D39" s="832" t="s">
        <v>4409</v>
      </c>
      <c r="E39" s="818"/>
      <c r="F39" s="825"/>
      <c r="G39" s="891" t="s">
        <v>4685</v>
      </c>
      <c r="H39" s="953">
        <f t="shared" ca="1" si="4"/>
        <v>0</v>
      </c>
      <c r="I39" s="953">
        <f t="shared" ca="1" si="5"/>
        <v>0</v>
      </c>
      <c r="J39" s="953">
        <f t="shared" ca="1" si="6"/>
        <v>0</v>
      </c>
      <c r="K39" s="953">
        <f t="shared" ca="1" si="7"/>
        <v>0</v>
      </c>
      <c r="L39" s="954">
        <f ca="1">IFERROR($H39*44/12*参考2_エネ使用量経年!L40*参考2_エネ使用量経年!$H40,"")</f>
        <v>0</v>
      </c>
      <c r="M39" s="954">
        <f ca="1">IFERROR($I39*44/12*参考2_エネ使用量経年!M40*参考2_エネ使用量経年!$I40,"")</f>
        <v>0</v>
      </c>
      <c r="N39" s="954">
        <f ca="1">IFERROR($J39*44/12*参考2_エネ使用量経年!N40*参考2_エネ使用量経年!$J40,"")</f>
        <v>0</v>
      </c>
      <c r="O39" s="954">
        <f ca="1">IFERROR($K39*44/12*参考2_エネ使用量経年!O40*参考2_エネ使用量経年!$K40,"")</f>
        <v>0</v>
      </c>
      <c r="P39" s="954">
        <f ca="1">IFERROR($H39*44/12*参考2_エネ使用量経年!P40*参考2_エネ使用量経年!$H40,"")</f>
        <v>0</v>
      </c>
      <c r="Q39" s="954">
        <f ca="1">IFERROR($I39*44/12*参考2_エネ使用量経年!Q40*参考2_エネ使用量経年!$I40,"")</f>
        <v>0</v>
      </c>
      <c r="R39" s="954">
        <f ca="1">IFERROR($J39*44/12*参考2_エネ使用量経年!R40*参考2_エネ使用量経年!$J40,"")</f>
        <v>0</v>
      </c>
      <c r="S39" s="954">
        <f ca="1">IFERROR($K39*44/12*参考2_エネ使用量経年!S40*参考2_エネ使用量経年!$K40,"")</f>
        <v>0</v>
      </c>
      <c r="T39" s="954">
        <f ca="1">IFERROR($H39*44/12*参考2_エネ使用量経年!T40*参考2_エネ使用量経年!$H40,"")</f>
        <v>0</v>
      </c>
      <c r="U39" s="954">
        <f ca="1">IFERROR($I39*44/12*参考2_エネ使用量経年!U40*参考2_エネ使用量経年!$I40,"")</f>
        <v>0</v>
      </c>
      <c r="V39" s="954">
        <f ca="1">IFERROR($J39*44/12*参考2_エネ使用量経年!V40*参考2_エネ使用量経年!$J40,"")</f>
        <v>0</v>
      </c>
      <c r="W39" s="954">
        <f ca="1">IFERROR($K39*44/12*参考2_エネ使用量経年!W40*参考2_エネ使用量経年!$K40,"")</f>
        <v>0</v>
      </c>
      <c r="X39" s="954">
        <f ca="1">IFERROR($H39*44/12*参考2_エネ使用量経年!X40*参考2_エネ使用量経年!$H40,"")</f>
        <v>0</v>
      </c>
      <c r="Y39" s="954">
        <f ca="1">IFERROR($I39*44/12*参考2_エネ使用量経年!Y40*参考2_エネ使用量経年!$I40,"")</f>
        <v>0</v>
      </c>
      <c r="Z39" s="954">
        <f ca="1">IFERROR($J39*44/12*参考2_エネ使用量経年!Z40*参考2_エネ使用量経年!$J40,"")</f>
        <v>0</v>
      </c>
      <c r="AA39" s="954">
        <f ca="1">IFERROR($K39*44/12*参考2_エネ使用量経年!AA40*参考2_エネ使用量経年!$K40,"")</f>
        <v>0</v>
      </c>
      <c r="AB39" s="954" t="str">
        <f ca="1">IFERROR($H39*44/12*参考2_エネ使用量経年!AB40*参考2_エネ使用量経年!$H40,"")</f>
        <v/>
      </c>
      <c r="AC39" s="954" t="str">
        <f ca="1">IFERROR($I39*44/12*参考2_エネ使用量経年!AC40*参考2_エネ使用量経年!$I40,"")</f>
        <v/>
      </c>
      <c r="AD39" s="954" t="str">
        <f ca="1">IFERROR($J39*44/12*参考2_エネ使用量経年!AD40*参考2_エネ使用量経年!$J40,"")</f>
        <v/>
      </c>
      <c r="AE39" s="954" t="str">
        <f ca="1">IFERROR($K39*44/12*参考2_エネ使用量経年!AE40*参考2_エネ使用量経年!$K40,"")</f>
        <v/>
      </c>
      <c r="AF39" s="954" t="str">
        <f ca="1">IFERROR($H39*44/12*参考2_エネ使用量経年!AF40*参考2_エネ使用量経年!$H40,"")</f>
        <v/>
      </c>
      <c r="AG39" s="954" t="str">
        <f ca="1">IFERROR($I39*44/12*参考2_エネ使用量経年!AG40*参考2_エネ使用量経年!$I40,"")</f>
        <v/>
      </c>
      <c r="AH39" s="954" t="str">
        <f ca="1">IFERROR($J39*44/12*参考2_エネ使用量経年!AH40*参考2_エネ使用量経年!$J40,"")</f>
        <v/>
      </c>
      <c r="AI39" s="954" t="str">
        <f ca="1">IFERROR($K39*44/12*参考2_エネ使用量経年!AI40*参考2_エネ使用量経年!$K40,"")</f>
        <v/>
      </c>
      <c r="AJ39" s="954" t="str">
        <f ca="1">IFERROR($H39*44/12*参考2_エネ使用量経年!AJ40*参考2_エネ使用量経年!$H40,"")</f>
        <v/>
      </c>
      <c r="AK39" s="954" t="str">
        <f ca="1">IFERROR($I39*44/12*参考2_エネ使用量経年!AK40*参考2_エネ使用量経年!$I40,"")</f>
        <v/>
      </c>
      <c r="AL39" s="954" t="str">
        <f ca="1">IFERROR($J39*44/12*参考2_エネ使用量経年!AL40*参考2_エネ使用量経年!$J40,"")</f>
        <v/>
      </c>
      <c r="AM39" s="954" t="str">
        <f ca="1">IFERROR($K39*44/12*参考2_エネ使用量経年!AM40*参考2_エネ使用量経年!$K40,"")</f>
        <v/>
      </c>
      <c r="AN39" s="954" t="str">
        <f ca="1">IFERROR($H39*44/12*参考2_エネ使用量経年!AN40*参考2_エネ使用量経年!$H40,"")</f>
        <v/>
      </c>
      <c r="AO39" s="954" t="str">
        <f ca="1">IFERROR($I39*44/12*参考2_エネ使用量経年!AO40*参考2_エネ使用量経年!$I40,"")</f>
        <v/>
      </c>
      <c r="AP39" s="954" t="str">
        <f ca="1">IFERROR($J39*44/12*参考2_エネ使用量経年!AP40*参考2_エネ使用量経年!$J40,"")</f>
        <v/>
      </c>
      <c r="AQ39" s="954" t="str">
        <f ca="1">IFERROR($K39*44/12*参考2_エネ使用量経年!AQ40*参考2_エネ使用量経年!$K40,"")</f>
        <v/>
      </c>
      <c r="AR39" s="954" t="str">
        <f ca="1">IFERROR($H39*44/12*参考2_エネ使用量経年!AR40*参考2_エネ使用量経年!$H40,"")</f>
        <v/>
      </c>
      <c r="AS39" s="954" t="str">
        <f ca="1">IFERROR($I39*44/12*参考2_エネ使用量経年!AS40*参考2_エネ使用量経年!$I40,"")</f>
        <v/>
      </c>
      <c r="AT39" s="954" t="str">
        <f ca="1">IFERROR($J39*44/12*参考2_エネ使用量経年!AT40*参考2_エネ使用量経年!$J40,"")</f>
        <v/>
      </c>
      <c r="AU39" s="954" t="str">
        <f ca="1">IFERROR($K39*44/12*参考2_エネ使用量経年!AU40*参考2_エネ使用量経年!$K40,"")</f>
        <v/>
      </c>
      <c r="AV39" s="954" t="str">
        <f ca="1">IFERROR($H39*44/12*参考2_エネ使用量経年!AV40*参考2_エネ使用量経年!$H40,"")</f>
        <v/>
      </c>
      <c r="AW39" s="954" t="str">
        <f ca="1">IFERROR($I39*44/12*参考2_エネ使用量経年!AW40*参考2_エネ使用量経年!$I40,"")</f>
        <v/>
      </c>
      <c r="AX39" s="954" t="str">
        <f ca="1">IFERROR($J39*44/12*参考2_エネ使用量経年!AX40*参考2_エネ使用量経年!$J40,"")</f>
        <v/>
      </c>
      <c r="AY39" s="954" t="str">
        <f ca="1">IFERROR($K39*44/12*参考2_エネ使用量経年!AY40*参考2_エネ使用量経年!$K40,"")</f>
        <v/>
      </c>
      <c r="AZ39" s="954" t="str">
        <f ca="1">IFERROR($H39*44/12*参考2_エネ使用量経年!AZ40*参考2_エネ使用量経年!$H40,"")</f>
        <v/>
      </c>
      <c r="BA39" s="954" t="str">
        <f ca="1">IFERROR($I39*44/12*参考2_エネ使用量経年!BA40*参考2_エネ使用量経年!$I40,"")</f>
        <v/>
      </c>
      <c r="BB39" s="954" t="str">
        <f ca="1">IFERROR($J39*44/12*参考2_エネ使用量経年!BB40*参考2_エネ使用量経年!$J40,"")</f>
        <v/>
      </c>
      <c r="BC39" s="954" t="str">
        <f ca="1">IFERROR($K39*44/12*参考2_エネ使用量経年!BC40*参考2_エネ使用量経年!$K40,"")</f>
        <v/>
      </c>
      <c r="BD39" s="954" t="str">
        <f ca="1">IFERROR($H39*44/12*参考2_エネ使用量経年!BD40*参考2_エネ使用量経年!$H40,"")</f>
        <v/>
      </c>
      <c r="BE39" s="954" t="str">
        <f ca="1">IFERROR($I39*44/12*参考2_エネ使用量経年!BE40*参考2_エネ使用量経年!$I40,"")</f>
        <v/>
      </c>
      <c r="BF39" s="954" t="str">
        <f ca="1">IFERROR($J39*44/12*参考2_エネ使用量経年!BF40*参考2_エネ使用量経年!$J40,"")</f>
        <v/>
      </c>
      <c r="BG39" s="954" t="str">
        <f ca="1">IFERROR($K39*44/12*参考2_エネ使用量経年!BG40*参考2_エネ使用量経年!$K40,"")</f>
        <v/>
      </c>
      <c r="BH39" s="954" t="str">
        <f ca="1">IFERROR($H39*44/12*参考2_エネ使用量経年!BH40*参考2_エネ使用量経年!$H40,"")</f>
        <v/>
      </c>
      <c r="BI39" s="954" t="str">
        <f ca="1">IFERROR($I39*44/12*参考2_エネ使用量経年!BI40*参考2_エネ使用量経年!$I40,"")</f>
        <v/>
      </c>
      <c r="BJ39" s="954" t="str">
        <f ca="1">IFERROR($J39*44/12*参考2_エネ使用量経年!BJ40*参考2_エネ使用量経年!$J40,"")</f>
        <v/>
      </c>
      <c r="BK39" s="954" t="str">
        <f ca="1">IFERROR($K39*44/12*参考2_エネ使用量経年!BK40*参考2_エネ使用量経年!$K40,"")</f>
        <v/>
      </c>
      <c r="BL39" s="954" t="str">
        <f ca="1">IFERROR($H39*44/12*参考2_エネ使用量経年!BL40*参考2_エネ使用量経年!$H40,"")</f>
        <v/>
      </c>
      <c r="BM39" s="954" t="str">
        <f ca="1">IFERROR($I39*44/12*参考2_エネ使用量経年!BM40*参考2_エネ使用量経年!$I40,"")</f>
        <v/>
      </c>
      <c r="BN39" s="954" t="str">
        <f ca="1">IFERROR($J39*44/12*参考2_エネ使用量経年!BN40*参考2_エネ使用量経年!$J40,"")</f>
        <v/>
      </c>
      <c r="BO39" s="954" t="str">
        <f ca="1">IFERROR($K39*44/12*参考2_エネ使用量経年!BO40*参考2_エネ使用量経年!$K40,"")</f>
        <v/>
      </c>
    </row>
    <row r="40" spans="1:67" ht="20.100000000000001" hidden="1" customHeight="1" outlineLevel="1">
      <c r="A40" s="952">
        <v>40</v>
      </c>
      <c r="B40" s="1870"/>
      <c r="C40" s="1872"/>
      <c r="D40" s="824" t="s">
        <v>4179</v>
      </c>
      <c r="E40" s="824"/>
      <c r="F40" s="825"/>
      <c r="G40" s="891" t="s">
        <v>4685</v>
      </c>
      <c r="H40" s="953">
        <f t="shared" ca="1" si="4"/>
        <v>0</v>
      </c>
      <c r="I40" s="953">
        <f t="shared" ca="1" si="5"/>
        <v>0</v>
      </c>
      <c r="J40" s="953">
        <f t="shared" ca="1" si="6"/>
        <v>0</v>
      </c>
      <c r="K40" s="953">
        <f t="shared" ca="1" si="7"/>
        <v>0</v>
      </c>
      <c r="L40" s="954">
        <f ca="1">IFERROR($H40*44/12*参考2_エネ使用量経年!L41*参考2_エネ使用量経年!$H41,"")</f>
        <v>0</v>
      </c>
      <c r="M40" s="954">
        <f ca="1">IFERROR($I40*44/12*参考2_エネ使用量経年!M41*参考2_エネ使用量経年!$I41,"")</f>
        <v>0</v>
      </c>
      <c r="N40" s="954">
        <f ca="1">IFERROR($J40*44/12*参考2_エネ使用量経年!N41*参考2_エネ使用量経年!$J41,"")</f>
        <v>0</v>
      </c>
      <c r="O40" s="954">
        <f ca="1">IFERROR($K40*44/12*参考2_エネ使用量経年!O41*参考2_エネ使用量経年!$K41,"")</f>
        <v>0</v>
      </c>
      <c r="P40" s="954">
        <f ca="1">IFERROR($H40*44/12*参考2_エネ使用量経年!P41*参考2_エネ使用量経年!$H41,"")</f>
        <v>0</v>
      </c>
      <c r="Q40" s="954">
        <f ca="1">IFERROR($I40*44/12*参考2_エネ使用量経年!Q41*参考2_エネ使用量経年!$I41,"")</f>
        <v>0</v>
      </c>
      <c r="R40" s="954">
        <f ca="1">IFERROR($J40*44/12*参考2_エネ使用量経年!R41*参考2_エネ使用量経年!$J41,"")</f>
        <v>0</v>
      </c>
      <c r="S40" s="954">
        <f ca="1">IFERROR($K40*44/12*参考2_エネ使用量経年!S41*参考2_エネ使用量経年!$K41,"")</f>
        <v>0</v>
      </c>
      <c r="T40" s="954">
        <f ca="1">IFERROR($H40*44/12*参考2_エネ使用量経年!T41*参考2_エネ使用量経年!$H41,"")</f>
        <v>0</v>
      </c>
      <c r="U40" s="954">
        <f ca="1">IFERROR($I40*44/12*参考2_エネ使用量経年!U41*参考2_エネ使用量経年!$I41,"")</f>
        <v>0</v>
      </c>
      <c r="V40" s="954">
        <f ca="1">IFERROR($J40*44/12*参考2_エネ使用量経年!V41*参考2_エネ使用量経年!$J41,"")</f>
        <v>0</v>
      </c>
      <c r="W40" s="954">
        <f ca="1">IFERROR($K40*44/12*参考2_エネ使用量経年!W41*参考2_エネ使用量経年!$K41,"")</f>
        <v>0</v>
      </c>
      <c r="X40" s="954">
        <f ca="1">IFERROR($H40*44/12*参考2_エネ使用量経年!X41*参考2_エネ使用量経年!$H41,"")</f>
        <v>0</v>
      </c>
      <c r="Y40" s="954">
        <f ca="1">IFERROR($I40*44/12*参考2_エネ使用量経年!Y41*参考2_エネ使用量経年!$I41,"")</f>
        <v>0</v>
      </c>
      <c r="Z40" s="954">
        <f ca="1">IFERROR($J40*44/12*参考2_エネ使用量経年!Z41*参考2_エネ使用量経年!$J41,"")</f>
        <v>0</v>
      </c>
      <c r="AA40" s="954">
        <f ca="1">IFERROR($K40*44/12*参考2_エネ使用量経年!AA41*参考2_エネ使用量経年!$K41,"")</f>
        <v>0</v>
      </c>
      <c r="AB40" s="954" t="str">
        <f ca="1">IFERROR($H40*44/12*参考2_エネ使用量経年!AB41*参考2_エネ使用量経年!$H41,"")</f>
        <v/>
      </c>
      <c r="AC40" s="954" t="str">
        <f ca="1">IFERROR($I40*44/12*参考2_エネ使用量経年!AC41*参考2_エネ使用量経年!$I41,"")</f>
        <v/>
      </c>
      <c r="AD40" s="954" t="str">
        <f ca="1">IFERROR($J40*44/12*参考2_エネ使用量経年!AD41*参考2_エネ使用量経年!$J41,"")</f>
        <v/>
      </c>
      <c r="AE40" s="954" t="str">
        <f ca="1">IFERROR($K40*44/12*参考2_エネ使用量経年!AE41*参考2_エネ使用量経年!$K41,"")</f>
        <v/>
      </c>
      <c r="AF40" s="954" t="str">
        <f ca="1">IFERROR($H40*44/12*参考2_エネ使用量経年!AF41*参考2_エネ使用量経年!$H41,"")</f>
        <v/>
      </c>
      <c r="AG40" s="954" t="str">
        <f ca="1">IFERROR($I40*44/12*参考2_エネ使用量経年!AG41*参考2_エネ使用量経年!$I41,"")</f>
        <v/>
      </c>
      <c r="AH40" s="954" t="str">
        <f ca="1">IFERROR($J40*44/12*参考2_エネ使用量経年!AH41*参考2_エネ使用量経年!$J41,"")</f>
        <v/>
      </c>
      <c r="AI40" s="954" t="str">
        <f ca="1">IFERROR($K40*44/12*参考2_エネ使用量経年!AI41*参考2_エネ使用量経年!$K41,"")</f>
        <v/>
      </c>
      <c r="AJ40" s="954" t="str">
        <f ca="1">IFERROR($H40*44/12*参考2_エネ使用量経年!AJ41*参考2_エネ使用量経年!$H41,"")</f>
        <v/>
      </c>
      <c r="AK40" s="954" t="str">
        <f ca="1">IFERROR($I40*44/12*参考2_エネ使用量経年!AK41*参考2_エネ使用量経年!$I41,"")</f>
        <v/>
      </c>
      <c r="AL40" s="954" t="str">
        <f ca="1">IFERROR($J40*44/12*参考2_エネ使用量経年!AL41*参考2_エネ使用量経年!$J41,"")</f>
        <v/>
      </c>
      <c r="AM40" s="954" t="str">
        <f ca="1">IFERROR($K40*44/12*参考2_エネ使用量経年!AM41*参考2_エネ使用量経年!$K41,"")</f>
        <v/>
      </c>
      <c r="AN40" s="954" t="str">
        <f ca="1">IFERROR($H40*44/12*参考2_エネ使用量経年!AN41*参考2_エネ使用量経年!$H41,"")</f>
        <v/>
      </c>
      <c r="AO40" s="954" t="str">
        <f ca="1">IFERROR($I40*44/12*参考2_エネ使用量経年!AO41*参考2_エネ使用量経年!$I41,"")</f>
        <v/>
      </c>
      <c r="AP40" s="954" t="str">
        <f ca="1">IFERROR($J40*44/12*参考2_エネ使用量経年!AP41*参考2_エネ使用量経年!$J41,"")</f>
        <v/>
      </c>
      <c r="AQ40" s="954" t="str">
        <f ca="1">IFERROR($K40*44/12*参考2_エネ使用量経年!AQ41*参考2_エネ使用量経年!$K41,"")</f>
        <v/>
      </c>
      <c r="AR40" s="954" t="str">
        <f ca="1">IFERROR($H40*44/12*参考2_エネ使用量経年!AR41*参考2_エネ使用量経年!$H41,"")</f>
        <v/>
      </c>
      <c r="AS40" s="954" t="str">
        <f ca="1">IFERROR($I40*44/12*参考2_エネ使用量経年!AS41*参考2_エネ使用量経年!$I41,"")</f>
        <v/>
      </c>
      <c r="AT40" s="954" t="str">
        <f ca="1">IFERROR($J40*44/12*参考2_エネ使用量経年!AT41*参考2_エネ使用量経年!$J41,"")</f>
        <v/>
      </c>
      <c r="AU40" s="954" t="str">
        <f ca="1">IFERROR($K40*44/12*参考2_エネ使用量経年!AU41*参考2_エネ使用量経年!$K41,"")</f>
        <v/>
      </c>
      <c r="AV40" s="954" t="str">
        <f ca="1">IFERROR($H40*44/12*参考2_エネ使用量経年!AV41*参考2_エネ使用量経年!$H41,"")</f>
        <v/>
      </c>
      <c r="AW40" s="954" t="str">
        <f ca="1">IFERROR($I40*44/12*参考2_エネ使用量経年!AW41*参考2_エネ使用量経年!$I41,"")</f>
        <v/>
      </c>
      <c r="AX40" s="954" t="str">
        <f ca="1">IFERROR($J40*44/12*参考2_エネ使用量経年!AX41*参考2_エネ使用量経年!$J41,"")</f>
        <v/>
      </c>
      <c r="AY40" s="954" t="str">
        <f ca="1">IFERROR($K40*44/12*参考2_エネ使用量経年!AY41*参考2_エネ使用量経年!$K41,"")</f>
        <v/>
      </c>
      <c r="AZ40" s="954" t="str">
        <f ca="1">IFERROR($H40*44/12*参考2_エネ使用量経年!AZ41*参考2_エネ使用量経年!$H41,"")</f>
        <v/>
      </c>
      <c r="BA40" s="954" t="str">
        <f ca="1">IFERROR($I40*44/12*参考2_エネ使用量経年!BA41*参考2_エネ使用量経年!$I41,"")</f>
        <v/>
      </c>
      <c r="BB40" s="954" t="str">
        <f ca="1">IFERROR($J40*44/12*参考2_エネ使用量経年!BB41*参考2_エネ使用量経年!$J41,"")</f>
        <v/>
      </c>
      <c r="BC40" s="954" t="str">
        <f ca="1">IFERROR($K40*44/12*参考2_エネ使用量経年!BC41*参考2_エネ使用量経年!$K41,"")</f>
        <v/>
      </c>
      <c r="BD40" s="954" t="str">
        <f ca="1">IFERROR($H40*44/12*参考2_エネ使用量経年!BD41*参考2_エネ使用量経年!$H41,"")</f>
        <v/>
      </c>
      <c r="BE40" s="954" t="str">
        <f ca="1">IFERROR($I40*44/12*参考2_エネ使用量経年!BE41*参考2_エネ使用量経年!$I41,"")</f>
        <v/>
      </c>
      <c r="BF40" s="954" t="str">
        <f ca="1">IFERROR($J40*44/12*参考2_エネ使用量経年!BF41*参考2_エネ使用量経年!$J41,"")</f>
        <v/>
      </c>
      <c r="BG40" s="954" t="str">
        <f ca="1">IFERROR($K40*44/12*参考2_エネ使用量経年!BG41*参考2_エネ使用量経年!$K41,"")</f>
        <v/>
      </c>
      <c r="BH40" s="954" t="str">
        <f ca="1">IFERROR($H40*44/12*参考2_エネ使用量経年!BH41*参考2_エネ使用量経年!$H41,"")</f>
        <v/>
      </c>
      <c r="BI40" s="954" t="str">
        <f ca="1">IFERROR($I40*44/12*参考2_エネ使用量経年!BI41*参考2_エネ使用量経年!$I41,"")</f>
        <v/>
      </c>
      <c r="BJ40" s="954" t="str">
        <f ca="1">IFERROR($J40*44/12*参考2_エネ使用量経年!BJ41*参考2_エネ使用量経年!$J41,"")</f>
        <v/>
      </c>
      <c r="BK40" s="954" t="str">
        <f ca="1">IFERROR($K40*44/12*参考2_エネ使用量経年!BK41*参考2_エネ使用量経年!$K41,"")</f>
        <v/>
      </c>
      <c r="BL40" s="954" t="str">
        <f ca="1">IFERROR($H40*44/12*参考2_エネ使用量経年!BL41*参考2_エネ使用量経年!$H41,"")</f>
        <v/>
      </c>
      <c r="BM40" s="954" t="str">
        <f ca="1">IFERROR($I40*44/12*参考2_エネ使用量経年!BM41*参考2_エネ使用量経年!$I41,"")</f>
        <v/>
      </c>
      <c r="BN40" s="954" t="str">
        <f ca="1">IFERROR($J40*44/12*参考2_エネ使用量経年!BN41*参考2_エネ使用量経年!$J41,"")</f>
        <v/>
      </c>
      <c r="BO40" s="954" t="str">
        <f ca="1">IFERROR($K40*44/12*参考2_エネ使用量経年!BO41*参考2_エネ使用量経年!$K41,"")</f>
        <v/>
      </c>
    </row>
    <row r="41" spans="1:67" ht="20.100000000000001" hidden="1" customHeight="1" outlineLevel="1">
      <c r="A41" s="952">
        <v>41</v>
      </c>
      <c r="B41" s="1870"/>
      <c r="C41" s="1872"/>
      <c r="D41" s="824" t="s">
        <v>4180</v>
      </c>
      <c r="E41" s="824"/>
      <c r="F41" s="825"/>
      <c r="G41" s="891" t="s">
        <v>4685</v>
      </c>
      <c r="H41" s="953">
        <f t="shared" ca="1" si="4"/>
        <v>0</v>
      </c>
      <c r="I41" s="953">
        <f t="shared" ca="1" si="5"/>
        <v>0</v>
      </c>
      <c r="J41" s="953">
        <f t="shared" ca="1" si="6"/>
        <v>0</v>
      </c>
      <c r="K41" s="953">
        <f t="shared" ca="1" si="7"/>
        <v>0</v>
      </c>
      <c r="L41" s="954">
        <f ca="1">IFERROR($H41*44/12*参考2_エネ使用量経年!L42*参考2_エネ使用量経年!$H42,"")</f>
        <v>0</v>
      </c>
      <c r="M41" s="954">
        <f ca="1">IFERROR($I41*44/12*参考2_エネ使用量経年!M42*参考2_エネ使用量経年!$I42,"")</f>
        <v>0</v>
      </c>
      <c r="N41" s="954">
        <f ca="1">IFERROR($J41*44/12*参考2_エネ使用量経年!N42*参考2_エネ使用量経年!$J42,"")</f>
        <v>0</v>
      </c>
      <c r="O41" s="954">
        <f ca="1">IFERROR($K41*44/12*参考2_エネ使用量経年!O42*参考2_エネ使用量経年!$K42,"")</f>
        <v>0</v>
      </c>
      <c r="P41" s="954">
        <f ca="1">IFERROR($H41*44/12*参考2_エネ使用量経年!P42*参考2_エネ使用量経年!$H42,"")</f>
        <v>0</v>
      </c>
      <c r="Q41" s="954">
        <f ca="1">IFERROR($I41*44/12*参考2_エネ使用量経年!Q42*参考2_エネ使用量経年!$I42,"")</f>
        <v>0</v>
      </c>
      <c r="R41" s="954">
        <f ca="1">IFERROR($J41*44/12*参考2_エネ使用量経年!R42*参考2_エネ使用量経年!$J42,"")</f>
        <v>0</v>
      </c>
      <c r="S41" s="954">
        <f ca="1">IFERROR($K41*44/12*参考2_エネ使用量経年!S42*参考2_エネ使用量経年!$K42,"")</f>
        <v>0</v>
      </c>
      <c r="T41" s="954">
        <f ca="1">IFERROR($H41*44/12*参考2_エネ使用量経年!T42*参考2_エネ使用量経年!$H42,"")</f>
        <v>0</v>
      </c>
      <c r="U41" s="954">
        <f ca="1">IFERROR($I41*44/12*参考2_エネ使用量経年!U42*参考2_エネ使用量経年!$I42,"")</f>
        <v>0</v>
      </c>
      <c r="V41" s="954">
        <f ca="1">IFERROR($J41*44/12*参考2_エネ使用量経年!V42*参考2_エネ使用量経年!$J42,"")</f>
        <v>0</v>
      </c>
      <c r="W41" s="954">
        <f ca="1">IFERROR($K41*44/12*参考2_エネ使用量経年!W42*参考2_エネ使用量経年!$K42,"")</f>
        <v>0</v>
      </c>
      <c r="X41" s="954">
        <f ca="1">IFERROR($H41*44/12*参考2_エネ使用量経年!X42*参考2_エネ使用量経年!$H42,"")</f>
        <v>0</v>
      </c>
      <c r="Y41" s="954">
        <f ca="1">IFERROR($I41*44/12*参考2_エネ使用量経年!Y42*参考2_エネ使用量経年!$I42,"")</f>
        <v>0</v>
      </c>
      <c r="Z41" s="954">
        <f ca="1">IFERROR($J41*44/12*参考2_エネ使用量経年!Z42*参考2_エネ使用量経年!$J42,"")</f>
        <v>0</v>
      </c>
      <c r="AA41" s="954">
        <f ca="1">IFERROR($K41*44/12*参考2_エネ使用量経年!AA42*参考2_エネ使用量経年!$K42,"")</f>
        <v>0</v>
      </c>
      <c r="AB41" s="954" t="str">
        <f ca="1">IFERROR($H41*44/12*参考2_エネ使用量経年!AB42*参考2_エネ使用量経年!$H42,"")</f>
        <v/>
      </c>
      <c r="AC41" s="954" t="str">
        <f ca="1">IFERROR($I41*44/12*参考2_エネ使用量経年!AC42*参考2_エネ使用量経年!$I42,"")</f>
        <v/>
      </c>
      <c r="AD41" s="954" t="str">
        <f ca="1">IFERROR($J41*44/12*参考2_エネ使用量経年!AD42*参考2_エネ使用量経年!$J42,"")</f>
        <v/>
      </c>
      <c r="AE41" s="954" t="str">
        <f ca="1">IFERROR($K41*44/12*参考2_エネ使用量経年!AE42*参考2_エネ使用量経年!$K42,"")</f>
        <v/>
      </c>
      <c r="AF41" s="954" t="str">
        <f ca="1">IFERROR($H41*44/12*参考2_エネ使用量経年!AF42*参考2_エネ使用量経年!$H42,"")</f>
        <v/>
      </c>
      <c r="AG41" s="954" t="str">
        <f ca="1">IFERROR($I41*44/12*参考2_エネ使用量経年!AG42*参考2_エネ使用量経年!$I42,"")</f>
        <v/>
      </c>
      <c r="AH41" s="954" t="str">
        <f ca="1">IFERROR($J41*44/12*参考2_エネ使用量経年!AH42*参考2_エネ使用量経年!$J42,"")</f>
        <v/>
      </c>
      <c r="AI41" s="954" t="str">
        <f ca="1">IFERROR($K41*44/12*参考2_エネ使用量経年!AI42*参考2_エネ使用量経年!$K42,"")</f>
        <v/>
      </c>
      <c r="AJ41" s="954" t="str">
        <f ca="1">IFERROR($H41*44/12*参考2_エネ使用量経年!AJ42*参考2_エネ使用量経年!$H42,"")</f>
        <v/>
      </c>
      <c r="AK41" s="954" t="str">
        <f ca="1">IFERROR($I41*44/12*参考2_エネ使用量経年!AK42*参考2_エネ使用量経年!$I42,"")</f>
        <v/>
      </c>
      <c r="AL41" s="954" t="str">
        <f ca="1">IFERROR($J41*44/12*参考2_エネ使用量経年!AL42*参考2_エネ使用量経年!$J42,"")</f>
        <v/>
      </c>
      <c r="AM41" s="954" t="str">
        <f ca="1">IFERROR($K41*44/12*参考2_エネ使用量経年!AM42*参考2_エネ使用量経年!$K42,"")</f>
        <v/>
      </c>
      <c r="AN41" s="954" t="str">
        <f ca="1">IFERROR($H41*44/12*参考2_エネ使用量経年!AN42*参考2_エネ使用量経年!$H42,"")</f>
        <v/>
      </c>
      <c r="AO41" s="954" t="str">
        <f ca="1">IFERROR($I41*44/12*参考2_エネ使用量経年!AO42*参考2_エネ使用量経年!$I42,"")</f>
        <v/>
      </c>
      <c r="AP41" s="954" t="str">
        <f ca="1">IFERROR($J41*44/12*参考2_エネ使用量経年!AP42*参考2_エネ使用量経年!$J42,"")</f>
        <v/>
      </c>
      <c r="AQ41" s="954" t="str">
        <f ca="1">IFERROR($K41*44/12*参考2_エネ使用量経年!AQ42*参考2_エネ使用量経年!$K42,"")</f>
        <v/>
      </c>
      <c r="AR41" s="954" t="str">
        <f ca="1">IFERROR($H41*44/12*参考2_エネ使用量経年!AR42*参考2_エネ使用量経年!$H42,"")</f>
        <v/>
      </c>
      <c r="AS41" s="954" t="str">
        <f ca="1">IFERROR($I41*44/12*参考2_エネ使用量経年!AS42*参考2_エネ使用量経年!$I42,"")</f>
        <v/>
      </c>
      <c r="AT41" s="954" t="str">
        <f ca="1">IFERROR($J41*44/12*参考2_エネ使用量経年!AT42*参考2_エネ使用量経年!$J42,"")</f>
        <v/>
      </c>
      <c r="AU41" s="954" t="str">
        <f ca="1">IFERROR($K41*44/12*参考2_エネ使用量経年!AU42*参考2_エネ使用量経年!$K42,"")</f>
        <v/>
      </c>
      <c r="AV41" s="954" t="str">
        <f ca="1">IFERROR($H41*44/12*参考2_エネ使用量経年!AV42*参考2_エネ使用量経年!$H42,"")</f>
        <v/>
      </c>
      <c r="AW41" s="954" t="str">
        <f ca="1">IFERROR($I41*44/12*参考2_エネ使用量経年!AW42*参考2_エネ使用量経年!$I42,"")</f>
        <v/>
      </c>
      <c r="AX41" s="954" t="str">
        <f ca="1">IFERROR($J41*44/12*参考2_エネ使用量経年!AX42*参考2_エネ使用量経年!$J42,"")</f>
        <v/>
      </c>
      <c r="AY41" s="954" t="str">
        <f ca="1">IFERROR($K41*44/12*参考2_エネ使用量経年!AY42*参考2_エネ使用量経年!$K42,"")</f>
        <v/>
      </c>
      <c r="AZ41" s="954" t="str">
        <f ca="1">IFERROR($H41*44/12*参考2_エネ使用量経年!AZ42*参考2_エネ使用量経年!$H42,"")</f>
        <v/>
      </c>
      <c r="BA41" s="954" t="str">
        <f ca="1">IFERROR($I41*44/12*参考2_エネ使用量経年!BA42*参考2_エネ使用量経年!$I42,"")</f>
        <v/>
      </c>
      <c r="BB41" s="954" t="str">
        <f ca="1">IFERROR($J41*44/12*参考2_エネ使用量経年!BB42*参考2_エネ使用量経年!$J42,"")</f>
        <v/>
      </c>
      <c r="BC41" s="954" t="str">
        <f ca="1">IFERROR($K41*44/12*参考2_エネ使用量経年!BC42*参考2_エネ使用量経年!$K42,"")</f>
        <v/>
      </c>
      <c r="BD41" s="954" t="str">
        <f ca="1">IFERROR($H41*44/12*参考2_エネ使用量経年!BD42*参考2_エネ使用量経年!$H42,"")</f>
        <v/>
      </c>
      <c r="BE41" s="954" t="str">
        <f ca="1">IFERROR($I41*44/12*参考2_エネ使用量経年!BE42*参考2_エネ使用量経年!$I42,"")</f>
        <v/>
      </c>
      <c r="BF41" s="954" t="str">
        <f ca="1">IFERROR($J41*44/12*参考2_エネ使用量経年!BF42*参考2_エネ使用量経年!$J42,"")</f>
        <v/>
      </c>
      <c r="BG41" s="954" t="str">
        <f ca="1">IFERROR($K41*44/12*参考2_エネ使用量経年!BG42*参考2_エネ使用量経年!$K42,"")</f>
        <v/>
      </c>
      <c r="BH41" s="954" t="str">
        <f ca="1">IFERROR($H41*44/12*参考2_エネ使用量経年!BH42*参考2_エネ使用量経年!$H42,"")</f>
        <v/>
      </c>
      <c r="BI41" s="954" t="str">
        <f ca="1">IFERROR($I41*44/12*参考2_エネ使用量経年!BI42*参考2_エネ使用量経年!$I42,"")</f>
        <v/>
      </c>
      <c r="BJ41" s="954" t="str">
        <f ca="1">IFERROR($J41*44/12*参考2_エネ使用量経年!BJ42*参考2_エネ使用量経年!$J42,"")</f>
        <v/>
      </c>
      <c r="BK41" s="954" t="str">
        <f ca="1">IFERROR($K41*44/12*参考2_エネ使用量経年!BK42*参考2_エネ使用量経年!$K42,"")</f>
        <v/>
      </c>
      <c r="BL41" s="954" t="str">
        <f ca="1">IFERROR($H41*44/12*参考2_エネ使用量経年!BL42*参考2_エネ使用量経年!$H42,"")</f>
        <v/>
      </c>
      <c r="BM41" s="954" t="str">
        <f ca="1">IFERROR($I41*44/12*参考2_エネ使用量経年!BM42*参考2_エネ使用量経年!$I42,"")</f>
        <v/>
      </c>
      <c r="BN41" s="954" t="str">
        <f ca="1">IFERROR($J41*44/12*参考2_エネ使用量経年!BN42*参考2_エネ使用量経年!$J42,"")</f>
        <v/>
      </c>
      <c r="BO41" s="954" t="str">
        <f ca="1">IFERROR($K41*44/12*参考2_エネ使用量経年!BO42*参考2_エネ使用量経年!$K42,"")</f>
        <v/>
      </c>
    </row>
    <row r="42" spans="1:67" ht="20.100000000000001" hidden="1" customHeight="1" outlineLevel="1">
      <c r="A42" s="952">
        <v>42</v>
      </c>
      <c r="B42" s="1870"/>
      <c r="C42" s="1872"/>
      <c r="D42" s="824" t="s">
        <v>4181</v>
      </c>
      <c r="E42" s="824"/>
      <c r="F42" s="825"/>
      <c r="G42" s="891" t="s">
        <v>4685</v>
      </c>
      <c r="H42" s="953">
        <f t="shared" ca="1" si="4"/>
        <v>0</v>
      </c>
      <c r="I42" s="953">
        <f t="shared" ca="1" si="5"/>
        <v>0</v>
      </c>
      <c r="J42" s="953">
        <f t="shared" ca="1" si="6"/>
        <v>0</v>
      </c>
      <c r="K42" s="953">
        <f t="shared" ca="1" si="7"/>
        <v>0</v>
      </c>
      <c r="L42" s="954">
        <f ca="1">IFERROR($H42*44/12*参考2_エネ使用量経年!L43*参考2_エネ使用量経年!$H43,"")</f>
        <v>0</v>
      </c>
      <c r="M42" s="954">
        <f ca="1">IFERROR($I42*44/12*参考2_エネ使用量経年!M43*参考2_エネ使用量経年!$I43,"")</f>
        <v>0</v>
      </c>
      <c r="N42" s="954">
        <f ca="1">IFERROR($J42*44/12*参考2_エネ使用量経年!N43*参考2_エネ使用量経年!$J43,"")</f>
        <v>0</v>
      </c>
      <c r="O42" s="954">
        <f ca="1">IFERROR($K42*44/12*参考2_エネ使用量経年!O43*参考2_エネ使用量経年!$K43,"")</f>
        <v>0</v>
      </c>
      <c r="P42" s="954">
        <f ca="1">IFERROR($H42*44/12*参考2_エネ使用量経年!P43*参考2_エネ使用量経年!$H43,"")</f>
        <v>0</v>
      </c>
      <c r="Q42" s="954">
        <f ca="1">IFERROR($I42*44/12*参考2_エネ使用量経年!Q43*参考2_エネ使用量経年!$I43,"")</f>
        <v>0</v>
      </c>
      <c r="R42" s="954">
        <f ca="1">IFERROR($J42*44/12*参考2_エネ使用量経年!R43*参考2_エネ使用量経年!$J43,"")</f>
        <v>0</v>
      </c>
      <c r="S42" s="954">
        <f ca="1">IFERROR($K42*44/12*参考2_エネ使用量経年!S43*参考2_エネ使用量経年!$K43,"")</f>
        <v>0</v>
      </c>
      <c r="T42" s="954">
        <f ca="1">IFERROR($H42*44/12*参考2_エネ使用量経年!T43*参考2_エネ使用量経年!$H43,"")</f>
        <v>0</v>
      </c>
      <c r="U42" s="954">
        <f ca="1">IFERROR($I42*44/12*参考2_エネ使用量経年!U43*参考2_エネ使用量経年!$I43,"")</f>
        <v>0</v>
      </c>
      <c r="V42" s="954">
        <f ca="1">IFERROR($J42*44/12*参考2_エネ使用量経年!V43*参考2_エネ使用量経年!$J43,"")</f>
        <v>0</v>
      </c>
      <c r="W42" s="954">
        <f ca="1">IFERROR($K42*44/12*参考2_エネ使用量経年!W43*参考2_エネ使用量経年!$K43,"")</f>
        <v>0</v>
      </c>
      <c r="X42" s="954">
        <f ca="1">IFERROR($H42*44/12*参考2_エネ使用量経年!X43*参考2_エネ使用量経年!$H43,"")</f>
        <v>0</v>
      </c>
      <c r="Y42" s="954">
        <f ca="1">IFERROR($I42*44/12*参考2_エネ使用量経年!Y43*参考2_エネ使用量経年!$I43,"")</f>
        <v>0</v>
      </c>
      <c r="Z42" s="954">
        <f ca="1">IFERROR($J42*44/12*参考2_エネ使用量経年!Z43*参考2_エネ使用量経年!$J43,"")</f>
        <v>0</v>
      </c>
      <c r="AA42" s="954">
        <f ca="1">IFERROR($K42*44/12*参考2_エネ使用量経年!AA43*参考2_エネ使用量経年!$K43,"")</f>
        <v>0</v>
      </c>
      <c r="AB42" s="954" t="str">
        <f ca="1">IFERROR($H42*44/12*参考2_エネ使用量経年!AB43*参考2_エネ使用量経年!$H43,"")</f>
        <v/>
      </c>
      <c r="AC42" s="954" t="str">
        <f ca="1">IFERROR($I42*44/12*参考2_エネ使用量経年!AC43*参考2_エネ使用量経年!$I43,"")</f>
        <v/>
      </c>
      <c r="AD42" s="954" t="str">
        <f ca="1">IFERROR($J42*44/12*参考2_エネ使用量経年!AD43*参考2_エネ使用量経年!$J43,"")</f>
        <v/>
      </c>
      <c r="AE42" s="954" t="str">
        <f ca="1">IFERROR($K42*44/12*参考2_エネ使用量経年!AE43*参考2_エネ使用量経年!$K43,"")</f>
        <v/>
      </c>
      <c r="AF42" s="954" t="str">
        <f ca="1">IFERROR($H42*44/12*参考2_エネ使用量経年!AF43*参考2_エネ使用量経年!$H43,"")</f>
        <v/>
      </c>
      <c r="AG42" s="954" t="str">
        <f ca="1">IFERROR($I42*44/12*参考2_エネ使用量経年!AG43*参考2_エネ使用量経年!$I43,"")</f>
        <v/>
      </c>
      <c r="AH42" s="954" t="str">
        <f ca="1">IFERROR($J42*44/12*参考2_エネ使用量経年!AH43*参考2_エネ使用量経年!$J43,"")</f>
        <v/>
      </c>
      <c r="AI42" s="954" t="str">
        <f ca="1">IFERROR($K42*44/12*参考2_エネ使用量経年!AI43*参考2_エネ使用量経年!$K43,"")</f>
        <v/>
      </c>
      <c r="AJ42" s="954" t="str">
        <f ca="1">IFERROR($H42*44/12*参考2_エネ使用量経年!AJ43*参考2_エネ使用量経年!$H43,"")</f>
        <v/>
      </c>
      <c r="AK42" s="954" t="str">
        <f ca="1">IFERROR($I42*44/12*参考2_エネ使用量経年!AK43*参考2_エネ使用量経年!$I43,"")</f>
        <v/>
      </c>
      <c r="AL42" s="954" t="str">
        <f ca="1">IFERROR($J42*44/12*参考2_エネ使用量経年!AL43*参考2_エネ使用量経年!$J43,"")</f>
        <v/>
      </c>
      <c r="AM42" s="954" t="str">
        <f ca="1">IFERROR($K42*44/12*参考2_エネ使用量経年!AM43*参考2_エネ使用量経年!$K43,"")</f>
        <v/>
      </c>
      <c r="AN42" s="954" t="str">
        <f ca="1">IFERROR($H42*44/12*参考2_エネ使用量経年!AN43*参考2_エネ使用量経年!$H43,"")</f>
        <v/>
      </c>
      <c r="AO42" s="954" t="str">
        <f ca="1">IFERROR($I42*44/12*参考2_エネ使用量経年!AO43*参考2_エネ使用量経年!$I43,"")</f>
        <v/>
      </c>
      <c r="AP42" s="954" t="str">
        <f ca="1">IFERROR($J42*44/12*参考2_エネ使用量経年!AP43*参考2_エネ使用量経年!$J43,"")</f>
        <v/>
      </c>
      <c r="AQ42" s="954" t="str">
        <f ca="1">IFERROR($K42*44/12*参考2_エネ使用量経年!AQ43*参考2_エネ使用量経年!$K43,"")</f>
        <v/>
      </c>
      <c r="AR42" s="954" t="str">
        <f ca="1">IFERROR($H42*44/12*参考2_エネ使用量経年!AR43*参考2_エネ使用量経年!$H43,"")</f>
        <v/>
      </c>
      <c r="AS42" s="954" t="str">
        <f ca="1">IFERROR($I42*44/12*参考2_エネ使用量経年!AS43*参考2_エネ使用量経年!$I43,"")</f>
        <v/>
      </c>
      <c r="AT42" s="954" t="str">
        <f ca="1">IFERROR($J42*44/12*参考2_エネ使用量経年!AT43*参考2_エネ使用量経年!$J43,"")</f>
        <v/>
      </c>
      <c r="AU42" s="954" t="str">
        <f ca="1">IFERROR($K42*44/12*参考2_エネ使用量経年!AU43*参考2_エネ使用量経年!$K43,"")</f>
        <v/>
      </c>
      <c r="AV42" s="954" t="str">
        <f ca="1">IFERROR($H42*44/12*参考2_エネ使用量経年!AV43*参考2_エネ使用量経年!$H43,"")</f>
        <v/>
      </c>
      <c r="AW42" s="954" t="str">
        <f ca="1">IFERROR($I42*44/12*参考2_エネ使用量経年!AW43*参考2_エネ使用量経年!$I43,"")</f>
        <v/>
      </c>
      <c r="AX42" s="954" t="str">
        <f ca="1">IFERROR($J42*44/12*参考2_エネ使用量経年!AX43*参考2_エネ使用量経年!$J43,"")</f>
        <v/>
      </c>
      <c r="AY42" s="954" t="str">
        <f ca="1">IFERROR($K42*44/12*参考2_エネ使用量経年!AY43*参考2_エネ使用量経年!$K43,"")</f>
        <v/>
      </c>
      <c r="AZ42" s="954" t="str">
        <f ca="1">IFERROR($H42*44/12*参考2_エネ使用量経年!AZ43*参考2_エネ使用量経年!$H43,"")</f>
        <v/>
      </c>
      <c r="BA42" s="954" t="str">
        <f ca="1">IFERROR($I42*44/12*参考2_エネ使用量経年!BA43*参考2_エネ使用量経年!$I43,"")</f>
        <v/>
      </c>
      <c r="BB42" s="954" t="str">
        <f ca="1">IFERROR($J42*44/12*参考2_エネ使用量経年!BB43*参考2_エネ使用量経年!$J43,"")</f>
        <v/>
      </c>
      <c r="BC42" s="954" t="str">
        <f ca="1">IFERROR($K42*44/12*参考2_エネ使用量経年!BC43*参考2_エネ使用量経年!$K43,"")</f>
        <v/>
      </c>
      <c r="BD42" s="954" t="str">
        <f ca="1">IFERROR($H42*44/12*参考2_エネ使用量経年!BD43*参考2_エネ使用量経年!$H43,"")</f>
        <v/>
      </c>
      <c r="BE42" s="954" t="str">
        <f ca="1">IFERROR($I42*44/12*参考2_エネ使用量経年!BE43*参考2_エネ使用量経年!$I43,"")</f>
        <v/>
      </c>
      <c r="BF42" s="954" t="str">
        <f ca="1">IFERROR($J42*44/12*参考2_エネ使用量経年!BF43*参考2_エネ使用量経年!$J43,"")</f>
        <v/>
      </c>
      <c r="BG42" s="954" t="str">
        <f ca="1">IFERROR($K42*44/12*参考2_エネ使用量経年!BG43*参考2_エネ使用量経年!$K43,"")</f>
        <v/>
      </c>
      <c r="BH42" s="954" t="str">
        <f ca="1">IFERROR($H42*44/12*参考2_エネ使用量経年!BH43*参考2_エネ使用量経年!$H43,"")</f>
        <v/>
      </c>
      <c r="BI42" s="954" t="str">
        <f ca="1">IFERROR($I42*44/12*参考2_エネ使用量経年!BI43*参考2_エネ使用量経年!$I43,"")</f>
        <v/>
      </c>
      <c r="BJ42" s="954" t="str">
        <f ca="1">IFERROR($J42*44/12*参考2_エネ使用量経年!BJ43*参考2_エネ使用量経年!$J43,"")</f>
        <v/>
      </c>
      <c r="BK42" s="954" t="str">
        <f ca="1">IFERROR($K42*44/12*参考2_エネ使用量経年!BK43*参考2_エネ使用量経年!$K43,"")</f>
        <v/>
      </c>
      <c r="BL42" s="954" t="str">
        <f ca="1">IFERROR($H42*44/12*参考2_エネ使用量経年!BL43*参考2_エネ使用量経年!$H43,"")</f>
        <v/>
      </c>
      <c r="BM42" s="954" t="str">
        <f ca="1">IFERROR($I42*44/12*参考2_エネ使用量経年!BM43*参考2_エネ使用量経年!$I43,"")</f>
        <v/>
      </c>
      <c r="BN42" s="954" t="str">
        <f ca="1">IFERROR($J42*44/12*参考2_エネ使用量経年!BN43*参考2_エネ使用量経年!$J43,"")</f>
        <v/>
      </c>
      <c r="BO42" s="954" t="str">
        <f ca="1">IFERROR($K42*44/12*参考2_エネ使用量経年!BO43*参考2_エネ使用量経年!$K43,"")</f>
        <v/>
      </c>
    </row>
    <row r="43" spans="1:67" ht="20.100000000000001" hidden="1" customHeight="1" outlineLevel="1">
      <c r="A43" s="952">
        <v>43</v>
      </c>
      <c r="B43" s="1870"/>
      <c r="C43" s="1872"/>
      <c r="D43" s="824" t="s">
        <v>4410</v>
      </c>
      <c r="E43" s="831" t="str">
        <f ca="1">参考2_エネ使用量経年!E44</f>
        <v/>
      </c>
      <c r="F43" s="833"/>
      <c r="G43" s="891" t="s">
        <v>4685</v>
      </c>
      <c r="H43" s="953">
        <f t="shared" ca="1" si="4"/>
        <v>0</v>
      </c>
      <c r="I43" s="953">
        <f t="shared" ca="1" si="5"/>
        <v>0</v>
      </c>
      <c r="J43" s="953">
        <f t="shared" ca="1" si="6"/>
        <v>0</v>
      </c>
      <c r="K43" s="953">
        <f t="shared" ca="1" si="7"/>
        <v>0</v>
      </c>
      <c r="L43" s="954">
        <f ca="1">IFERROR($H43*44/12*参考2_エネ使用量経年!L44*参考2_エネ使用量経年!$H44,"")</f>
        <v>0</v>
      </c>
      <c r="M43" s="954">
        <f ca="1">IFERROR($I43*44/12*参考2_エネ使用量経年!M44*参考2_エネ使用量経年!$I44,"")</f>
        <v>0</v>
      </c>
      <c r="N43" s="954">
        <f ca="1">IFERROR($J43*44/12*参考2_エネ使用量経年!N44*参考2_エネ使用量経年!$J44,"")</f>
        <v>0</v>
      </c>
      <c r="O43" s="954">
        <f ca="1">IFERROR($K43*44/12*参考2_エネ使用量経年!O44*参考2_エネ使用量経年!$K44,"")</f>
        <v>0</v>
      </c>
      <c r="P43" s="954">
        <f ca="1">IFERROR($H43*44/12*参考2_エネ使用量経年!P44*参考2_エネ使用量経年!$H44,"")</f>
        <v>0</v>
      </c>
      <c r="Q43" s="954">
        <f ca="1">IFERROR($I43*44/12*参考2_エネ使用量経年!Q44*参考2_エネ使用量経年!$I44,"")</f>
        <v>0</v>
      </c>
      <c r="R43" s="954">
        <f ca="1">IFERROR($J43*44/12*参考2_エネ使用量経年!R44*参考2_エネ使用量経年!$J44,"")</f>
        <v>0</v>
      </c>
      <c r="S43" s="954">
        <f ca="1">IFERROR($K43*44/12*参考2_エネ使用量経年!S44*参考2_エネ使用量経年!$K44,"")</f>
        <v>0</v>
      </c>
      <c r="T43" s="954">
        <f ca="1">IFERROR($H43*44/12*参考2_エネ使用量経年!T44*参考2_エネ使用量経年!$H44,"")</f>
        <v>0</v>
      </c>
      <c r="U43" s="954">
        <f ca="1">IFERROR($I43*44/12*参考2_エネ使用量経年!U44*参考2_エネ使用量経年!$I44,"")</f>
        <v>0</v>
      </c>
      <c r="V43" s="954">
        <f ca="1">IFERROR($J43*44/12*参考2_エネ使用量経年!V44*参考2_エネ使用量経年!$J44,"")</f>
        <v>0</v>
      </c>
      <c r="W43" s="954">
        <f ca="1">IFERROR($K43*44/12*参考2_エネ使用量経年!W44*参考2_エネ使用量経年!$K44,"")</f>
        <v>0</v>
      </c>
      <c r="X43" s="954">
        <f ca="1">IFERROR($H43*44/12*参考2_エネ使用量経年!X44*参考2_エネ使用量経年!$H44,"")</f>
        <v>0</v>
      </c>
      <c r="Y43" s="954">
        <f ca="1">IFERROR($I43*44/12*参考2_エネ使用量経年!Y44*参考2_エネ使用量経年!$I44,"")</f>
        <v>0</v>
      </c>
      <c r="Z43" s="954">
        <f ca="1">IFERROR($J43*44/12*参考2_エネ使用量経年!Z44*参考2_エネ使用量経年!$J44,"")</f>
        <v>0</v>
      </c>
      <c r="AA43" s="954">
        <f ca="1">IFERROR($K43*44/12*参考2_エネ使用量経年!AA44*参考2_エネ使用量経年!$K44,"")</f>
        <v>0</v>
      </c>
      <c r="AB43" s="954" t="str">
        <f ca="1">IFERROR($H43*44/12*参考2_エネ使用量経年!AB44*参考2_エネ使用量経年!$H44,"")</f>
        <v/>
      </c>
      <c r="AC43" s="954" t="str">
        <f ca="1">IFERROR($I43*44/12*参考2_エネ使用量経年!AC44*参考2_エネ使用量経年!$I44,"")</f>
        <v/>
      </c>
      <c r="AD43" s="954" t="str">
        <f ca="1">IFERROR($J43*44/12*参考2_エネ使用量経年!AD44*参考2_エネ使用量経年!$J44,"")</f>
        <v/>
      </c>
      <c r="AE43" s="954" t="str">
        <f ca="1">IFERROR($K43*44/12*参考2_エネ使用量経年!AE44*参考2_エネ使用量経年!$K44,"")</f>
        <v/>
      </c>
      <c r="AF43" s="954" t="str">
        <f ca="1">IFERROR($H43*44/12*参考2_エネ使用量経年!AF44*参考2_エネ使用量経年!$H44,"")</f>
        <v/>
      </c>
      <c r="AG43" s="954" t="str">
        <f ca="1">IFERROR($I43*44/12*参考2_エネ使用量経年!AG44*参考2_エネ使用量経年!$I44,"")</f>
        <v/>
      </c>
      <c r="AH43" s="954" t="str">
        <f ca="1">IFERROR($J43*44/12*参考2_エネ使用量経年!AH44*参考2_エネ使用量経年!$J44,"")</f>
        <v/>
      </c>
      <c r="AI43" s="954" t="str">
        <f ca="1">IFERROR($K43*44/12*参考2_エネ使用量経年!AI44*参考2_エネ使用量経年!$K44,"")</f>
        <v/>
      </c>
      <c r="AJ43" s="954" t="str">
        <f ca="1">IFERROR($H43*44/12*参考2_エネ使用量経年!AJ44*参考2_エネ使用量経年!$H44,"")</f>
        <v/>
      </c>
      <c r="AK43" s="954" t="str">
        <f ca="1">IFERROR($I43*44/12*参考2_エネ使用量経年!AK44*参考2_エネ使用量経年!$I44,"")</f>
        <v/>
      </c>
      <c r="AL43" s="954" t="str">
        <f ca="1">IFERROR($J43*44/12*参考2_エネ使用量経年!AL44*参考2_エネ使用量経年!$J44,"")</f>
        <v/>
      </c>
      <c r="AM43" s="954" t="str">
        <f ca="1">IFERROR($K43*44/12*参考2_エネ使用量経年!AM44*参考2_エネ使用量経年!$K44,"")</f>
        <v/>
      </c>
      <c r="AN43" s="954" t="str">
        <f ca="1">IFERROR($H43*44/12*参考2_エネ使用量経年!AN44*参考2_エネ使用量経年!$H44,"")</f>
        <v/>
      </c>
      <c r="AO43" s="954" t="str">
        <f ca="1">IFERROR($I43*44/12*参考2_エネ使用量経年!AO44*参考2_エネ使用量経年!$I44,"")</f>
        <v/>
      </c>
      <c r="AP43" s="954" t="str">
        <f ca="1">IFERROR($J43*44/12*参考2_エネ使用量経年!AP44*参考2_エネ使用量経年!$J44,"")</f>
        <v/>
      </c>
      <c r="AQ43" s="954" t="str">
        <f ca="1">IFERROR($K43*44/12*参考2_エネ使用量経年!AQ44*参考2_エネ使用量経年!$K44,"")</f>
        <v/>
      </c>
      <c r="AR43" s="954" t="str">
        <f ca="1">IFERROR($H43*44/12*参考2_エネ使用量経年!AR44*参考2_エネ使用量経年!$H44,"")</f>
        <v/>
      </c>
      <c r="AS43" s="954" t="str">
        <f ca="1">IFERROR($I43*44/12*参考2_エネ使用量経年!AS44*参考2_エネ使用量経年!$I44,"")</f>
        <v/>
      </c>
      <c r="AT43" s="954" t="str">
        <f ca="1">IFERROR($J43*44/12*参考2_エネ使用量経年!AT44*参考2_エネ使用量経年!$J44,"")</f>
        <v/>
      </c>
      <c r="AU43" s="954" t="str">
        <f ca="1">IFERROR($K43*44/12*参考2_エネ使用量経年!AU44*参考2_エネ使用量経年!$K44,"")</f>
        <v/>
      </c>
      <c r="AV43" s="954" t="str">
        <f ca="1">IFERROR($H43*44/12*参考2_エネ使用量経年!AV44*参考2_エネ使用量経年!$H44,"")</f>
        <v/>
      </c>
      <c r="AW43" s="954" t="str">
        <f ca="1">IFERROR($I43*44/12*参考2_エネ使用量経年!AW44*参考2_エネ使用量経年!$I44,"")</f>
        <v/>
      </c>
      <c r="AX43" s="954" t="str">
        <f ca="1">IFERROR($J43*44/12*参考2_エネ使用量経年!AX44*参考2_エネ使用量経年!$J44,"")</f>
        <v/>
      </c>
      <c r="AY43" s="954" t="str">
        <f ca="1">IFERROR($K43*44/12*参考2_エネ使用量経年!AY44*参考2_エネ使用量経年!$K44,"")</f>
        <v/>
      </c>
      <c r="AZ43" s="954" t="str">
        <f ca="1">IFERROR($H43*44/12*参考2_エネ使用量経年!AZ44*参考2_エネ使用量経年!$H44,"")</f>
        <v/>
      </c>
      <c r="BA43" s="954" t="str">
        <f ca="1">IFERROR($I43*44/12*参考2_エネ使用量経年!BA44*参考2_エネ使用量経年!$I44,"")</f>
        <v/>
      </c>
      <c r="BB43" s="954" t="str">
        <f ca="1">IFERROR($J43*44/12*参考2_エネ使用量経年!BB44*参考2_エネ使用量経年!$J44,"")</f>
        <v/>
      </c>
      <c r="BC43" s="954" t="str">
        <f ca="1">IFERROR($K43*44/12*参考2_エネ使用量経年!BC44*参考2_エネ使用量経年!$K44,"")</f>
        <v/>
      </c>
      <c r="BD43" s="954" t="str">
        <f ca="1">IFERROR($H43*44/12*参考2_エネ使用量経年!BD44*参考2_エネ使用量経年!$H44,"")</f>
        <v/>
      </c>
      <c r="BE43" s="954" t="str">
        <f ca="1">IFERROR($I43*44/12*参考2_エネ使用量経年!BE44*参考2_エネ使用量経年!$I44,"")</f>
        <v/>
      </c>
      <c r="BF43" s="954" t="str">
        <f ca="1">IFERROR($J43*44/12*参考2_エネ使用量経年!BF44*参考2_エネ使用量経年!$J44,"")</f>
        <v/>
      </c>
      <c r="BG43" s="954" t="str">
        <f ca="1">IFERROR($K43*44/12*参考2_エネ使用量経年!BG44*参考2_エネ使用量経年!$K44,"")</f>
        <v/>
      </c>
      <c r="BH43" s="954" t="str">
        <f ca="1">IFERROR($H43*44/12*参考2_エネ使用量経年!BH44*参考2_エネ使用量経年!$H44,"")</f>
        <v/>
      </c>
      <c r="BI43" s="954" t="str">
        <f ca="1">IFERROR($I43*44/12*参考2_エネ使用量経年!BI44*参考2_エネ使用量経年!$I44,"")</f>
        <v/>
      </c>
      <c r="BJ43" s="954" t="str">
        <f ca="1">IFERROR($J43*44/12*参考2_エネ使用量経年!BJ44*参考2_エネ使用量経年!$J44,"")</f>
        <v/>
      </c>
      <c r="BK43" s="954" t="str">
        <f ca="1">IFERROR($K43*44/12*参考2_エネ使用量経年!BK44*参考2_エネ使用量経年!$K44,"")</f>
        <v/>
      </c>
      <c r="BL43" s="954" t="str">
        <f ca="1">IFERROR($H43*44/12*参考2_エネ使用量経年!BL44*参考2_エネ使用量経年!$H44,"")</f>
        <v/>
      </c>
      <c r="BM43" s="954" t="str">
        <f ca="1">IFERROR($I43*44/12*参考2_エネ使用量経年!BM44*参考2_エネ使用量経年!$I44,"")</f>
        <v/>
      </c>
      <c r="BN43" s="954" t="str">
        <f ca="1">IFERROR($J43*44/12*参考2_エネ使用量経年!BN44*参考2_エネ使用量経年!$J44,"")</f>
        <v/>
      </c>
      <c r="BO43" s="954" t="str">
        <f ca="1">IFERROR($K43*44/12*参考2_エネ使用量経年!BO44*参考2_エネ使用量経年!$K44,"")</f>
        <v/>
      </c>
    </row>
    <row r="44" spans="1:67" ht="20.100000000000001" hidden="1" customHeight="1" outlineLevel="1">
      <c r="A44" s="952">
        <v>44</v>
      </c>
      <c r="B44" s="1870"/>
      <c r="C44" s="1872"/>
      <c r="D44" s="832" t="s">
        <v>4183</v>
      </c>
      <c r="E44" s="824"/>
      <c r="F44" s="825"/>
      <c r="G44" s="891" t="s">
        <v>4685</v>
      </c>
      <c r="H44" s="953">
        <f t="shared" ca="1" si="4"/>
        <v>1.6199999999999999E-2</v>
      </c>
      <c r="I44" s="953">
        <f t="shared" ca="1" si="5"/>
        <v>1.6199999999999999E-2</v>
      </c>
      <c r="J44" s="953">
        <f t="shared" ca="1" si="6"/>
        <v>1.6199999999999999E-2</v>
      </c>
      <c r="K44" s="953">
        <f t="shared" ca="1" si="7"/>
        <v>1.6199999999999999E-2</v>
      </c>
      <c r="L44" s="954">
        <f ca="1">IFERROR($H44*44/12*参考2_エネ使用量経年!L45*参考2_エネ使用量経年!$H45,"")</f>
        <v>0</v>
      </c>
      <c r="M44" s="954">
        <f ca="1">IFERROR($I44*44/12*参考2_エネ使用量経年!M45*参考2_エネ使用量経年!$I45,"")</f>
        <v>0</v>
      </c>
      <c r="N44" s="954">
        <f ca="1">IFERROR($J44*44/12*参考2_エネ使用量経年!N45*参考2_エネ使用量経年!$J45,"")</f>
        <v>0</v>
      </c>
      <c r="O44" s="954">
        <f ca="1">IFERROR($K44*44/12*参考2_エネ使用量経年!O45*参考2_エネ使用量経年!$K45,"")</f>
        <v>0</v>
      </c>
      <c r="P44" s="954">
        <f ca="1">IFERROR($H44*44/12*参考2_エネ使用量経年!P45*参考2_エネ使用量経年!$H45,"")</f>
        <v>0</v>
      </c>
      <c r="Q44" s="954">
        <f ca="1">IFERROR($I44*44/12*参考2_エネ使用量経年!Q45*参考2_エネ使用量経年!$I45,"")</f>
        <v>0</v>
      </c>
      <c r="R44" s="954">
        <f ca="1">IFERROR($J44*44/12*参考2_エネ使用量経年!R45*参考2_エネ使用量経年!$J45,"")</f>
        <v>0</v>
      </c>
      <c r="S44" s="954">
        <f ca="1">IFERROR($K44*44/12*参考2_エネ使用量経年!S45*参考2_エネ使用量経年!$K45,"")</f>
        <v>0</v>
      </c>
      <c r="T44" s="954">
        <f ca="1">IFERROR($H44*44/12*参考2_エネ使用量経年!T45*参考2_エネ使用量経年!$H45,"")</f>
        <v>0</v>
      </c>
      <c r="U44" s="954">
        <f ca="1">IFERROR($I44*44/12*参考2_エネ使用量経年!U45*参考2_エネ使用量経年!$I45,"")</f>
        <v>0</v>
      </c>
      <c r="V44" s="954">
        <f ca="1">IFERROR($J44*44/12*参考2_エネ使用量経年!V45*参考2_エネ使用量経年!$J45,"")</f>
        <v>0</v>
      </c>
      <c r="W44" s="954">
        <f ca="1">IFERROR($K44*44/12*参考2_エネ使用量経年!W45*参考2_エネ使用量経年!$K45,"")</f>
        <v>0</v>
      </c>
      <c r="X44" s="954">
        <f ca="1">IFERROR($H44*44/12*参考2_エネ使用量経年!X45*参考2_エネ使用量経年!$H45,"")</f>
        <v>0</v>
      </c>
      <c r="Y44" s="954">
        <f ca="1">IFERROR($I44*44/12*参考2_エネ使用量経年!Y45*参考2_エネ使用量経年!$I45,"")</f>
        <v>0</v>
      </c>
      <c r="Z44" s="954">
        <f ca="1">IFERROR($J44*44/12*参考2_エネ使用量経年!Z45*参考2_エネ使用量経年!$J45,"")</f>
        <v>0</v>
      </c>
      <c r="AA44" s="954">
        <f ca="1">IFERROR($K44*44/12*参考2_エネ使用量経年!AA45*参考2_エネ使用量経年!$K45,"")</f>
        <v>0</v>
      </c>
      <c r="AB44" s="954" t="str">
        <f ca="1">IFERROR($H44*44/12*参考2_エネ使用量経年!AB45*参考2_エネ使用量経年!$H45,"")</f>
        <v/>
      </c>
      <c r="AC44" s="954" t="str">
        <f ca="1">IFERROR($I44*44/12*参考2_エネ使用量経年!AC45*参考2_エネ使用量経年!$I45,"")</f>
        <v/>
      </c>
      <c r="AD44" s="954" t="str">
        <f ca="1">IFERROR($J44*44/12*参考2_エネ使用量経年!AD45*参考2_エネ使用量経年!$J45,"")</f>
        <v/>
      </c>
      <c r="AE44" s="954" t="str">
        <f ca="1">IFERROR($K44*44/12*参考2_エネ使用量経年!AE45*参考2_エネ使用量経年!$K45,"")</f>
        <v/>
      </c>
      <c r="AF44" s="954" t="str">
        <f ca="1">IFERROR($H44*44/12*参考2_エネ使用量経年!AF45*参考2_エネ使用量経年!$H45,"")</f>
        <v/>
      </c>
      <c r="AG44" s="954" t="str">
        <f ca="1">IFERROR($I44*44/12*参考2_エネ使用量経年!AG45*参考2_エネ使用量経年!$I45,"")</f>
        <v/>
      </c>
      <c r="AH44" s="954" t="str">
        <f ca="1">IFERROR($J44*44/12*参考2_エネ使用量経年!AH45*参考2_エネ使用量経年!$J45,"")</f>
        <v/>
      </c>
      <c r="AI44" s="954" t="str">
        <f ca="1">IFERROR($K44*44/12*参考2_エネ使用量経年!AI45*参考2_エネ使用量経年!$K45,"")</f>
        <v/>
      </c>
      <c r="AJ44" s="954" t="str">
        <f ca="1">IFERROR($H44*44/12*参考2_エネ使用量経年!AJ45*参考2_エネ使用量経年!$H45,"")</f>
        <v/>
      </c>
      <c r="AK44" s="954" t="str">
        <f ca="1">IFERROR($I44*44/12*参考2_エネ使用量経年!AK45*参考2_エネ使用量経年!$I45,"")</f>
        <v/>
      </c>
      <c r="AL44" s="954" t="str">
        <f ca="1">IFERROR($J44*44/12*参考2_エネ使用量経年!AL45*参考2_エネ使用量経年!$J45,"")</f>
        <v/>
      </c>
      <c r="AM44" s="954" t="str">
        <f ca="1">IFERROR($K44*44/12*参考2_エネ使用量経年!AM45*参考2_エネ使用量経年!$K45,"")</f>
        <v/>
      </c>
      <c r="AN44" s="954" t="str">
        <f ca="1">IFERROR($H44*44/12*参考2_エネ使用量経年!AN45*参考2_エネ使用量経年!$H45,"")</f>
        <v/>
      </c>
      <c r="AO44" s="954" t="str">
        <f ca="1">IFERROR($I44*44/12*参考2_エネ使用量経年!AO45*参考2_エネ使用量経年!$I45,"")</f>
        <v/>
      </c>
      <c r="AP44" s="954" t="str">
        <f ca="1">IFERROR($J44*44/12*参考2_エネ使用量経年!AP45*参考2_エネ使用量経年!$J45,"")</f>
        <v/>
      </c>
      <c r="AQ44" s="954" t="str">
        <f ca="1">IFERROR($K44*44/12*参考2_エネ使用量経年!AQ45*参考2_エネ使用量経年!$K45,"")</f>
        <v/>
      </c>
      <c r="AR44" s="954" t="str">
        <f ca="1">IFERROR($H44*44/12*参考2_エネ使用量経年!AR45*参考2_エネ使用量経年!$H45,"")</f>
        <v/>
      </c>
      <c r="AS44" s="954" t="str">
        <f ca="1">IFERROR($I44*44/12*参考2_エネ使用量経年!AS45*参考2_エネ使用量経年!$I45,"")</f>
        <v/>
      </c>
      <c r="AT44" s="954" t="str">
        <f ca="1">IFERROR($J44*44/12*参考2_エネ使用量経年!AT45*参考2_エネ使用量経年!$J45,"")</f>
        <v/>
      </c>
      <c r="AU44" s="954" t="str">
        <f ca="1">IFERROR($K44*44/12*参考2_エネ使用量経年!AU45*参考2_エネ使用量経年!$K45,"")</f>
        <v/>
      </c>
      <c r="AV44" s="954" t="str">
        <f ca="1">IFERROR($H44*44/12*参考2_エネ使用量経年!AV45*参考2_エネ使用量経年!$H45,"")</f>
        <v/>
      </c>
      <c r="AW44" s="954" t="str">
        <f ca="1">IFERROR($I44*44/12*参考2_エネ使用量経年!AW45*参考2_エネ使用量経年!$I45,"")</f>
        <v/>
      </c>
      <c r="AX44" s="954" t="str">
        <f ca="1">IFERROR($J44*44/12*参考2_エネ使用量経年!AX45*参考2_エネ使用量経年!$J45,"")</f>
        <v/>
      </c>
      <c r="AY44" s="954" t="str">
        <f ca="1">IFERROR($K44*44/12*参考2_エネ使用量経年!AY45*参考2_エネ使用量経年!$K45,"")</f>
        <v/>
      </c>
      <c r="AZ44" s="954" t="str">
        <f ca="1">IFERROR($H44*44/12*参考2_エネ使用量経年!AZ45*参考2_エネ使用量経年!$H45,"")</f>
        <v/>
      </c>
      <c r="BA44" s="954" t="str">
        <f ca="1">IFERROR($I44*44/12*参考2_エネ使用量経年!BA45*参考2_エネ使用量経年!$I45,"")</f>
        <v/>
      </c>
      <c r="BB44" s="954" t="str">
        <f ca="1">IFERROR($J44*44/12*参考2_エネ使用量経年!BB45*参考2_エネ使用量経年!$J45,"")</f>
        <v/>
      </c>
      <c r="BC44" s="954" t="str">
        <f ca="1">IFERROR($K44*44/12*参考2_エネ使用量経年!BC45*参考2_エネ使用量経年!$K45,"")</f>
        <v/>
      </c>
      <c r="BD44" s="954" t="str">
        <f ca="1">IFERROR($H44*44/12*参考2_エネ使用量経年!BD45*参考2_エネ使用量経年!$H45,"")</f>
        <v/>
      </c>
      <c r="BE44" s="954" t="str">
        <f ca="1">IFERROR($I44*44/12*参考2_エネ使用量経年!BE45*参考2_エネ使用量経年!$I45,"")</f>
        <v/>
      </c>
      <c r="BF44" s="954" t="str">
        <f ca="1">IFERROR($J44*44/12*参考2_エネ使用量経年!BF45*参考2_エネ使用量経年!$J45,"")</f>
        <v/>
      </c>
      <c r="BG44" s="954" t="str">
        <f ca="1">IFERROR($K44*44/12*参考2_エネ使用量経年!BG45*参考2_エネ使用量経年!$K45,"")</f>
        <v/>
      </c>
      <c r="BH44" s="954" t="str">
        <f ca="1">IFERROR($H44*44/12*参考2_エネ使用量経年!BH45*参考2_エネ使用量経年!$H45,"")</f>
        <v/>
      </c>
      <c r="BI44" s="954" t="str">
        <f ca="1">IFERROR($I44*44/12*参考2_エネ使用量経年!BI45*参考2_エネ使用量経年!$I45,"")</f>
        <v/>
      </c>
      <c r="BJ44" s="954" t="str">
        <f ca="1">IFERROR($J44*44/12*参考2_エネ使用量経年!BJ45*参考2_エネ使用量経年!$J45,"")</f>
        <v/>
      </c>
      <c r="BK44" s="954" t="str">
        <f ca="1">IFERROR($K44*44/12*参考2_エネ使用量経年!BK45*参考2_エネ使用量経年!$K45,"")</f>
        <v/>
      </c>
      <c r="BL44" s="954" t="str">
        <f ca="1">IFERROR($H44*44/12*参考2_エネ使用量経年!BL45*参考2_エネ使用量経年!$H45,"")</f>
        <v/>
      </c>
      <c r="BM44" s="954" t="str">
        <f ca="1">IFERROR($I44*44/12*参考2_エネ使用量経年!BM45*参考2_エネ使用量経年!$I45,"")</f>
        <v/>
      </c>
      <c r="BN44" s="954" t="str">
        <f ca="1">IFERROR($J44*44/12*参考2_エネ使用量経年!BN45*参考2_エネ使用量経年!$J45,"")</f>
        <v/>
      </c>
      <c r="BO44" s="954" t="str">
        <f ca="1">IFERROR($K44*44/12*参考2_エネ使用量経年!BO45*参考2_エネ使用量経年!$K45,"")</f>
        <v/>
      </c>
    </row>
    <row r="45" spans="1:67" ht="20.100000000000001" hidden="1" customHeight="1" outlineLevel="1">
      <c r="A45" s="952">
        <v>45</v>
      </c>
      <c r="B45" s="1870"/>
      <c r="C45" s="1872"/>
      <c r="D45" s="832" t="s">
        <v>4184</v>
      </c>
      <c r="E45" s="834"/>
      <c r="F45" s="825"/>
      <c r="G45" s="891" t="s">
        <v>4685</v>
      </c>
      <c r="H45" s="953">
        <f t="shared" ca="1" si="4"/>
        <v>1.66E-2</v>
      </c>
      <c r="I45" s="953">
        <f t="shared" ca="1" si="5"/>
        <v>1.66E-2</v>
      </c>
      <c r="J45" s="953">
        <f t="shared" ca="1" si="6"/>
        <v>1.66E-2</v>
      </c>
      <c r="K45" s="953">
        <f t="shared" ca="1" si="7"/>
        <v>1.66E-2</v>
      </c>
      <c r="L45" s="954">
        <f ca="1">IFERROR($H45*44/12*参考2_エネ使用量経年!L46*参考2_エネ使用量経年!$H46,"")</f>
        <v>0</v>
      </c>
      <c r="M45" s="954">
        <f ca="1">IFERROR($I45*44/12*参考2_エネ使用量経年!M46*参考2_エネ使用量経年!$I46,"")</f>
        <v>0</v>
      </c>
      <c r="N45" s="954">
        <f ca="1">IFERROR($J45*44/12*参考2_エネ使用量経年!N46*参考2_エネ使用量経年!$J46,"")</f>
        <v>0</v>
      </c>
      <c r="O45" s="954">
        <f ca="1">IFERROR($K45*44/12*参考2_エネ使用量経年!O46*参考2_エネ使用量経年!$K46,"")</f>
        <v>0</v>
      </c>
      <c r="P45" s="954">
        <f ca="1">IFERROR($H45*44/12*参考2_エネ使用量経年!P46*参考2_エネ使用量経年!$H46,"")</f>
        <v>0</v>
      </c>
      <c r="Q45" s="954">
        <f ca="1">IFERROR($I45*44/12*参考2_エネ使用量経年!Q46*参考2_エネ使用量経年!$I46,"")</f>
        <v>0</v>
      </c>
      <c r="R45" s="954">
        <f ca="1">IFERROR($J45*44/12*参考2_エネ使用量経年!R46*参考2_エネ使用量経年!$J46,"")</f>
        <v>0</v>
      </c>
      <c r="S45" s="954">
        <f ca="1">IFERROR($K45*44/12*参考2_エネ使用量経年!S46*参考2_エネ使用量経年!$K46,"")</f>
        <v>0</v>
      </c>
      <c r="T45" s="954">
        <f ca="1">IFERROR($H45*44/12*参考2_エネ使用量経年!T46*参考2_エネ使用量経年!$H46,"")</f>
        <v>0</v>
      </c>
      <c r="U45" s="954">
        <f ca="1">IFERROR($I45*44/12*参考2_エネ使用量経年!U46*参考2_エネ使用量経年!$I46,"")</f>
        <v>0</v>
      </c>
      <c r="V45" s="954">
        <f ca="1">IFERROR($J45*44/12*参考2_エネ使用量経年!V46*参考2_エネ使用量経年!$J46,"")</f>
        <v>0</v>
      </c>
      <c r="W45" s="954">
        <f ca="1">IFERROR($K45*44/12*参考2_エネ使用量経年!W46*参考2_エネ使用量経年!$K46,"")</f>
        <v>0</v>
      </c>
      <c r="X45" s="954">
        <f ca="1">IFERROR($H45*44/12*参考2_エネ使用量経年!X46*参考2_エネ使用量経年!$H46,"")</f>
        <v>0</v>
      </c>
      <c r="Y45" s="954">
        <f ca="1">IFERROR($I45*44/12*参考2_エネ使用量経年!Y46*参考2_エネ使用量経年!$I46,"")</f>
        <v>0</v>
      </c>
      <c r="Z45" s="954">
        <f ca="1">IFERROR($J45*44/12*参考2_エネ使用量経年!Z46*参考2_エネ使用量経年!$J46,"")</f>
        <v>0</v>
      </c>
      <c r="AA45" s="954">
        <f ca="1">IFERROR($K45*44/12*参考2_エネ使用量経年!AA46*参考2_エネ使用量経年!$K46,"")</f>
        <v>0</v>
      </c>
      <c r="AB45" s="954" t="str">
        <f ca="1">IFERROR($H45*44/12*参考2_エネ使用量経年!AB46*参考2_エネ使用量経年!$H46,"")</f>
        <v/>
      </c>
      <c r="AC45" s="954" t="str">
        <f ca="1">IFERROR($I45*44/12*参考2_エネ使用量経年!AC46*参考2_エネ使用量経年!$I46,"")</f>
        <v/>
      </c>
      <c r="AD45" s="954" t="str">
        <f ca="1">IFERROR($J45*44/12*参考2_エネ使用量経年!AD46*参考2_エネ使用量経年!$J46,"")</f>
        <v/>
      </c>
      <c r="AE45" s="954" t="str">
        <f ca="1">IFERROR($K45*44/12*参考2_エネ使用量経年!AE46*参考2_エネ使用量経年!$K46,"")</f>
        <v/>
      </c>
      <c r="AF45" s="954" t="str">
        <f ca="1">IFERROR($H45*44/12*参考2_エネ使用量経年!AF46*参考2_エネ使用量経年!$H46,"")</f>
        <v/>
      </c>
      <c r="AG45" s="954" t="str">
        <f ca="1">IFERROR($I45*44/12*参考2_エネ使用量経年!AG46*参考2_エネ使用量経年!$I46,"")</f>
        <v/>
      </c>
      <c r="AH45" s="954" t="str">
        <f ca="1">IFERROR($J45*44/12*参考2_エネ使用量経年!AH46*参考2_エネ使用量経年!$J46,"")</f>
        <v/>
      </c>
      <c r="AI45" s="954" t="str">
        <f ca="1">IFERROR($K45*44/12*参考2_エネ使用量経年!AI46*参考2_エネ使用量経年!$K46,"")</f>
        <v/>
      </c>
      <c r="AJ45" s="954" t="str">
        <f ca="1">IFERROR($H45*44/12*参考2_エネ使用量経年!AJ46*参考2_エネ使用量経年!$H46,"")</f>
        <v/>
      </c>
      <c r="AK45" s="954" t="str">
        <f ca="1">IFERROR($I45*44/12*参考2_エネ使用量経年!AK46*参考2_エネ使用量経年!$I46,"")</f>
        <v/>
      </c>
      <c r="AL45" s="954" t="str">
        <f ca="1">IFERROR($J45*44/12*参考2_エネ使用量経年!AL46*参考2_エネ使用量経年!$J46,"")</f>
        <v/>
      </c>
      <c r="AM45" s="954" t="str">
        <f ca="1">IFERROR($K45*44/12*参考2_エネ使用量経年!AM46*参考2_エネ使用量経年!$K46,"")</f>
        <v/>
      </c>
      <c r="AN45" s="954" t="str">
        <f ca="1">IFERROR($H45*44/12*参考2_エネ使用量経年!AN46*参考2_エネ使用量経年!$H46,"")</f>
        <v/>
      </c>
      <c r="AO45" s="954" t="str">
        <f ca="1">IFERROR($I45*44/12*参考2_エネ使用量経年!AO46*参考2_エネ使用量経年!$I46,"")</f>
        <v/>
      </c>
      <c r="AP45" s="954" t="str">
        <f ca="1">IFERROR($J45*44/12*参考2_エネ使用量経年!AP46*参考2_エネ使用量経年!$J46,"")</f>
        <v/>
      </c>
      <c r="AQ45" s="954" t="str">
        <f ca="1">IFERROR($K45*44/12*参考2_エネ使用量経年!AQ46*参考2_エネ使用量経年!$K46,"")</f>
        <v/>
      </c>
      <c r="AR45" s="954" t="str">
        <f ca="1">IFERROR($H45*44/12*参考2_エネ使用量経年!AR46*参考2_エネ使用量経年!$H46,"")</f>
        <v/>
      </c>
      <c r="AS45" s="954" t="str">
        <f ca="1">IFERROR($I45*44/12*参考2_エネ使用量経年!AS46*参考2_エネ使用量経年!$I46,"")</f>
        <v/>
      </c>
      <c r="AT45" s="954" t="str">
        <f ca="1">IFERROR($J45*44/12*参考2_エネ使用量経年!AT46*参考2_エネ使用量経年!$J46,"")</f>
        <v/>
      </c>
      <c r="AU45" s="954" t="str">
        <f ca="1">IFERROR($K45*44/12*参考2_エネ使用量経年!AU46*参考2_エネ使用量経年!$K46,"")</f>
        <v/>
      </c>
      <c r="AV45" s="954" t="str">
        <f ca="1">IFERROR($H45*44/12*参考2_エネ使用量経年!AV46*参考2_エネ使用量経年!$H46,"")</f>
        <v/>
      </c>
      <c r="AW45" s="954" t="str">
        <f ca="1">IFERROR($I45*44/12*参考2_エネ使用量経年!AW46*参考2_エネ使用量経年!$I46,"")</f>
        <v/>
      </c>
      <c r="AX45" s="954" t="str">
        <f ca="1">IFERROR($J45*44/12*参考2_エネ使用量経年!AX46*参考2_エネ使用量経年!$J46,"")</f>
        <v/>
      </c>
      <c r="AY45" s="954" t="str">
        <f ca="1">IFERROR($K45*44/12*参考2_エネ使用量経年!AY46*参考2_エネ使用量経年!$K46,"")</f>
        <v/>
      </c>
      <c r="AZ45" s="954" t="str">
        <f ca="1">IFERROR($H45*44/12*参考2_エネ使用量経年!AZ46*参考2_エネ使用量経年!$H46,"")</f>
        <v/>
      </c>
      <c r="BA45" s="954" t="str">
        <f ca="1">IFERROR($I45*44/12*参考2_エネ使用量経年!BA46*参考2_エネ使用量経年!$I46,"")</f>
        <v/>
      </c>
      <c r="BB45" s="954" t="str">
        <f ca="1">IFERROR($J45*44/12*参考2_エネ使用量経年!BB46*参考2_エネ使用量経年!$J46,"")</f>
        <v/>
      </c>
      <c r="BC45" s="954" t="str">
        <f ca="1">IFERROR($K45*44/12*参考2_エネ使用量経年!BC46*参考2_エネ使用量経年!$K46,"")</f>
        <v/>
      </c>
      <c r="BD45" s="954" t="str">
        <f ca="1">IFERROR($H45*44/12*参考2_エネ使用量経年!BD46*参考2_エネ使用量経年!$H46,"")</f>
        <v/>
      </c>
      <c r="BE45" s="954" t="str">
        <f ca="1">IFERROR($I45*44/12*参考2_エネ使用量経年!BE46*参考2_エネ使用量経年!$I46,"")</f>
        <v/>
      </c>
      <c r="BF45" s="954" t="str">
        <f ca="1">IFERROR($J45*44/12*参考2_エネ使用量経年!BF46*参考2_エネ使用量経年!$J46,"")</f>
        <v/>
      </c>
      <c r="BG45" s="954" t="str">
        <f ca="1">IFERROR($K45*44/12*参考2_エネ使用量経年!BG46*参考2_エネ使用量経年!$K46,"")</f>
        <v/>
      </c>
      <c r="BH45" s="954" t="str">
        <f ca="1">IFERROR($H45*44/12*参考2_エネ使用量経年!BH46*参考2_エネ使用量経年!$H46,"")</f>
        <v/>
      </c>
      <c r="BI45" s="954" t="str">
        <f ca="1">IFERROR($I45*44/12*参考2_エネ使用量経年!BI46*参考2_エネ使用量経年!$I46,"")</f>
        <v/>
      </c>
      <c r="BJ45" s="954" t="str">
        <f ca="1">IFERROR($J45*44/12*参考2_エネ使用量経年!BJ46*参考2_エネ使用量経年!$J46,"")</f>
        <v/>
      </c>
      <c r="BK45" s="954" t="str">
        <f ca="1">IFERROR($K45*44/12*参考2_エネ使用量経年!BK46*参考2_エネ使用量経年!$K46,"")</f>
        <v/>
      </c>
      <c r="BL45" s="954" t="str">
        <f ca="1">IFERROR($H45*44/12*参考2_エネ使用量経年!BL46*参考2_エネ使用量経年!$H46,"")</f>
        <v/>
      </c>
      <c r="BM45" s="954" t="str">
        <f ca="1">IFERROR($I45*44/12*参考2_エネ使用量経年!BM46*参考2_エネ使用量経年!$I46,"")</f>
        <v/>
      </c>
      <c r="BN45" s="954" t="str">
        <f ca="1">IFERROR($J45*44/12*参考2_エネ使用量経年!BN46*参考2_エネ使用量経年!$J46,"")</f>
        <v/>
      </c>
      <c r="BO45" s="954" t="str">
        <f ca="1">IFERROR($K45*44/12*参考2_エネ使用量経年!BO46*参考2_エネ使用量経年!$K46,"")</f>
        <v/>
      </c>
    </row>
    <row r="46" spans="1:67" ht="20.100000000000001" hidden="1" customHeight="1" outlineLevel="1">
      <c r="A46" s="952">
        <v>46</v>
      </c>
      <c r="B46" s="1870"/>
      <c r="C46" s="1872"/>
      <c r="D46" s="832" t="s">
        <v>4411</v>
      </c>
      <c r="E46" s="818"/>
      <c r="F46" s="825"/>
      <c r="G46" s="891" t="s">
        <v>4685</v>
      </c>
      <c r="H46" s="953">
        <f t="shared" ca="1" si="4"/>
        <v>1.35E-2</v>
      </c>
      <c r="I46" s="953">
        <f t="shared" ca="1" si="5"/>
        <v>1.35E-2</v>
      </c>
      <c r="J46" s="953">
        <f t="shared" ca="1" si="6"/>
        <v>1.35E-2</v>
      </c>
      <c r="K46" s="953">
        <f t="shared" ca="1" si="7"/>
        <v>1.35E-2</v>
      </c>
      <c r="L46" s="954">
        <f ca="1">IFERROR($H46*44/12*参考2_エネ使用量経年!L47*参考2_エネ使用量経年!$H47,"")</f>
        <v>0</v>
      </c>
      <c r="M46" s="954">
        <f ca="1">IFERROR($I46*44/12*参考2_エネ使用量経年!M47*参考2_エネ使用量経年!$I47,"")</f>
        <v>0</v>
      </c>
      <c r="N46" s="954">
        <f ca="1">IFERROR($J46*44/12*参考2_エネ使用量経年!N47*参考2_エネ使用量経年!$J47,"")</f>
        <v>0</v>
      </c>
      <c r="O46" s="954">
        <f ca="1">IFERROR($K46*44/12*参考2_エネ使用量経年!O47*参考2_エネ使用量経年!$K47,"")</f>
        <v>0</v>
      </c>
      <c r="P46" s="954">
        <f ca="1">IFERROR($H46*44/12*参考2_エネ使用量経年!P47*参考2_エネ使用量経年!$H47,"")</f>
        <v>0</v>
      </c>
      <c r="Q46" s="954">
        <f ca="1">IFERROR($I46*44/12*参考2_エネ使用量経年!Q47*参考2_エネ使用量経年!$I47,"")</f>
        <v>0</v>
      </c>
      <c r="R46" s="954">
        <f ca="1">IFERROR($J46*44/12*参考2_エネ使用量経年!R47*参考2_エネ使用量経年!$J47,"")</f>
        <v>0</v>
      </c>
      <c r="S46" s="954">
        <f ca="1">IFERROR($K46*44/12*参考2_エネ使用量経年!S47*参考2_エネ使用量経年!$K47,"")</f>
        <v>0</v>
      </c>
      <c r="T46" s="954">
        <f ca="1">IFERROR($H46*44/12*参考2_エネ使用量経年!T47*参考2_エネ使用量経年!$H47,"")</f>
        <v>0</v>
      </c>
      <c r="U46" s="954">
        <f ca="1">IFERROR($I46*44/12*参考2_エネ使用量経年!U47*参考2_エネ使用量経年!$I47,"")</f>
        <v>0</v>
      </c>
      <c r="V46" s="954">
        <f ca="1">IFERROR($J46*44/12*参考2_エネ使用量経年!V47*参考2_エネ使用量経年!$J47,"")</f>
        <v>0</v>
      </c>
      <c r="W46" s="954">
        <f ca="1">IFERROR($K46*44/12*参考2_エネ使用量経年!W47*参考2_エネ使用量経年!$K47,"")</f>
        <v>0</v>
      </c>
      <c r="X46" s="954">
        <f ca="1">IFERROR($H46*44/12*参考2_エネ使用量経年!X47*参考2_エネ使用量経年!$H47,"")</f>
        <v>0</v>
      </c>
      <c r="Y46" s="954">
        <f ca="1">IFERROR($I46*44/12*参考2_エネ使用量経年!Y47*参考2_エネ使用量経年!$I47,"")</f>
        <v>0</v>
      </c>
      <c r="Z46" s="954">
        <f ca="1">IFERROR($J46*44/12*参考2_エネ使用量経年!Z47*参考2_エネ使用量経年!$J47,"")</f>
        <v>0</v>
      </c>
      <c r="AA46" s="954">
        <f ca="1">IFERROR($K46*44/12*参考2_エネ使用量経年!AA47*参考2_エネ使用量経年!$K47,"")</f>
        <v>0</v>
      </c>
      <c r="AB46" s="954" t="str">
        <f ca="1">IFERROR($H46*44/12*参考2_エネ使用量経年!AB47*参考2_エネ使用量経年!$H47,"")</f>
        <v/>
      </c>
      <c r="AC46" s="954" t="str">
        <f ca="1">IFERROR($I46*44/12*参考2_エネ使用量経年!AC47*参考2_エネ使用量経年!$I47,"")</f>
        <v/>
      </c>
      <c r="AD46" s="954" t="str">
        <f ca="1">IFERROR($J46*44/12*参考2_エネ使用量経年!AD47*参考2_エネ使用量経年!$J47,"")</f>
        <v/>
      </c>
      <c r="AE46" s="954" t="str">
        <f ca="1">IFERROR($K46*44/12*参考2_エネ使用量経年!AE47*参考2_エネ使用量経年!$K47,"")</f>
        <v/>
      </c>
      <c r="AF46" s="954" t="str">
        <f ca="1">IFERROR($H46*44/12*参考2_エネ使用量経年!AF47*参考2_エネ使用量経年!$H47,"")</f>
        <v/>
      </c>
      <c r="AG46" s="954" t="str">
        <f ca="1">IFERROR($I46*44/12*参考2_エネ使用量経年!AG47*参考2_エネ使用量経年!$I47,"")</f>
        <v/>
      </c>
      <c r="AH46" s="954" t="str">
        <f ca="1">IFERROR($J46*44/12*参考2_エネ使用量経年!AH47*参考2_エネ使用量経年!$J47,"")</f>
        <v/>
      </c>
      <c r="AI46" s="954" t="str">
        <f ca="1">IFERROR($K46*44/12*参考2_エネ使用量経年!AI47*参考2_エネ使用量経年!$K47,"")</f>
        <v/>
      </c>
      <c r="AJ46" s="954" t="str">
        <f ca="1">IFERROR($H46*44/12*参考2_エネ使用量経年!AJ47*参考2_エネ使用量経年!$H47,"")</f>
        <v/>
      </c>
      <c r="AK46" s="954" t="str">
        <f ca="1">IFERROR($I46*44/12*参考2_エネ使用量経年!AK47*参考2_エネ使用量経年!$I47,"")</f>
        <v/>
      </c>
      <c r="AL46" s="954" t="str">
        <f ca="1">IFERROR($J46*44/12*参考2_エネ使用量経年!AL47*参考2_エネ使用量経年!$J47,"")</f>
        <v/>
      </c>
      <c r="AM46" s="954" t="str">
        <f ca="1">IFERROR($K46*44/12*参考2_エネ使用量経年!AM47*参考2_エネ使用量経年!$K47,"")</f>
        <v/>
      </c>
      <c r="AN46" s="954" t="str">
        <f ca="1">IFERROR($H46*44/12*参考2_エネ使用量経年!AN47*参考2_エネ使用量経年!$H47,"")</f>
        <v/>
      </c>
      <c r="AO46" s="954" t="str">
        <f ca="1">IFERROR($I46*44/12*参考2_エネ使用量経年!AO47*参考2_エネ使用量経年!$I47,"")</f>
        <v/>
      </c>
      <c r="AP46" s="954" t="str">
        <f ca="1">IFERROR($J46*44/12*参考2_エネ使用量経年!AP47*参考2_エネ使用量経年!$J47,"")</f>
        <v/>
      </c>
      <c r="AQ46" s="954" t="str">
        <f ca="1">IFERROR($K46*44/12*参考2_エネ使用量経年!AQ47*参考2_エネ使用量経年!$K47,"")</f>
        <v/>
      </c>
      <c r="AR46" s="954" t="str">
        <f ca="1">IFERROR($H46*44/12*参考2_エネ使用量経年!AR47*参考2_エネ使用量経年!$H47,"")</f>
        <v/>
      </c>
      <c r="AS46" s="954" t="str">
        <f ca="1">IFERROR($I46*44/12*参考2_エネ使用量経年!AS47*参考2_エネ使用量経年!$I47,"")</f>
        <v/>
      </c>
      <c r="AT46" s="954" t="str">
        <f ca="1">IFERROR($J46*44/12*参考2_エネ使用量経年!AT47*参考2_エネ使用量経年!$J47,"")</f>
        <v/>
      </c>
      <c r="AU46" s="954" t="str">
        <f ca="1">IFERROR($K46*44/12*参考2_エネ使用量経年!AU47*参考2_エネ使用量経年!$K47,"")</f>
        <v/>
      </c>
      <c r="AV46" s="954" t="str">
        <f ca="1">IFERROR($H46*44/12*参考2_エネ使用量経年!AV47*参考2_エネ使用量経年!$H47,"")</f>
        <v/>
      </c>
      <c r="AW46" s="954" t="str">
        <f ca="1">IFERROR($I46*44/12*参考2_エネ使用量経年!AW47*参考2_エネ使用量経年!$I47,"")</f>
        <v/>
      </c>
      <c r="AX46" s="954" t="str">
        <f ca="1">IFERROR($J46*44/12*参考2_エネ使用量経年!AX47*参考2_エネ使用量経年!$J47,"")</f>
        <v/>
      </c>
      <c r="AY46" s="954" t="str">
        <f ca="1">IFERROR($K46*44/12*参考2_エネ使用量経年!AY47*参考2_エネ使用量経年!$K47,"")</f>
        <v/>
      </c>
      <c r="AZ46" s="954" t="str">
        <f ca="1">IFERROR($H46*44/12*参考2_エネ使用量経年!AZ47*参考2_エネ使用量経年!$H47,"")</f>
        <v/>
      </c>
      <c r="BA46" s="954" t="str">
        <f ca="1">IFERROR($I46*44/12*参考2_エネ使用量経年!BA47*参考2_エネ使用量経年!$I47,"")</f>
        <v/>
      </c>
      <c r="BB46" s="954" t="str">
        <f ca="1">IFERROR($J46*44/12*参考2_エネ使用量経年!BB47*参考2_エネ使用量経年!$J47,"")</f>
        <v/>
      </c>
      <c r="BC46" s="954" t="str">
        <f ca="1">IFERROR($K46*44/12*参考2_エネ使用量経年!BC47*参考2_エネ使用量経年!$K47,"")</f>
        <v/>
      </c>
      <c r="BD46" s="954" t="str">
        <f ca="1">IFERROR($H46*44/12*参考2_エネ使用量経年!BD47*参考2_エネ使用量経年!$H47,"")</f>
        <v/>
      </c>
      <c r="BE46" s="954" t="str">
        <f ca="1">IFERROR($I46*44/12*参考2_エネ使用量経年!BE47*参考2_エネ使用量経年!$I47,"")</f>
        <v/>
      </c>
      <c r="BF46" s="954" t="str">
        <f ca="1">IFERROR($J46*44/12*参考2_エネ使用量経年!BF47*参考2_エネ使用量経年!$J47,"")</f>
        <v/>
      </c>
      <c r="BG46" s="954" t="str">
        <f ca="1">IFERROR($K46*44/12*参考2_エネ使用量経年!BG47*参考2_エネ使用量経年!$K47,"")</f>
        <v/>
      </c>
      <c r="BH46" s="954" t="str">
        <f ca="1">IFERROR($H46*44/12*参考2_エネ使用量経年!BH47*参考2_エネ使用量経年!$H47,"")</f>
        <v/>
      </c>
      <c r="BI46" s="954" t="str">
        <f ca="1">IFERROR($I46*44/12*参考2_エネ使用量経年!BI47*参考2_エネ使用量経年!$I47,"")</f>
        <v/>
      </c>
      <c r="BJ46" s="954" t="str">
        <f ca="1">IFERROR($J46*44/12*参考2_エネ使用量経年!BJ47*参考2_エネ使用量経年!$J47,"")</f>
        <v/>
      </c>
      <c r="BK46" s="954" t="str">
        <f ca="1">IFERROR($K46*44/12*参考2_エネ使用量経年!BK47*参考2_エネ使用量経年!$K47,"")</f>
        <v/>
      </c>
      <c r="BL46" s="954" t="str">
        <f ca="1">IFERROR($H46*44/12*参考2_エネ使用量経年!BL47*参考2_エネ使用量経年!$H47,"")</f>
        <v/>
      </c>
      <c r="BM46" s="954" t="str">
        <f ca="1">IFERROR($I46*44/12*参考2_エネ使用量経年!BM47*参考2_エネ使用量経年!$I47,"")</f>
        <v/>
      </c>
      <c r="BN46" s="954" t="str">
        <f ca="1">IFERROR($J46*44/12*参考2_エネ使用量経年!BN47*参考2_エネ使用量経年!$J47,"")</f>
        <v/>
      </c>
      <c r="BO46" s="954" t="str">
        <f ca="1">IFERROR($K46*44/12*参考2_エネ使用量経年!BO47*参考2_エネ使用量経年!$K47,"")</f>
        <v/>
      </c>
    </row>
    <row r="47" spans="1:67" ht="20.100000000000001" hidden="1" customHeight="1" outlineLevel="1">
      <c r="A47" s="952">
        <v>47</v>
      </c>
      <c r="B47" s="1871"/>
      <c r="C47" s="1872"/>
      <c r="D47" s="832" t="s">
        <v>4412</v>
      </c>
      <c r="E47" s="824"/>
      <c r="F47" s="825"/>
      <c r="G47" s="891" t="s">
        <v>4685</v>
      </c>
      <c r="H47" s="953">
        <f t="shared" ca="1" si="4"/>
        <v>2.5700000000000001E-2</v>
      </c>
      <c r="I47" s="953">
        <f t="shared" ca="1" si="5"/>
        <v>2.5700000000000001E-2</v>
      </c>
      <c r="J47" s="953">
        <f t="shared" ca="1" si="6"/>
        <v>2.5700000000000001E-2</v>
      </c>
      <c r="K47" s="953">
        <f t="shared" ca="1" si="7"/>
        <v>2.5700000000000001E-2</v>
      </c>
      <c r="L47" s="954">
        <f ca="1">IFERROR($H47*44/12*参考2_エネ使用量経年!L48*参考2_エネ使用量経年!$H48,"")</f>
        <v>0</v>
      </c>
      <c r="M47" s="954">
        <f ca="1">IFERROR($I47*44/12*参考2_エネ使用量経年!M48*参考2_エネ使用量経年!$I48,"")</f>
        <v>0</v>
      </c>
      <c r="N47" s="954">
        <f ca="1">IFERROR($J47*44/12*参考2_エネ使用量経年!N48*参考2_エネ使用量経年!$J48,"")</f>
        <v>0</v>
      </c>
      <c r="O47" s="954">
        <f ca="1">IFERROR($K47*44/12*参考2_エネ使用量経年!O48*参考2_エネ使用量経年!$K48,"")</f>
        <v>0</v>
      </c>
      <c r="P47" s="954">
        <f ca="1">IFERROR($H47*44/12*参考2_エネ使用量経年!P48*参考2_エネ使用量経年!$H48,"")</f>
        <v>0</v>
      </c>
      <c r="Q47" s="954">
        <f ca="1">IFERROR($I47*44/12*参考2_エネ使用量経年!Q48*参考2_エネ使用量経年!$I48,"")</f>
        <v>0</v>
      </c>
      <c r="R47" s="954">
        <f ca="1">IFERROR($J47*44/12*参考2_エネ使用量経年!R48*参考2_エネ使用量経年!$J48,"")</f>
        <v>0</v>
      </c>
      <c r="S47" s="954">
        <f ca="1">IFERROR($K47*44/12*参考2_エネ使用量経年!S48*参考2_エネ使用量経年!$K48,"")</f>
        <v>0</v>
      </c>
      <c r="T47" s="954">
        <f ca="1">IFERROR($H47*44/12*参考2_エネ使用量経年!T48*参考2_エネ使用量経年!$H48,"")</f>
        <v>0</v>
      </c>
      <c r="U47" s="954">
        <f ca="1">IFERROR($I47*44/12*参考2_エネ使用量経年!U48*参考2_エネ使用量経年!$I48,"")</f>
        <v>0</v>
      </c>
      <c r="V47" s="954">
        <f ca="1">IFERROR($J47*44/12*参考2_エネ使用量経年!V48*参考2_エネ使用量経年!$J48,"")</f>
        <v>0</v>
      </c>
      <c r="W47" s="954">
        <f ca="1">IFERROR($K47*44/12*参考2_エネ使用量経年!W48*参考2_エネ使用量経年!$K48,"")</f>
        <v>0</v>
      </c>
      <c r="X47" s="954">
        <f ca="1">IFERROR($H47*44/12*参考2_エネ使用量経年!X48*参考2_エネ使用量経年!$H48,"")</f>
        <v>0</v>
      </c>
      <c r="Y47" s="954">
        <f ca="1">IFERROR($I47*44/12*参考2_エネ使用量経年!Y48*参考2_エネ使用量経年!$I48,"")</f>
        <v>0</v>
      </c>
      <c r="Z47" s="954">
        <f ca="1">IFERROR($J47*44/12*参考2_エネ使用量経年!Z48*参考2_エネ使用量経年!$J48,"")</f>
        <v>0</v>
      </c>
      <c r="AA47" s="954">
        <f ca="1">IFERROR($K47*44/12*参考2_エネ使用量経年!AA48*参考2_エネ使用量経年!$K48,"")</f>
        <v>0</v>
      </c>
      <c r="AB47" s="954" t="str">
        <f ca="1">IFERROR($H47*44/12*参考2_エネ使用量経年!AB48*参考2_エネ使用量経年!$H48,"")</f>
        <v/>
      </c>
      <c r="AC47" s="954" t="str">
        <f ca="1">IFERROR($I47*44/12*参考2_エネ使用量経年!AC48*参考2_エネ使用量経年!$I48,"")</f>
        <v/>
      </c>
      <c r="AD47" s="954" t="str">
        <f ca="1">IFERROR($J47*44/12*参考2_エネ使用量経年!AD48*参考2_エネ使用量経年!$J48,"")</f>
        <v/>
      </c>
      <c r="AE47" s="954" t="str">
        <f ca="1">IFERROR($K47*44/12*参考2_エネ使用量経年!AE48*参考2_エネ使用量経年!$K48,"")</f>
        <v/>
      </c>
      <c r="AF47" s="954" t="str">
        <f ca="1">IFERROR($H47*44/12*参考2_エネ使用量経年!AF48*参考2_エネ使用量経年!$H48,"")</f>
        <v/>
      </c>
      <c r="AG47" s="954" t="str">
        <f ca="1">IFERROR($I47*44/12*参考2_エネ使用量経年!AG48*参考2_エネ使用量経年!$I48,"")</f>
        <v/>
      </c>
      <c r="AH47" s="954" t="str">
        <f ca="1">IFERROR($J47*44/12*参考2_エネ使用量経年!AH48*参考2_エネ使用量経年!$J48,"")</f>
        <v/>
      </c>
      <c r="AI47" s="954" t="str">
        <f ca="1">IFERROR($K47*44/12*参考2_エネ使用量経年!AI48*参考2_エネ使用量経年!$K48,"")</f>
        <v/>
      </c>
      <c r="AJ47" s="954" t="str">
        <f ca="1">IFERROR($H47*44/12*参考2_エネ使用量経年!AJ48*参考2_エネ使用量経年!$H48,"")</f>
        <v/>
      </c>
      <c r="AK47" s="954" t="str">
        <f ca="1">IFERROR($I47*44/12*参考2_エネ使用量経年!AK48*参考2_エネ使用量経年!$I48,"")</f>
        <v/>
      </c>
      <c r="AL47" s="954" t="str">
        <f ca="1">IFERROR($J47*44/12*参考2_エネ使用量経年!AL48*参考2_エネ使用量経年!$J48,"")</f>
        <v/>
      </c>
      <c r="AM47" s="954" t="str">
        <f ca="1">IFERROR($K47*44/12*参考2_エネ使用量経年!AM48*参考2_エネ使用量経年!$K48,"")</f>
        <v/>
      </c>
      <c r="AN47" s="954" t="str">
        <f ca="1">IFERROR($H47*44/12*参考2_エネ使用量経年!AN48*参考2_エネ使用量経年!$H48,"")</f>
        <v/>
      </c>
      <c r="AO47" s="954" t="str">
        <f ca="1">IFERROR($I47*44/12*参考2_エネ使用量経年!AO48*参考2_エネ使用量経年!$I48,"")</f>
        <v/>
      </c>
      <c r="AP47" s="954" t="str">
        <f ca="1">IFERROR($J47*44/12*参考2_エネ使用量経年!AP48*参考2_エネ使用量経年!$J48,"")</f>
        <v/>
      </c>
      <c r="AQ47" s="954" t="str">
        <f ca="1">IFERROR($K47*44/12*参考2_エネ使用量経年!AQ48*参考2_エネ使用量経年!$K48,"")</f>
        <v/>
      </c>
      <c r="AR47" s="954" t="str">
        <f ca="1">IFERROR($H47*44/12*参考2_エネ使用量経年!AR48*参考2_エネ使用量経年!$H48,"")</f>
        <v/>
      </c>
      <c r="AS47" s="954" t="str">
        <f ca="1">IFERROR($I47*44/12*参考2_エネ使用量経年!AS48*参考2_エネ使用量経年!$I48,"")</f>
        <v/>
      </c>
      <c r="AT47" s="954" t="str">
        <f ca="1">IFERROR($J47*44/12*参考2_エネ使用量経年!AT48*参考2_エネ使用量経年!$J48,"")</f>
        <v/>
      </c>
      <c r="AU47" s="954" t="str">
        <f ca="1">IFERROR($K47*44/12*参考2_エネ使用量経年!AU48*参考2_エネ使用量経年!$K48,"")</f>
        <v/>
      </c>
      <c r="AV47" s="954" t="str">
        <f ca="1">IFERROR($H47*44/12*参考2_エネ使用量経年!AV48*参考2_エネ使用量経年!$H48,"")</f>
        <v/>
      </c>
      <c r="AW47" s="954" t="str">
        <f ca="1">IFERROR($I47*44/12*参考2_エネ使用量経年!AW48*参考2_エネ使用量経年!$I48,"")</f>
        <v/>
      </c>
      <c r="AX47" s="954" t="str">
        <f ca="1">IFERROR($J47*44/12*参考2_エネ使用量経年!AX48*参考2_エネ使用量経年!$J48,"")</f>
        <v/>
      </c>
      <c r="AY47" s="954" t="str">
        <f ca="1">IFERROR($K47*44/12*参考2_エネ使用量経年!AY48*参考2_エネ使用量経年!$K48,"")</f>
        <v/>
      </c>
      <c r="AZ47" s="954" t="str">
        <f ca="1">IFERROR($H47*44/12*参考2_エネ使用量経年!AZ48*参考2_エネ使用量経年!$H48,"")</f>
        <v/>
      </c>
      <c r="BA47" s="954" t="str">
        <f ca="1">IFERROR($I47*44/12*参考2_エネ使用量経年!BA48*参考2_エネ使用量経年!$I48,"")</f>
        <v/>
      </c>
      <c r="BB47" s="954" t="str">
        <f ca="1">IFERROR($J47*44/12*参考2_エネ使用量経年!BB48*参考2_エネ使用量経年!$J48,"")</f>
        <v/>
      </c>
      <c r="BC47" s="954" t="str">
        <f ca="1">IFERROR($K47*44/12*参考2_エネ使用量経年!BC48*参考2_エネ使用量経年!$K48,"")</f>
        <v/>
      </c>
      <c r="BD47" s="954" t="str">
        <f ca="1">IFERROR($H47*44/12*参考2_エネ使用量経年!BD48*参考2_エネ使用量経年!$H48,"")</f>
        <v/>
      </c>
      <c r="BE47" s="954" t="str">
        <f ca="1">IFERROR($I47*44/12*参考2_エネ使用量経年!BE48*参考2_エネ使用量経年!$I48,"")</f>
        <v/>
      </c>
      <c r="BF47" s="954" t="str">
        <f ca="1">IFERROR($J47*44/12*参考2_エネ使用量経年!BF48*参考2_エネ使用量経年!$J48,"")</f>
        <v/>
      </c>
      <c r="BG47" s="954" t="str">
        <f ca="1">IFERROR($K47*44/12*参考2_エネ使用量経年!BG48*参考2_エネ使用量経年!$K48,"")</f>
        <v/>
      </c>
      <c r="BH47" s="954" t="str">
        <f ca="1">IFERROR($H47*44/12*参考2_エネ使用量経年!BH48*参考2_エネ使用量経年!$H48,"")</f>
        <v/>
      </c>
      <c r="BI47" s="954" t="str">
        <f ca="1">IFERROR($I47*44/12*参考2_エネ使用量経年!BI48*参考2_エネ使用量経年!$I48,"")</f>
        <v/>
      </c>
      <c r="BJ47" s="954" t="str">
        <f ca="1">IFERROR($J47*44/12*参考2_エネ使用量経年!BJ48*参考2_エネ使用量経年!$J48,"")</f>
        <v/>
      </c>
      <c r="BK47" s="954" t="str">
        <f ca="1">IFERROR($K47*44/12*参考2_エネ使用量経年!BK48*参考2_エネ使用量経年!$K48,"")</f>
        <v/>
      </c>
      <c r="BL47" s="954" t="str">
        <f ca="1">IFERROR($H47*44/12*参考2_エネ使用量経年!BL48*参考2_エネ使用量経年!$H48,"")</f>
        <v/>
      </c>
      <c r="BM47" s="954" t="str">
        <f ca="1">IFERROR($I47*44/12*参考2_エネ使用量経年!BM48*参考2_エネ使用量経年!$I48,"")</f>
        <v/>
      </c>
      <c r="BN47" s="954" t="str">
        <f ca="1">IFERROR($J47*44/12*参考2_エネ使用量経年!BN48*参考2_エネ使用量経年!$J48,"")</f>
        <v/>
      </c>
      <c r="BO47" s="954" t="str">
        <f ca="1">IFERROR($K47*44/12*参考2_エネ使用量経年!BO48*参考2_エネ使用量経年!$K48,"")</f>
        <v/>
      </c>
    </row>
    <row r="48" spans="1:67" ht="20.100000000000001" hidden="1" customHeight="1" outlineLevel="1">
      <c r="A48" s="952">
        <v>48</v>
      </c>
      <c r="B48" s="1871"/>
      <c r="C48" s="1872"/>
      <c r="D48" s="832" t="s">
        <v>4413</v>
      </c>
      <c r="E48" s="824"/>
      <c r="F48" s="825"/>
      <c r="G48" s="891" t="s">
        <v>4685</v>
      </c>
      <c r="H48" s="953">
        <f t="shared" ca="1" si="4"/>
        <v>2.3900000000000001E-2</v>
      </c>
      <c r="I48" s="953">
        <f t="shared" ca="1" si="5"/>
        <v>2.3900000000000001E-2</v>
      </c>
      <c r="J48" s="953">
        <f t="shared" ca="1" si="6"/>
        <v>2.3900000000000001E-2</v>
      </c>
      <c r="K48" s="953">
        <f t="shared" ca="1" si="7"/>
        <v>2.3900000000000001E-2</v>
      </c>
      <c r="L48" s="954">
        <f ca="1">IFERROR($H48*44/12*参考2_エネ使用量経年!L49*参考2_エネ使用量経年!$H49,"")</f>
        <v>0</v>
      </c>
      <c r="M48" s="954">
        <f ca="1">IFERROR($I48*44/12*参考2_エネ使用量経年!M49*参考2_エネ使用量経年!$I49,"")</f>
        <v>0</v>
      </c>
      <c r="N48" s="954">
        <f ca="1">IFERROR($J48*44/12*参考2_エネ使用量経年!N49*参考2_エネ使用量経年!$J49,"")</f>
        <v>0</v>
      </c>
      <c r="O48" s="954">
        <f ca="1">IFERROR($K48*44/12*参考2_エネ使用量経年!O49*参考2_エネ使用量経年!$K49,"")</f>
        <v>0</v>
      </c>
      <c r="P48" s="954">
        <f ca="1">IFERROR($H48*44/12*参考2_エネ使用量経年!P49*参考2_エネ使用量経年!$H49,"")</f>
        <v>0</v>
      </c>
      <c r="Q48" s="954">
        <f ca="1">IFERROR($I48*44/12*参考2_エネ使用量経年!Q49*参考2_エネ使用量経年!$I49,"")</f>
        <v>0</v>
      </c>
      <c r="R48" s="954">
        <f ca="1">IFERROR($J48*44/12*参考2_エネ使用量経年!R49*参考2_エネ使用量経年!$J49,"")</f>
        <v>0</v>
      </c>
      <c r="S48" s="954">
        <f ca="1">IFERROR($K48*44/12*参考2_エネ使用量経年!S49*参考2_エネ使用量経年!$K49,"")</f>
        <v>0</v>
      </c>
      <c r="T48" s="954">
        <f ca="1">IFERROR($H48*44/12*参考2_エネ使用量経年!T49*参考2_エネ使用量経年!$H49,"")</f>
        <v>0</v>
      </c>
      <c r="U48" s="954">
        <f ca="1">IFERROR($I48*44/12*参考2_エネ使用量経年!U49*参考2_エネ使用量経年!$I49,"")</f>
        <v>0</v>
      </c>
      <c r="V48" s="954">
        <f ca="1">IFERROR($J48*44/12*参考2_エネ使用量経年!V49*参考2_エネ使用量経年!$J49,"")</f>
        <v>0</v>
      </c>
      <c r="W48" s="954">
        <f ca="1">IFERROR($K48*44/12*参考2_エネ使用量経年!W49*参考2_エネ使用量経年!$K49,"")</f>
        <v>0</v>
      </c>
      <c r="X48" s="954">
        <f ca="1">IFERROR($H48*44/12*参考2_エネ使用量経年!X49*参考2_エネ使用量経年!$H49,"")</f>
        <v>0</v>
      </c>
      <c r="Y48" s="954">
        <f ca="1">IFERROR($I48*44/12*参考2_エネ使用量経年!Y49*参考2_エネ使用量経年!$I49,"")</f>
        <v>0</v>
      </c>
      <c r="Z48" s="954">
        <f ca="1">IFERROR($J48*44/12*参考2_エネ使用量経年!Z49*参考2_エネ使用量経年!$J49,"")</f>
        <v>0</v>
      </c>
      <c r="AA48" s="954">
        <f ca="1">IFERROR($K48*44/12*参考2_エネ使用量経年!AA49*参考2_エネ使用量経年!$K49,"")</f>
        <v>0</v>
      </c>
      <c r="AB48" s="954" t="str">
        <f ca="1">IFERROR($H48*44/12*参考2_エネ使用量経年!AB49*参考2_エネ使用量経年!$H49,"")</f>
        <v/>
      </c>
      <c r="AC48" s="954" t="str">
        <f ca="1">IFERROR($I48*44/12*参考2_エネ使用量経年!AC49*参考2_エネ使用量経年!$I49,"")</f>
        <v/>
      </c>
      <c r="AD48" s="954" t="str">
        <f ca="1">IFERROR($J48*44/12*参考2_エネ使用量経年!AD49*参考2_エネ使用量経年!$J49,"")</f>
        <v/>
      </c>
      <c r="AE48" s="954" t="str">
        <f ca="1">IFERROR($K48*44/12*参考2_エネ使用量経年!AE49*参考2_エネ使用量経年!$K49,"")</f>
        <v/>
      </c>
      <c r="AF48" s="954" t="str">
        <f ca="1">IFERROR($H48*44/12*参考2_エネ使用量経年!AF49*参考2_エネ使用量経年!$H49,"")</f>
        <v/>
      </c>
      <c r="AG48" s="954" t="str">
        <f ca="1">IFERROR($I48*44/12*参考2_エネ使用量経年!AG49*参考2_エネ使用量経年!$I49,"")</f>
        <v/>
      </c>
      <c r="AH48" s="954" t="str">
        <f ca="1">IFERROR($J48*44/12*参考2_エネ使用量経年!AH49*参考2_エネ使用量経年!$J49,"")</f>
        <v/>
      </c>
      <c r="AI48" s="954" t="str">
        <f ca="1">IFERROR($K48*44/12*参考2_エネ使用量経年!AI49*参考2_エネ使用量経年!$K49,"")</f>
        <v/>
      </c>
      <c r="AJ48" s="954" t="str">
        <f ca="1">IFERROR($H48*44/12*参考2_エネ使用量経年!AJ49*参考2_エネ使用量経年!$H49,"")</f>
        <v/>
      </c>
      <c r="AK48" s="954" t="str">
        <f ca="1">IFERROR($I48*44/12*参考2_エネ使用量経年!AK49*参考2_エネ使用量経年!$I49,"")</f>
        <v/>
      </c>
      <c r="AL48" s="954" t="str">
        <f ca="1">IFERROR($J48*44/12*参考2_エネ使用量経年!AL49*参考2_エネ使用量経年!$J49,"")</f>
        <v/>
      </c>
      <c r="AM48" s="954" t="str">
        <f ca="1">IFERROR($K48*44/12*参考2_エネ使用量経年!AM49*参考2_エネ使用量経年!$K49,"")</f>
        <v/>
      </c>
      <c r="AN48" s="954" t="str">
        <f ca="1">IFERROR($H48*44/12*参考2_エネ使用量経年!AN49*参考2_エネ使用量経年!$H49,"")</f>
        <v/>
      </c>
      <c r="AO48" s="954" t="str">
        <f ca="1">IFERROR($I48*44/12*参考2_エネ使用量経年!AO49*参考2_エネ使用量経年!$I49,"")</f>
        <v/>
      </c>
      <c r="AP48" s="954" t="str">
        <f ca="1">IFERROR($J48*44/12*参考2_エネ使用量経年!AP49*参考2_エネ使用量経年!$J49,"")</f>
        <v/>
      </c>
      <c r="AQ48" s="954" t="str">
        <f ca="1">IFERROR($K48*44/12*参考2_エネ使用量経年!AQ49*参考2_エネ使用量経年!$K49,"")</f>
        <v/>
      </c>
      <c r="AR48" s="954" t="str">
        <f ca="1">IFERROR($H48*44/12*参考2_エネ使用量経年!AR49*参考2_エネ使用量経年!$H49,"")</f>
        <v/>
      </c>
      <c r="AS48" s="954" t="str">
        <f ca="1">IFERROR($I48*44/12*参考2_エネ使用量経年!AS49*参考2_エネ使用量経年!$I49,"")</f>
        <v/>
      </c>
      <c r="AT48" s="954" t="str">
        <f ca="1">IFERROR($J48*44/12*参考2_エネ使用量経年!AT49*参考2_エネ使用量経年!$J49,"")</f>
        <v/>
      </c>
      <c r="AU48" s="954" t="str">
        <f ca="1">IFERROR($K48*44/12*参考2_エネ使用量経年!AU49*参考2_エネ使用量経年!$K49,"")</f>
        <v/>
      </c>
      <c r="AV48" s="954" t="str">
        <f ca="1">IFERROR($H48*44/12*参考2_エネ使用量経年!AV49*参考2_エネ使用量経年!$H49,"")</f>
        <v/>
      </c>
      <c r="AW48" s="954" t="str">
        <f ca="1">IFERROR($I48*44/12*参考2_エネ使用量経年!AW49*参考2_エネ使用量経年!$I49,"")</f>
        <v/>
      </c>
      <c r="AX48" s="954" t="str">
        <f ca="1">IFERROR($J48*44/12*参考2_エネ使用量経年!AX49*参考2_エネ使用量経年!$J49,"")</f>
        <v/>
      </c>
      <c r="AY48" s="954" t="str">
        <f ca="1">IFERROR($K48*44/12*参考2_エネ使用量経年!AY49*参考2_エネ使用量経年!$K49,"")</f>
        <v/>
      </c>
      <c r="AZ48" s="954" t="str">
        <f ca="1">IFERROR($H48*44/12*参考2_エネ使用量経年!AZ49*参考2_エネ使用量経年!$H49,"")</f>
        <v/>
      </c>
      <c r="BA48" s="954" t="str">
        <f ca="1">IFERROR($I48*44/12*参考2_エネ使用量経年!BA49*参考2_エネ使用量経年!$I49,"")</f>
        <v/>
      </c>
      <c r="BB48" s="954" t="str">
        <f ca="1">IFERROR($J48*44/12*参考2_エネ使用量経年!BB49*参考2_エネ使用量経年!$J49,"")</f>
        <v/>
      </c>
      <c r="BC48" s="954" t="str">
        <f ca="1">IFERROR($K48*44/12*参考2_エネ使用量経年!BC49*参考2_エネ使用量経年!$K49,"")</f>
        <v/>
      </c>
      <c r="BD48" s="954" t="str">
        <f ca="1">IFERROR($H48*44/12*参考2_エネ使用量経年!BD49*参考2_エネ使用量経年!$H49,"")</f>
        <v/>
      </c>
      <c r="BE48" s="954" t="str">
        <f ca="1">IFERROR($I48*44/12*参考2_エネ使用量経年!BE49*参考2_エネ使用量経年!$I49,"")</f>
        <v/>
      </c>
      <c r="BF48" s="954" t="str">
        <f ca="1">IFERROR($J48*44/12*参考2_エネ使用量経年!BF49*参考2_エネ使用量経年!$J49,"")</f>
        <v/>
      </c>
      <c r="BG48" s="954" t="str">
        <f ca="1">IFERROR($K48*44/12*参考2_エネ使用量経年!BG49*参考2_エネ使用量経年!$K49,"")</f>
        <v/>
      </c>
      <c r="BH48" s="954" t="str">
        <f ca="1">IFERROR($H48*44/12*参考2_エネ使用量経年!BH49*参考2_エネ使用量経年!$H49,"")</f>
        <v/>
      </c>
      <c r="BI48" s="954" t="str">
        <f ca="1">IFERROR($I48*44/12*参考2_エネ使用量経年!BI49*参考2_エネ使用量経年!$I49,"")</f>
        <v/>
      </c>
      <c r="BJ48" s="954" t="str">
        <f ca="1">IFERROR($J48*44/12*参考2_エネ使用量経年!BJ49*参考2_エネ使用量経年!$J49,"")</f>
        <v/>
      </c>
      <c r="BK48" s="954" t="str">
        <f ca="1">IFERROR($K48*44/12*参考2_エネ使用量経年!BK49*参考2_エネ使用量経年!$K49,"")</f>
        <v/>
      </c>
      <c r="BL48" s="954" t="str">
        <f ca="1">IFERROR($H48*44/12*参考2_エネ使用量経年!BL49*参考2_エネ使用量経年!$H49,"")</f>
        <v/>
      </c>
      <c r="BM48" s="954" t="str">
        <f ca="1">IFERROR($I48*44/12*参考2_エネ使用量経年!BM49*参考2_エネ使用量経年!$I49,"")</f>
        <v/>
      </c>
      <c r="BN48" s="954" t="str">
        <f ca="1">IFERROR($J48*44/12*参考2_エネ使用量経年!BN49*参考2_エネ使用量経年!$J49,"")</f>
        <v/>
      </c>
      <c r="BO48" s="954" t="str">
        <f ca="1">IFERROR($K48*44/12*参考2_エネ使用量経年!BO49*参考2_エネ使用量経年!$K49,"")</f>
        <v/>
      </c>
    </row>
    <row r="49" spans="1:68" ht="20.100000000000001" hidden="1" customHeight="1" outlineLevel="1">
      <c r="A49" s="952">
        <v>49</v>
      </c>
      <c r="B49" s="1871"/>
      <c r="C49" s="1872"/>
      <c r="D49" s="832" t="s">
        <v>4414</v>
      </c>
      <c r="E49" s="824"/>
      <c r="F49" s="825"/>
      <c r="G49" s="891" t="s">
        <v>4685</v>
      </c>
      <c r="H49" s="953">
        <f t="shared" ca="1" si="4"/>
        <v>1.7899999999999999E-2</v>
      </c>
      <c r="I49" s="953">
        <f t="shared" ca="1" si="5"/>
        <v>1.7899999999999999E-2</v>
      </c>
      <c r="J49" s="953">
        <f t="shared" ca="1" si="6"/>
        <v>1.7899999999999999E-2</v>
      </c>
      <c r="K49" s="953">
        <f t="shared" ca="1" si="7"/>
        <v>1.7899999999999999E-2</v>
      </c>
      <c r="L49" s="954">
        <f ca="1">IFERROR($H49*44/12*参考2_エネ使用量経年!L50*参考2_エネ使用量経年!$H50,"")</f>
        <v>0</v>
      </c>
      <c r="M49" s="954">
        <f ca="1">IFERROR($I49*44/12*参考2_エネ使用量経年!M50*参考2_エネ使用量経年!$I50,"")</f>
        <v>0</v>
      </c>
      <c r="N49" s="954">
        <f ca="1">IFERROR($J49*44/12*参考2_エネ使用量経年!N50*参考2_エネ使用量経年!$J50,"")</f>
        <v>0</v>
      </c>
      <c r="O49" s="954">
        <f ca="1">IFERROR($K49*44/12*参考2_エネ使用量経年!O50*参考2_エネ使用量経年!$K50,"")</f>
        <v>0</v>
      </c>
      <c r="P49" s="954">
        <f ca="1">IFERROR($H49*44/12*参考2_エネ使用量経年!P50*参考2_エネ使用量経年!$H50,"")</f>
        <v>0</v>
      </c>
      <c r="Q49" s="954">
        <f ca="1">IFERROR($I49*44/12*参考2_エネ使用量経年!Q50*参考2_エネ使用量経年!$I50,"")</f>
        <v>0</v>
      </c>
      <c r="R49" s="954">
        <f ca="1">IFERROR($J49*44/12*参考2_エネ使用量経年!R50*参考2_エネ使用量経年!$J50,"")</f>
        <v>0</v>
      </c>
      <c r="S49" s="954">
        <f ca="1">IFERROR($K49*44/12*参考2_エネ使用量経年!S50*参考2_エネ使用量経年!$K50,"")</f>
        <v>0</v>
      </c>
      <c r="T49" s="954">
        <f ca="1">IFERROR($H49*44/12*参考2_エネ使用量経年!T50*参考2_エネ使用量経年!$H50,"")</f>
        <v>0</v>
      </c>
      <c r="U49" s="954">
        <f ca="1">IFERROR($I49*44/12*参考2_エネ使用量経年!U50*参考2_エネ使用量経年!$I50,"")</f>
        <v>0</v>
      </c>
      <c r="V49" s="954">
        <f ca="1">IFERROR($J49*44/12*参考2_エネ使用量経年!V50*参考2_エネ使用量経年!$J50,"")</f>
        <v>0</v>
      </c>
      <c r="W49" s="954">
        <f ca="1">IFERROR($K49*44/12*参考2_エネ使用量経年!W50*参考2_エネ使用量経年!$K50,"")</f>
        <v>0</v>
      </c>
      <c r="X49" s="954">
        <f ca="1">IFERROR($H49*44/12*参考2_エネ使用量経年!X50*参考2_エネ使用量経年!$H50,"")</f>
        <v>0</v>
      </c>
      <c r="Y49" s="954">
        <f ca="1">IFERROR($I49*44/12*参考2_エネ使用量経年!Y50*参考2_エネ使用量経年!$I50,"")</f>
        <v>0</v>
      </c>
      <c r="Z49" s="954">
        <f ca="1">IFERROR($J49*44/12*参考2_エネ使用量経年!Z50*参考2_エネ使用量経年!$J50,"")</f>
        <v>0</v>
      </c>
      <c r="AA49" s="954">
        <f ca="1">IFERROR($K49*44/12*参考2_エネ使用量経年!AA50*参考2_エネ使用量経年!$K50,"")</f>
        <v>0</v>
      </c>
      <c r="AB49" s="954" t="str">
        <f ca="1">IFERROR($H49*44/12*参考2_エネ使用量経年!AB50*参考2_エネ使用量経年!$H50,"")</f>
        <v/>
      </c>
      <c r="AC49" s="954" t="str">
        <f ca="1">IFERROR($I49*44/12*参考2_エネ使用量経年!AC50*参考2_エネ使用量経年!$I50,"")</f>
        <v/>
      </c>
      <c r="AD49" s="954" t="str">
        <f ca="1">IFERROR($J49*44/12*参考2_エネ使用量経年!AD50*参考2_エネ使用量経年!$J50,"")</f>
        <v/>
      </c>
      <c r="AE49" s="954" t="str">
        <f ca="1">IFERROR($K49*44/12*参考2_エネ使用量経年!AE50*参考2_エネ使用量経年!$K50,"")</f>
        <v/>
      </c>
      <c r="AF49" s="954" t="str">
        <f ca="1">IFERROR($H49*44/12*参考2_エネ使用量経年!AF50*参考2_エネ使用量経年!$H50,"")</f>
        <v/>
      </c>
      <c r="AG49" s="954" t="str">
        <f ca="1">IFERROR($I49*44/12*参考2_エネ使用量経年!AG50*参考2_エネ使用量経年!$I50,"")</f>
        <v/>
      </c>
      <c r="AH49" s="954" t="str">
        <f ca="1">IFERROR($J49*44/12*参考2_エネ使用量経年!AH50*参考2_エネ使用量経年!$J50,"")</f>
        <v/>
      </c>
      <c r="AI49" s="954" t="str">
        <f ca="1">IFERROR($K49*44/12*参考2_エネ使用量経年!AI50*参考2_エネ使用量経年!$K50,"")</f>
        <v/>
      </c>
      <c r="AJ49" s="954" t="str">
        <f ca="1">IFERROR($H49*44/12*参考2_エネ使用量経年!AJ50*参考2_エネ使用量経年!$H50,"")</f>
        <v/>
      </c>
      <c r="AK49" s="954" t="str">
        <f ca="1">IFERROR($I49*44/12*参考2_エネ使用量経年!AK50*参考2_エネ使用量経年!$I50,"")</f>
        <v/>
      </c>
      <c r="AL49" s="954" t="str">
        <f ca="1">IFERROR($J49*44/12*参考2_エネ使用量経年!AL50*参考2_エネ使用量経年!$J50,"")</f>
        <v/>
      </c>
      <c r="AM49" s="954" t="str">
        <f ca="1">IFERROR($K49*44/12*参考2_エネ使用量経年!AM50*参考2_エネ使用量経年!$K50,"")</f>
        <v/>
      </c>
      <c r="AN49" s="954" t="str">
        <f ca="1">IFERROR($H49*44/12*参考2_エネ使用量経年!AN50*参考2_エネ使用量経年!$H50,"")</f>
        <v/>
      </c>
      <c r="AO49" s="954" t="str">
        <f ca="1">IFERROR($I49*44/12*参考2_エネ使用量経年!AO50*参考2_エネ使用量経年!$I50,"")</f>
        <v/>
      </c>
      <c r="AP49" s="954" t="str">
        <f ca="1">IFERROR($J49*44/12*参考2_エネ使用量経年!AP50*参考2_エネ使用量経年!$J50,"")</f>
        <v/>
      </c>
      <c r="AQ49" s="954" t="str">
        <f ca="1">IFERROR($K49*44/12*参考2_エネ使用量経年!AQ50*参考2_エネ使用量経年!$K50,"")</f>
        <v/>
      </c>
      <c r="AR49" s="954" t="str">
        <f ca="1">IFERROR($H49*44/12*参考2_エネ使用量経年!AR50*参考2_エネ使用量経年!$H50,"")</f>
        <v/>
      </c>
      <c r="AS49" s="954" t="str">
        <f ca="1">IFERROR($I49*44/12*参考2_エネ使用量経年!AS50*参考2_エネ使用量経年!$I50,"")</f>
        <v/>
      </c>
      <c r="AT49" s="954" t="str">
        <f ca="1">IFERROR($J49*44/12*参考2_エネ使用量経年!AT50*参考2_エネ使用量経年!$J50,"")</f>
        <v/>
      </c>
      <c r="AU49" s="954" t="str">
        <f ca="1">IFERROR($K49*44/12*参考2_エネ使用量経年!AU50*参考2_エネ使用量経年!$K50,"")</f>
        <v/>
      </c>
      <c r="AV49" s="954" t="str">
        <f ca="1">IFERROR($H49*44/12*参考2_エネ使用量経年!AV50*参考2_エネ使用量経年!$H50,"")</f>
        <v/>
      </c>
      <c r="AW49" s="954" t="str">
        <f ca="1">IFERROR($I49*44/12*参考2_エネ使用量経年!AW50*参考2_エネ使用量経年!$I50,"")</f>
        <v/>
      </c>
      <c r="AX49" s="954" t="str">
        <f ca="1">IFERROR($J49*44/12*参考2_エネ使用量経年!AX50*参考2_エネ使用量経年!$J50,"")</f>
        <v/>
      </c>
      <c r="AY49" s="954" t="str">
        <f ca="1">IFERROR($K49*44/12*参考2_エネ使用量経年!AY50*参考2_エネ使用量経年!$K50,"")</f>
        <v/>
      </c>
      <c r="AZ49" s="954" t="str">
        <f ca="1">IFERROR($H49*44/12*参考2_エネ使用量経年!AZ50*参考2_エネ使用量経年!$H50,"")</f>
        <v/>
      </c>
      <c r="BA49" s="954" t="str">
        <f ca="1">IFERROR($I49*44/12*参考2_エネ使用量経年!BA50*参考2_エネ使用量経年!$I50,"")</f>
        <v/>
      </c>
      <c r="BB49" s="954" t="str">
        <f ca="1">IFERROR($J49*44/12*参考2_エネ使用量経年!BB50*参考2_エネ使用量経年!$J50,"")</f>
        <v/>
      </c>
      <c r="BC49" s="954" t="str">
        <f ca="1">IFERROR($K49*44/12*参考2_エネ使用量経年!BC50*参考2_エネ使用量経年!$K50,"")</f>
        <v/>
      </c>
      <c r="BD49" s="954" t="str">
        <f ca="1">IFERROR($H49*44/12*参考2_エネ使用量経年!BD50*参考2_エネ使用量経年!$H50,"")</f>
        <v/>
      </c>
      <c r="BE49" s="954" t="str">
        <f ca="1">IFERROR($I49*44/12*参考2_エネ使用量経年!BE50*参考2_エネ使用量経年!$I50,"")</f>
        <v/>
      </c>
      <c r="BF49" s="954" t="str">
        <f ca="1">IFERROR($J49*44/12*参考2_エネ使用量経年!BF50*参考2_エネ使用量経年!$J50,"")</f>
        <v/>
      </c>
      <c r="BG49" s="954" t="str">
        <f ca="1">IFERROR($K49*44/12*参考2_エネ使用量経年!BG50*参考2_エネ使用量経年!$K50,"")</f>
        <v/>
      </c>
      <c r="BH49" s="954" t="str">
        <f ca="1">IFERROR($H49*44/12*参考2_エネ使用量経年!BH50*参考2_エネ使用量経年!$H50,"")</f>
        <v/>
      </c>
      <c r="BI49" s="954" t="str">
        <f ca="1">IFERROR($I49*44/12*参考2_エネ使用量経年!BI50*参考2_エネ使用量経年!$I50,"")</f>
        <v/>
      </c>
      <c r="BJ49" s="954" t="str">
        <f ca="1">IFERROR($J49*44/12*参考2_エネ使用量経年!BJ50*参考2_エネ使用量経年!$J50,"")</f>
        <v/>
      </c>
      <c r="BK49" s="954" t="str">
        <f ca="1">IFERROR($K49*44/12*参考2_エネ使用量経年!BK50*参考2_エネ使用量経年!$K50,"")</f>
        <v/>
      </c>
      <c r="BL49" s="954" t="str">
        <f ca="1">IFERROR($H49*44/12*参考2_エネ使用量経年!BL50*参考2_エネ使用量経年!$H50,"")</f>
        <v/>
      </c>
      <c r="BM49" s="954" t="str">
        <f ca="1">IFERROR($I49*44/12*参考2_エネ使用量経年!BM50*参考2_エネ使用量経年!$I50,"")</f>
        <v/>
      </c>
      <c r="BN49" s="954" t="str">
        <f ca="1">IFERROR($J49*44/12*参考2_エネ使用量経年!BN50*参考2_エネ使用量経年!$J50,"")</f>
        <v/>
      </c>
      <c r="BO49" s="954" t="str">
        <f ca="1">IFERROR($K49*44/12*参考2_エネ使用量経年!BO50*参考2_エネ使用量経年!$K50,"")</f>
        <v/>
      </c>
    </row>
    <row r="50" spans="1:68" ht="20.100000000000001" hidden="1" customHeight="1" outlineLevel="1">
      <c r="A50" s="952">
        <v>50</v>
      </c>
      <c r="B50" s="1870"/>
      <c r="C50" s="1872"/>
      <c r="D50" s="824" t="s">
        <v>4415</v>
      </c>
      <c r="E50" s="824"/>
      <c r="F50" s="825"/>
      <c r="G50" s="891" t="s">
        <v>4685</v>
      </c>
      <c r="H50" s="953">
        <f t="shared" ca="1" si="4"/>
        <v>0</v>
      </c>
      <c r="I50" s="953">
        <f t="shared" ca="1" si="5"/>
        <v>0</v>
      </c>
      <c r="J50" s="953">
        <f t="shared" ca="1" si="6"/>
        <v>0</v>
      </c>
      <c r="K50" s="953">
        <f t="shared" ca="1" si="7"/>
        <v>0</v>
      </c>
      <c r="L50" s="954">
        <f ca="1">IFERROR($H50*44/12*参考2_エネ使用量経年!L51*参考2_エネ使用量経年!$H51,"")</f>
        <v>0</v>
      </c>
      <c r="M50" s="954">
        <f ca="1">IFERROR($I50*44/12*参考2_エネ使用量経年!M51*参考2_エネ使用量経年!$I51,"")</f>
        <v>0</v>
      </c>
      <c r="N50" s="954">
        <f ca="1">IFERROR($J50*44/12*参考2_エネ使用量経年!N51*参考2_エネ使用量経年!$J51,"")</f>
        <v>0</v>
      </c>
      <c r="O50" s="954">
        <f ca="1">IFERROR($K50*44/12*参考2_エネ使用量経年!O51*参考2_エネ使用量経年!$K51,"")</f>
        <v>0</v>
      </c>
      <c r="P50" s="954">
        <f ca="1">IFERROR($H50*44/12*参考2_エネ使用量経年!P51*参考2_エネ使用量経年!$H51,"")</f>
        <v>0</v>
      </c>
      <c r="Q50" s="954">
        <f ca="1">IFERROR($I50*44/12*参考2_エネ使用量経年!Q51*参考2_エネ使用量経年!$I51,"")</f>
        <v>0</v>
      </c>
      <c r="R50" s="954">
        <f ca="1">IFERROR($J50*44/12*参考2_エネ使用量経年!R51*参考2_エネ使用量経年!$J51,"")</f>
        <v>0</v>
      </c>
      <c r="S50" s="954">
        <f ca="1">IFERROR($K50*44/12*参考2_エネ使用量経年!S51*参考2_エネ使用量経年!$K51,"")</f>
        <v>0</v>
      </c>
      <c r="T50" s="954">
        <f ca="1">IFERROR($H50*44/12*参考2_エネ使用量経年!T51*参考2_エネ使用量経年!$H51,"")</f>
        <v>0</v>
      </c>
      <c r="U50" s="954">
        <f ca="1">IFERROR($I50*44/12*参考2_エネ使用量経年!U51*参考2_エネ使用量経年!$I51,"")</f>
        <v>0</v>
      </c>
      <c r="V50" s="954">
        <f ca="1">IFERROR($J50*44/12*参考2_エネ使用量経年!V51*参考2_エネ使用量経年!$J51,"")</f>
        <v>0</v>
      </c>
      <c r="W50" s="954">
        <f ca="1">IFERROR($K50*44/12*参考2_エネ使用量経年!W51*参考2_エネ使用量経年!$K51,"")</f>
        <v>0</v>
      </c>
      <c r="X50" s="954">
        <f ca="1">IFERROR($H50*44/12*参考2_エネ使用量経年!X51*参考2_エネ使用量経年!$H51,"")</f>
        <v>0</v>
      </c>
      <c r="Y50" s="954">
        <f ca="1">IFERROR($I50*44/12*参考2_エネ使用量経年!Y51*参考2_エネ使用量経年!$I51,"")</f>
        <v>0</v>
      </c>
      <c r="Z50" s="954">
        <f ca="1">IFERROR($J50*44/12*参考2_エネ使用量経年!Z51*参考2_エネ使用量経年!$J51,"")</f>
        <v>0</v>
      </c>
      <c r="AA50" s="954">
        <f ca="1">IFERROR($K50*44/12*参考2_エネ使用量経年!AA51*参考2_エネ使用量経年!$K51,"")</f>
        <v>0</v>
      </c>
      <c r="AB50" s="954" t="str">
        <f ca="1">IFERROR($H50*44/12*参考2_エネ使用量経年!AB51*参考2_エネ使用量経年!$H51,"")</f>
        <v/>
      </c>
      <c r="AC50" s="954" t="str">
        <f ca="1">IFERROR($I50*44/12*参考2_エネ使用量経年!AC51*参考2_エネ使用量経年!$I51,"")</f>
        <v/>
      </c>
      <c r="AD50" s="954" t="str">
        <f ca="1">IFERROR($J50*44/12*参考2_エネ使用量経年!AD51*参考2_エネ使用量経年!$J51,"")</f>
        <v/>
      </c>
      <c r="AE50" s="954" t="str">
        <f ca="1">IFERROR($K50*44/12*参考2_エネ使用量経年!AE51*参考2_エネ使用量経年!$K51,"")</f>
        <v/>
      </c>
      <c r="AF50" s="954" t="str">
        <f ca="1">IFERROR($H50*44/12*参考2_エネ使用量経年!AF51*参考2_エネ使用量経年!$H51,"")</f>
        <v/>
      </c>
      <c r="AG50" s="954" t="str">
        <f ca="1">IFERROR($I50*44/12*参考2_エネ使用量経年!AG51*参考2_エネ使用量経年!$I51,"")</f>
        <v/>
      </c>
      <c r="AH50" s="954" t="str">
        <f ca="1">IFERROR($J50*44/12*参考2_エネ使用量経年!AH51*参考2_エネ使用量経年!$J51,"")</f>
        <v/>
      </c>
      <c r="AI50" s="954" t="str">
        <f ca="1">IFERROR($K50*44/12*参考2_エネ使用量経年!AI51*参考2_エネ使用量経年!$K51,"")</f>
        <v/>
      </c>
      <c r="AJ50" s="954" t="str">
        <f ca="1">IFERROR($H50*44/12*参考2_エネ使用量経年!AJ51*参考2_エネ使用量経年!$H51,"")</f>
        <v/>
      </c>
      <c r="AK50" s="954" t="str">
        <f ca="1">IFERROR($I50*44/12*参考2_エネ使用量経年!AK51*参考2_エネ使用量経年!$I51,"")</f>
        <v/>
      </c>
      <c r="AL50" s="954" t="str">
        <f ca="1">IFERROR($J50*44/12*参考2_エネ使用量経年!AL51*参考2_エネ使用量経年!$J51,"")</f>
        <v/>
      </c>
      <c r="AM50" s="954" t="str">
        <f ca="1">IFERROR($K50*44/12*参考2_エネ使用量経年!AM51*参考2_エネ使用量経年!$K51,"")</f>
        <v/>
      </c>
      <c r="AN50" s="954" t="str">
        <f ca="1">IFERROR($H50*44/12*参考2_エネ使用量経年!AN51*参考2_エネ使用量経年!$H51,"")</f>
        <v/>
      </c>
      <c r="AO50" s="954" t="str">
        <f ca="1">IFERROR($I50*44/12*参考2_エネ使用量経年!AO51*参考2_エネ使用量経年!$I51,"")</f>
        <v/>
      </c>
      <c r="AP50" s="954" t="str">
        <f ca="1">IFERROR($J50*44/12*参考2_エネ使用量経年!AP51*参考2_エネ使用量経年!$J51,"")</f>
        <v/>
      </c>
      <c r="AQ50" s="954" t="str">
        <f ca="1">IFERROR($K50*44/12*参考2_エネ使用量経年!AQ51*参考2_エネ使用量経年!$K51,"")</f>
        <v/>
      </c>
      <c r="AR50" s="954" t="str">
        <f ca="1">IFERROR($H50*44/12*参考2_エネ使用量経年!AR51*参考2_エネ使用量経年!$H51,"")</f>
        <v/>
      </c>
      <c r="AS50" s="954" t="str">
        <f ca="1">IFERROR($I50*44/12*参考2_エネ使用量経年!AS51*参考2_エネ使用量経年!$I51,"")</f>
        <v/>
      </c>
      <c r="AT50" s="954" t="str">
        <f ca="1">IFERROR($J50*44/12*参考2_エネ使用量経年!AT51*参考2_エネ使用量経年!$J51,"")</f>
        <v/>
      </c>
      <c r="AU50" s="954" t="str">
        <f ca="1">IFERROR($K50*44/12*参考2_エネ使用量経年!AU51*参考2_エネ使用量経年!$K51,"")</f>
        <v/>
      </c>
      <c r="AV50" s="954" t="str">
        <f ca="1">IFERROR($H50*44/12*参考2_エネ使用量経年!AV51*参考2_エネ使用量経年!$H51,"")</f>
        <v/>
      </c>
      <c r="AW50" s="954" t="str">
        <f ca="1">IFERROR($I50*44/12*参考2_エネ使用量経年!AW51*参考2_エネ使用量経年!$I51,"")</f>
        <v/>
      </c>
      <c r="AX50" s="954" t="str">
        <f ca="1">IFERROR($J50*44/12*参考2_エネ使用量経年!AX51*参考2_エネ使用量経年!$J51,"")</f>
        <v/>
      </c>
      <c r="AY50" s="954" t="str">
        <f ca="1">IFERROR($K50*44/12*参考2_エネ使用量経年!AY51*参考2_エネ使用量経年!$K51,"")</f>
        <v/>
      </c>
      <c r="AZ50" s="954" t="str">
        <f ca="1">IFERROR($H50*44/12*参考2_エネ使用量経年!AZ51*参考2_エネ使用量経年!$H51,"")</f>
        <v/>
      </c>
      <c r="BA50" s="954" t="str">
        <f ca="1">IFERROR($I50*44/12*参考2_エネ使用量経年!BA51*参考2_エネ使用量経年!$I51,"")</f>
        <v/>
      </c>
      <c r="BB50" s="954" t="str">
        <f ca="1">IFERROR($J50*44/12*参考2_エネ使用量経年!BB51*参考2_エネ使用量経年!$J51,"")</f>
        <v/>
      </c>
      <c r="BC50" s="954" t="str">
        <f ca="1">IFERROR($K50*44/12*参考2_エネ使用量経年!BC51*参考2_エネ使用量経年!$K51,"")</f>
        <v/>
      </c>
      <c r="BD50" s="954" t="str">
        <f ca="1">IFERROR($H50*44/12*参考2_エネ使用量経年!BD51*参考2_エネ使用量経年!$H51,"")</f>
        <v/>
      </c>
      <c r="BE50" s="954" t="str">
        <f ca="1">IFERROR($I50*44/12*参考2_エネ使用量経年!BE51*参考2_エネ使用量経年!$I51,"")</f>
        <v/>
      </c>
      <c r="BF50" s="954" t="str">
        <f ca="1">IFERROR($J50*44/12*参考2_エネ使用量経年!BF51*参考2_エネ使用量経年!$J51,"")</f>
        <v/>
      </c>
      <c r="BG50" s="954" t="str">
        <f ca="1">IFERROR($K50*44/12*参考2_エネ使用量経年!BG51*参考2_エネ使用量経年!$K51,"")</f>
        <v/>
      </c>
      <c r="BH50" s="954" t="str">
        <f ca="1">IFERROR($H50*44/12*参考2_エネ使用量経年!BH51*参考2_エネ使用量経年!$H51,"")</f>
        <v/>
      </c>
      <c r="BI50" s="954" t="str">
        <f ca="1">IFERROR($I50*44/12*参考2_エネ使用量経年!BI51*参考2_エネ使用量経年!$I51,"")</f>
        <v/>
      </c>
      <c r="BJ50" s="954" t="str">
        <f ca="1">IFERROR($J50*44/12*参考2_エネ使用量経年!BJ51*参考2_エネ使用量経年!$J51,"")</f>
        <v/>
      </c>
      <c r="BK50" s="954" t="str">
        <f ca="1">IFERROR($K50*44/12*参考2_エネ使用量経年!BK51*参考2_エネ使用量経年!$K51,"")</f>
        <v/>
      </c>
      <c r="BL50" s="954" t="str">
        <f ca="1">IFERROR($H50*44/12*参考2_エネ使用量経年!BL51*参考2_エネ使用量経年!$H51,"")</f>
        <v/>
      </c>
      <c r="BM50" s="954" t="str">
        <f ca="1">IFERROR($I50*44/12*参考2_エネ使用量経年!BM51*参考2_エネ使用量経年!$I51,"")</f>
        <v/>
      </c>
      <c r="BN50" s="954" t="str">
        <f ca="1">IFERROR($J50*44/12*参考2_エネ使用量経年!BN51*参考2_エネ使用量経年!$J51,"")</f>
        <v/>
      </c>
      <c r="BO50" s="954" t="str">
        <f ca="1">IFERROR($K50*44/12*参考2_エネ使用量経年!BO51*参考2_エネ使用量経年!$K51,"")</f>
        <v/>
      </c>
    </row>
    <row r="51" spans="1:68" ht="20.100000000000001" hidden="1" customHeight="1" outlineLevel="1">
      <c r="A51" s="952">
        <v>51</v>
      </c>
      <c r="B51" s="1870"/>
      <c r="C51" s="1872"/>
      <c r="D51" s="824" t="s">
        <v>4416</v>
      </c>
      <c r="E51" s="824"/>
      <c r="F51" s="825"/>
      <c r="G51" s="891" t="s">
        <v>4685</v>
      </c>
      <c r="H51" s="953">
        <f t="shared" ca="1" si="4"/>
        <v>0</v>
      </c>
      <c r="I51" s="953">
        <f t="shared" ca="1" si="5"/>
        <v>0</v>
      </c>
      <c r="J51" s="953">
        <f t="shared" ca="1" si="6"/>
        <v>0</v>
      </c>
      <c r="K51" s="953">
        <f t="shared" ca="1" si="7"/>
        <v>0</v>
      </c>
      <c r="L51" s="954">
        <f ca="1">IFERROR($H51*44/12*参考2_エネ使用量経年!L52*参考2_エネ使用量経年!$H52,"")</f>
        <v>0</v>
      </c>
      <c r="M51" s="954">
        <f ca="1">IFERROR($I51*44/12*参考2_エネ使用量経年!M52*参考2_エネ使用量経年!$I52,"")</f>
        <v>0</v>
      </c>
      <c r="N51" s="954">
        <f ca="1">IFERROR($J51*44/12*参考2_エネ使用量経年!N52*参考2_エネ使用量経年!$J52,"")</f>
        <v>0</v>
      </c>
      <c r="O51" s="954">
        <f ca="1">IFERROR($K51*44/12*参考2_エネ使用量経年!O52*参考2_エネ使用量経年!$K52,"")</f>
        <v>0</v>
      </c>
      <c r="P51" s="954">
        <f ca="1">IFERROR($H51*44/12*参考2_エネ使用量経年!P52*参考2_エネ使用量経年!$H52,"")</f>
        <v>0</v>
      </c>
      <c r="Q51" s="954">
        <f ca="1">IFERROR($I51*44/12*参考2_エネ使用量経年!Q52*参考2_エネ使用量経年!$I52,"")</f>
        <v>0</v>
      </c>
      <c r="R51" s="954">
        <f ca="1">IFERROR($J51*44/12*参考2_エネ使用量経年!R52*参考2_エネ使用量経年!$J52,"")</f>
        <v>0</v>
      </c>
      <c r="S51" s="954">
        <f ca="1">IFERROR($K51*44/12*参考2_エネ使用量経年!S52*参考2_エネ使用量経年!$K52,"")</f>
        <v>0</v>
      </c>
      <c r="T51" s="954">
        <f ca="1">IFERROR($H51*44/12*参考2_エネ使用量経年!T52*参考2_エネ使用量経年!$H52,"")</f>
        <v>0</v>
      </c>
      <c r="U51" s="954">
        <f ca="1">IFERROR($I51*44/12*参考2_エネ使用量経年!U52*参考2_エネ使用量経年!$I52,"")</f>
        <v>0</v>
      </c>
      <c r="V51" s="954">
        <f ca="1">IFERROR($J51*44/12*参考2_エネ使用量経年!V52*参考2_エネ使用量経年!$J52,"")</f>
        <v>0</v>
      </c>
      <c r="W51" s="954">
        <f ca="1">IFERROR($K51*44/12*参考2_エネ使用量経年!W52*参考2_エネ使用量経年!$K52,"")</f>
        <v>0</v>
      </c>
      <c r="X51" s="954">
        <f ca="1">IFERROR($H51*44/12*参考2_エネ使用量経年!X52*参考2_エネ使用量経年!$H52,"")</f>
        <v>0</v>
      </c>
      <c r="Y51" s="954">
        <f ca="1">IFERROR($I51*44/12*参考2_エネ使用量経年!Y52*参考2_エネ使用量経年!$I52,"")</f>
        <v>0</v>
      </c>
      <c r="Z51" s="954">
        <f ca="1">IFERROR($J51*44/12*参考2_エネ使用量経年!Z52*参考2_エネ使用量経年!$J52,"")</f>
        <v>0</v>
      </c>
      <c r="AA51" s="954">
        <f ca="1">IFERROR($K51*44/12*参考2_エネ使用量経年!AA52*参考2_エネ使用量経年!$K52,"")</f>
        <v>0</v>
      </c>
      <c r="AB51" s="954" t="str">
        <f ca="1">IFERROR($H51*44/12*参考2_エネ使用量経年!AB52*参考2_エネ使用量経年!$H52,"")</f>
        <v/>
      </c>
      <c r="AC51" s="954" t="str">
        <f ca="1">IFERROR($I51*44/12*参考2_エネ使用量経年!AC52*参考2_エネ使用量経年!$I52,"")</f>
        <v/>
      </c>
      <c r="AD51" s="954" t="str">
        <f ca="1">IFERROR($J51*44/12*参考2_エネ使用量経年!AD52*参考2_エネ使用量経年!$J52,"")</f>
        <v/>
      </c>
      <c r="AE51" s="954" t="str">
        <f ca="1">IFERROR($K51*44/12*参考2_エネ使用量経年!AE52*参考2_エネ使用量経年!$K52,"")</f>
        <v/>
      </c>
      <c r="AF51" s="954" t="str">
        <f ca="1">IFERROR($H51*44/12*参考2_エネ使用量経年!AF52*参考2_エネ使用量経年!$H52,"")</f>
        <v/>
      </c>
      <c r="AG51" s="954" t="str">
        <f ca="1">IFERROR($I51*44/12*参考2_エネ使用量経年!AG52*参考2_エネ使用量経年!$I52,"")</f>
        <v/>
      </c>
      <c r="AH51" s="954" t="str">
        <f ca="1">IFERROR($J51*44/12*参考2_エネ使用量経年!AH52*参考2_エネ使用量経年!$J52,"")</f>
        <v/>
      </c>
      <c r="AI51" s="954" t="str">
        <f ca="1">IFERROR($K51*44/12*参考2_エネ使用量経年!AI52*参考2_エネ使用量経年!$K52,"")</f>
        <v/>
      </c>
      <c r="AJ51" s="954" t="str">
        <f ca="1">IFERROR($H51*44/12*参考2_エネ使用量経年!AJ52*参考2_エネ使用量経年!$H52,"")</f>
        <v/>
      </c>
      <c r="AK51" s="954" t="str">
        <f ca="1">IFERROR($I51*44/12*参考2_エネ使用量経年!AK52*参考2_エネ使用量経年!$I52,"")</f>
        <v/>
      </c>
      <c r="AL51" s="954" t="str">
        <f ca="1">IFERROR($J51*44/12*参考2_エネ使用量経年!AL52*参考2_エネ使用量経年!$J52,"")</f>
        <v/>
      </c>
      <c r="AM51" s="954" t="str">
        <f ca="1">IFERROR($K51*44/12*参考2_エネ使用量経年!AM52*参考2_エネ使用量経年!$K52,"")</f>
        <v/>
      </c>
      <c r="AN51" s="954" t="str">
        <f ca="1">IFERROR($H51*44/12*参考2_エネ使用量経年!AN52*参考2_エネ使用量経年!$H52,"")</f>
        <v/>
      </c>
      <c r="AO51" s="954" t="str">
        <f ca="1">IFERROR($I51*44/12*参考2_エネ使用量経年!AO52*参考2_エネ使用量経年!$I52,"")</f>
        <v/>
      </c>
      <c r="AP51" s="954" t="str">
        <f ca="1">IFERROR($J51*44/12*参考2_エネ使用量経年!AP52*参考2_エネ使用量経年!$J52,"")</f>
        <v/>
      </c>
      <c r="AQ51" s="954" t="str">
        <f ca="1">IFERROR($K51*44/12*参考2_エネ使用量経年!AQ52*参考2_エネ使用量経年!$K52,"")</f>
        <v/>
      </c>
      <c r="AR51" s="954" t="str">
        <f ca="1">IFERROR($H51*44/12*参考2_エネ使用量経年!AR52*参考2_エネ使用量経年!$H52,"")</f>
        <v/>
      </c>
      <c r="AS51" s="954" t="str">
        <f ca="1">IFERROR($I51*44/12*参考2_エネ使用量経年!AS52*参考2_エネ使用量経年!$I52,"")</f>
        <v/>
      </c>
      <c r="AT51" s="954" t="str">
        <f ca="1">IFERROR($J51*44/12*参考2_エネ使用量経年!AT52*参考2_エネ使用量経年!$J52,"")</f>
        <v/>
      </c>
      <c r="AU51" s="954" t="str">
        <f ca="1">IFERROR($K51*44/12*参考2_エネ使用量経年!AU52*参考2_エネ使用量経年!$K52,"")</f>
        <v/>
      </c>
      <c r="AV51" s="954" t="str">
        <f ca="1">IFERROR($H51*44/12*参考2_エネ使用量経年!AV52*参考2_エネ使用量経年!$H52,"")</f>
        <v/>
      </c>
      <c r="AW51" s="954" t="str">
        <f ca="1">IFERROR($I51*44/12*参考2_エネ使用量経年!AW52*参考2_エネ使用量経年!$I52,"")</f>
        <v/>
      </c>
      <c r="AX51" s="954" t="str">
        <f ca="1">IFERROR($J51*44/12*参考2_エネ使用量経年!AX52*参考2_エネ使用量経年!$J52,"")</f>
        <v/>
      </c>
      <c r="AY51" s="954" t="str">
        <f ca="1">IFERROR($K51*44/12*参考2_エネ使用量経年!AY52*参考2_エネ使用量経年!$K52,"")</f>
        <v/>
      </c>
      <c r="AZ51" s="954" t="str">
        <f ca="1">IFERROR($H51*44/12*参考2_エネ使用量経年!AZ52*参考2_エネ使用量経年!$H52,"")</f>
        <v/>
      </c>
      <c r="BA51" s="954" t="str">
        <f ca="1">IFERROR($I51*44/12*参考2_エネ使用量経年!BA52*参考2_エネ使用量経年!$I52,"")</f>
        <v/>
      </c>
      <c r="BB51" s="954" t="str">
        <f ca="1">IFERROR($J51*44/12*参考2_エネ使用量経年!BB52*参考2_エネ使用量経年!$J52,"")</f>
        <v/>
      </c>
      <c r="BC51" s="954" t="str">
        <f ca="1">IFERROR($K51*44/12*参考2_エネ使用量経年!BC52*参考2_エネ使用量経年!$K52,"")</f>
        <v/>
      </c>
      <c r="BD51" s="954" t="str">
        <f ca="1">IFERROR($H51*44/12*参考2_エネ使用量経年!BD52*参考2_エネ使用量経年!$H52,"")</f>
        <v/>
      </c>
      <c r="BE51" s="954" t="str">
        <f ca="1">IFERROR($I51*44/12*参考2_エネ使用量経年!BE52*参考2_エネ使用量経年!$I52,"")</f>
        <v/>
      </c>
      <c r="BF51" s="954" t="str">
        <f ca="1">IFERROR($J51*44/12*参考2_エネ使用量経年!BF52*参考2_エネ使用量経年!$J52,"")</f>
        <v/>
      </c>
      <c r="BG51" s="954" t="str">
        <f ca="1">IFERROR($K51*44/12*参考2_エネ使用量経年!BG52*参考2_エネ使用量経年!$K52,"")</f>
        <v/>
      </c>
      <c r="BH51" s="954" t="str">
        <f ca="1">IFERROR($H51*44/12*参考2_エネ使用量経年!BH52*参考2_エネ使用量経年!$H52,"")</f>
        <v/>
      </c>
      <c r="BI51" s="954" t="str">
        <f ca="1">IFERROR($I51*44/12*参考2_エネ使用量経年!BI52*参考2_エネ使用量経年!$I52,"")</f>
        <v/>
      </c>
      <c r="BJ51" s="954" t="str">
        <f ca="1">IFERROR($J51*44/12*参考2_エネ使用量経年!BJ52*参考2_エネ使用量経年!$J52,"")</f>
        <v/>
      </c>
      <c r="BK51" s="954" t="str">
        <f ca="1">IFERROR($K51*44/12*参考2_エネ使用量経年!BK52*参考2_エネ使用量経年!$K52,"")</f>
        <v/>
      </c>
      <c r="BL51" s="954" t="str">
        <f ca="1">IFERROR($H51*44/12*参考2_エネ使用量経年!BL52*参考2_エネ使用量経年!$H52,"")</f>
        <v/>
      </c>
      <c r="BM51" s="954" t="str">
        <f ca="1">IFERROR($I51*44/12*参考2_エネ使用量経年!BM52*参考2_エネ使用量経年!$I52,"")</f>
        <v/>
      </c>
      <c r="BN51" s="954" t="str">
        <f ca="1">IFERROR($J51*44/12*参考2_エネ使用量経年!BN52*参考2_エネ使用量経年!$J52,"")</f>
        <v/>
      </c>
      <c r="BO51" s="954" t="str">
        <f ca="1">IFERROR($K51*44/12*参考2_エネ使用量経年!BO52*参考2_エネ使用量経年!$K52,"")</f>
        <v/>
      </c>
    </row>
    <row r="52" spans="1:68" ht="20.100000000000001" hidden="1" customHeight="1" outlineLevel="1">
      <c r="A52" s="952">
        <v>52</v>
      </c>
      <c r="B52" s="1870"/>
      <c r="C52" s="1872"/>
      <c r="D52" s="824" t="s">
        <v>4417</v>
      </c>
      <c r="E52" s="824"/>
      <c r="F52" s="825"/>
      <c r="G52" s="891" t="s">
        <v>4685</v>
      </c>
      <c r="H52" s="953">
        <f t="shared" ca="1" si="4"/>
        <v>0</v>
      </c>
      <c r="I52" s="953">
        <f t="shared" ca="1" si="5"/>
        <v>0</v>
      </c>
      <c r="J52" s="953">
        <f t="shared" ca="1" si="6"/>
        <v>0</v>
      </c>
      <c r="K52" s="953">
        <f t="shared" ca="1" si="7"/>
        <v>0</v>
      </c>
      <c r="L52" s="954">
        <f ca="1">IFERROR($H52*44/12*参考2_エネ使用量経年!L53*参考2_エネ使用量経年!$H53,"")</f>
        <v>0</v>
      </c>
      <c r="M52" s="954">
        <f ca="1">IFERROR($I52*44/12*参考2_エネ使用量経年!M53*参考2_エネ使用量経年!$I53,"")</f>
        <v>0</v>
      </c>
      <c r="N52" s="954">
        <f ca="1">IFERROR($J52*44/12*参考2_エネ使用量経年!N53*参考2_エネ使用量経年!$J53,"")</f>
        <v>0</v>
      </c>
      <c r="O52" s="954">
        <f ca="1">IFERROR($K52*44/12*参考2_エネ使用量経年!O53*参考2_エネ使用量経年!$K53,"")</f>
        <v>0</v>
      </c>
      <c r="P52" s="954">
        <f ca="1">IFERROR($H52*44/12*参考2_エネ使用量経年!P53*参考2_エネ使用量経年!$H53,"")</f>
        <v>0</v>
      </c>
      <c r="Q52" s="954">
        <f ca="1">IFERROR($I52*44/12*参考2_エネ使用量経年!Q53*参考2_エネ使用量経年!$I53,"")</f>
        <v>0</v>
      </c>
      <c r="R52" s="954">
        <f ca="1">IFERROR($J52*44/12*参考2_エネ使用量経年!R53*参考2_エネ使用量経年!$J53,"")</f>
        <v>0</v>
      </c>
      <c r="S52" s="954">
        <f ca="1">IFERROR($K52*44/12*参考2_エネ使用量経年!S53*参考2_エネ使用量経年!$K53,"")</f>
        <v>0</v>
      </c>
      <c r="T52" s="954">
        <f ca="1">IFERROR($H52*44/12*参考2_エネ使用量経年!T53*参考2_エネ使用量経年!$H53,"")</f>
        <v>0</v>
      </c>
      <c r="U52" s="954">
        <f ca="1">IFERROR($I52*44/12*参考2_エネ使用量経年!U53*参考2_エネ使用量経年!$I53,"")</f>
        <v>0</v>
      </c>
      <c r="V52" s="954">
        <f ca="1">IFERROR($J52*44/12*参考2_エネ使用量経年!V53*参考2_エネ使用量経年!$J53,"")</f>
        <v>0</v>
      </c>
      <c r="W52" s="954">
        <f ca="1">IFERROR($K52*44/12*参考2_エネ使用量経年!W53*参考2_エネ使用量経年!$K53,"")</f>
        <v>0</v>
      </c>
      <c r="X52" s="954">
        <f ca="1">IFERROR($H52*44/12*参考2_エネ使用量経年!X53*参考2_エネ使用量経年!$H53,"")</f>
        <v>0</v>
      </c>
      <c r="Y52" s="954">
        <f ca="1">IFERROR($I52*44/12*参考2_エネ使用量経年!Y53*参考2_エネ使用量経年!$I53,"")</f>
        <v>0</v>
      </c>
      <c r="Z52" s="954">
        <f ca="1">IFERROR($J52*44/12*参考2_エネ使用量経年!Z53*参考2_エネ使用量経年!$J53,"")</f>
        <v>0</v>
      </c>
      <c r="AA52" s="954">
        <f ca="1">IFERROR($K52*44/12*参考2_エネ使用量経年!AA53*参考2_エネ使用量経年!$K53,"")</f>
        <v>0</v>
      </c>
      <c r="AB52" s="954" t="str">
        <f ca="1">IFERROR($H52*44/12*参考2_エネ使用量経年!AB53*参考2_エネ使用量経年!$H53,"")</f>
        <v/>
      </c>
      <c r="AC52" s="954" t="str">
        <f ca="1">IFERROR($I52*44/12*参考2_エネ使用量経年!AC53*参考2_エネ使用量経年!$I53,"")</f>
        <v/>
      </c>
      <c r="AD52" s="954" t="str">
        <f ca="1">IFERROR($J52*44/12*参考2_エネ使用量経年!AD53*参考2_エネ使用量経年!$J53,"")</f>
        <v/>
      </c>
      <c r="AE52" s="954" t="str">
        <f ca="1">IFERROR($K52*44/12*参考2_エネ使用量経年!AE53*参考2_エネ使用量経年!$K53,"")</f>
        <v/>
      </c>
      <c r="AF52" s="954" t="str">
        <f ca="1">IFERROR($H52*44/12*参考2_エネ使用量経年!AF53*参考2_エネ使用量経年!$H53,"")</f>
        <v/>
      </c>
      <c r="AG52" s="954" t="str">
        <f ca="1">IFERROR($I52*44/12*参考2_エネ使用量経年!AG53*参考2_エネ使用量経年!$I53,"")</f>
        <v/>
      </c>
      <c r="AH52" s="954" t="str">
        <f ca="1">IFERROR($J52*44/12*参考2_エネ使用量経年!AH53*参考2_エネ使用量経年!$J53,"")</f>
        <v/>
      </c>
      <c r="AI52" s="954" t="str">
        <f ca="1">IFERROR($K52*44/12*参考2_エネ使用量経年!AI53*参考2_エネ使用量経年!$K53,"")</f>
        <v/>
      </c>
      <c r="AJ52" s="954" t="str">
        <f ca="1">IFERROR($H52*44/12*参考2_エネ使用量経年!AJ53*参考2_エネ使用量経年!$H53,"")</f>
        <v/>
      </c>
      <c r="AK52" s="954" t="str">
        <f ca="1">IFERROR($I52*44/12*参考2_エネ使用量経年!AK53*参考2_エネ使用量経年!$I53,"")</f>
        <v/>
      </c>
      <c r="AL52" s="954" t="str">
        <f ca="1">IFERROR($J52*44/12*参考2_エネ使用量経年!AL53*参考2_エネ使用量経年!$J53,"")</f>
        <v/>
      </c>
      <c r="AM52" s="954" t="str">
        <f ca="1">IFERROR($K52*44/12*参考2_エネ使用量経年!AM53*参考2_エネ使用量経年!$K53,"")</f>
        <v/>
      </c>
      <c r="AN52" s="954" t="str">
        <f ca="1">IFERROR($H52*44/12*参考2_エネ使用量経年!AN53*参考2_エネ使用量経年!$H53,"")</f>
        <v/>
      </c>
      <c r="AO52" s="954" t="str">
        <f ca="1">IFERROR($I52*44/12*参考2_エネ使用量経年!AO53*参考2_エネ使用量経年!$I53,"")</f>
        <v/>
      </c>
      <c r="AP52" s="954" t="str">
        <f ca="1">IFERROR($J52*44/12*参考2_エネ使用量経年!AP53*参考2_エネ使用量経年!$J53,"")</f>
        <v/>
      </c>
      <c r="AQ52" s="954" t="str">
        <f ca="1">IFERROR($K52*44/12*参考2_エネ使用量経年!AQ53*参考2_エネ使用量経年!$K53,"")</f>
        <v/>
      </c>
      <c r="AR52" s="954" t="str">
        <f ca="1">IFERROR($H52*44/12*参考2_エネ使用量経年!AR53*参考2_エネ使用量経年!$H53,"")</f>
        <v/>
      </c>
      <c r="AS52" s="954" t="str">
        <f ca="1">IFERROR($I52*44/12*参考2_エネ使用量経年!AS53*参考2_エネ使用量経年!$I53,"")</f>
        <v/>
      </c>
      <c r="AT52" s="954" t="str">
        <f ca="1">IFERROR($J52*44/12*参考2_エネ使用量経年!AT53*参考2_エネ使用量経年!$J53,"")</f>
        <v/>
      </c>
      <c r="AU52" s="954" t="str">
        <f ca="1">IFERROR($K52*44/12*参考2_エネ使用量経年!AU53*参考2_エネ使用量経年!$K53,"")</f>
        <v/>
      </c>
      <c r="AV52" s="954" t="str">
        <f ca="1">IFERROR($H52*44/12*参考2_エネ使用量経年!AV53*参考2_エネ使用量経年!$H53,"")</f>
        <v/>
      </c>
      <c r="AW52" s="954" t="str">
        <f ca="1">IFERROR($I52*44/12*参考2_エネ使用量経年!AW53*参考2_エネ使用量経年!$I53,"")</f>
        <v/>
      </c>
      <c r="AX52" s="954" t="str">
        <f ca="1">IFERROR($J52*44/12*参考2_エネ使用量経年!AX53*参考2_エネ使用量経年!$J53,"")</f>
        <v/>
      </c>
      <c r="AY52" s="954" t="str">
        <f ca="1">IFERROR($K52*44/12*参考2_エネ使用量経年!AY53*参考2_エネ使用量経年!$K53,"")</f>
        <v/>
      </c>
      <c r="AZ52" s="954" t="str">
        <f ca="1">IFERROR($H52*44/12*参考2_エネ使用量経年!AZ53*参考2_エネ使用量経年!$H53,"")</f>
        <v/>
      </c>
      <c r="BA52" s="954" t="str">
        <f ca="1">IFERROR($I52*44/12*参考2_エネ使用量経年!BA53*参考2_エネ使用量経年!$I53,"")</f>
        <v/>
      </c>
      <c r="BB52" s="954" t="str">
        <f ca="1">IFERROR($J52*44/12*参考2_エネ使用量経年!BB53*参考2_エネ使用量経年!$J53,"")</f>
        <v/>
      </c>
      <c r="BC52" s="954" t="str">
        <f ca="1">IFERROR($K52*44/12*参考2_エネ使用量経年!BC53*参考2_エネ使用量経年!$K53,"")</f>
        <v/>
      </c>
      <c r="BD52" s="954" t="str">
        <f ca="1">IFERROR($H52*44/12*参考2_エネ使用量経年!BD53*参考2_エネ使用量経年!$H53,"")</f>
        <v/>
      </c>
      <c r="BE52" s="954" t="str">
        <f ca="1">IFERROR($I52*44/12*参考2_エネ使用量経年!BE53*参考2_エネ使用量経年!$I53,"")</f>
        <v/>
      </c>
      <c r="BF52" s="954" t="str">
        <f ca="1">IFERROR($J52*44/12*参考2_エネ使用量経年!BF53*参考2_エネ使用量経年!$J53,"")</f>
        <v/>
      </c>
      <c r="BG52" s="954" t="str">
        <f ca="1">IFERROR($K52*44/12*参考2_エネ使用量経年!BG53*参考2_エネ使用量経年!$K53,"")</f>
        <v/>
      </c>
      <c r="BH52" s="954" t="str">
        <f ca="1">IFERROR($H52*44/12*参考2_エネ使用量経年!BH53*参考2_エネ使用量経年!$H53,"")</f>
        <v/>
      </c>
      <c r="BI52" s="954" t="str">
        <f ca="1">IFERROR($I52*44/12*参考2_エネ使用量経年!BI53*参考2_エネ使用量経年!$I53,"")</f>
        <v/>
      </c>
      <c r="BJ52" s="954" t="str">
        <f ca="1">IFERROR($J52*44/12*参考2_エネ使用量経年!BJ53*参考2_エネ使用量経年!$J53,"")</f>
        <v/>
      </c>
      <c r="BK52" s="954" t="str">
        <f ca="1">IFERROR($K52*44/12*参考2_エネ使用量経年!BK53*参考2_エネ使用量経年!$K53,"")</f>
        <v/>
      </c>
      <c r="BL52" s="954" t="str">
        <f ca="1">IFERROR($H52*44/12*参考2_エネ使用量経年!BL53*参考2_エネ使用量経年!$H53,"")</f>
        <v/>
      </c>
      <c r="BM52" s="954" t="str">
        <f ca="1">IFERROR($I52*44/12*参考2_エネ使用量経年!BM53*参考2_エネ使用量経年!$I53,"")</f>
        <v/>
      </c>
      <c r="BN52" s="954" t="str">
        <f ca="1">IFERROR($J52*44/12*参考2_エネ使用量経年!BN53*参考2_エネ使用量経年!$J53,"")</f>
        <v/>
      </c>
      <c r="BO52" s="954" t="str">
        <f ca="1">IFERROR($K52*44/12*参考2_エネ使用量経年!BO53*参考2_エネ使用量経年!$K53,"")</f>
        <v/>
      </c>
    </row>
    <row r="53" spans="1:68" ht="20.100000000000001" hidden="1" customHeight="1" outlineLevel="1">
      <c r="A53" s="952">
        <v>53</v>
      </c>
      <c r="B53" s="1870"/>
      <c r="C53" s="1872"/>
      <c r="D53" s="824" t="s">
        <v>4192</v>
      </c>
      <c r="E53" s="824"/>
      <c r="F53" s="825"/>
      <c r="G53" s="891" t="s">
        <v>4685</v>
      </c>
      <c r="H53" s="953">
        <f t="shared" ca="1" si="4"/>
        <v>0</v>
      </c>
      <c r="I53" s="953">
        <f t="shared" ca="1" si="5"/>
        <v>0</v>
      </c>
      <c r="J53" s="953">
        <f t="shared" ca="1" si="6"/>
        <v>0</v>
      </c>
      <c r="K53" s="953">
        <f t="shared" ca="1" si="7"/>
        <v>0</v>
      </c>
      <c r="L53" s="954">
        <f ca="1">IFERROR($H53*44/12*参考2_エネ使用量経年!L54*参考2_エネ使用量経年!$H54,"")</f>
        <v>0</v>
      </c>
      <c r="M53" s="954">
        <f ca="1">IFERROR($I53*44/12*参考2_エネ使用量経年!M54*参考2_エネ使用量経年!$I54,"")</f>
        <v>0</v>
      </c>
      <c r="N53" s="954">
        <f ca="1">IFERROR($J53*44/12*参考2_エネ使用量経年!N54*参考2_エネ使用量経年!$J54,"")</f>
        <v>0</v>
      </c>
      <c r="O53" s="954">
        <f ca="1">IFERROR($K53*44/12*参考2_エネ使用量経年!O54*参考2_エネ使用量経年!$K54,"")</f>
        <v>0</v>
      </c>
      <c r="P53" s="954">
        <f ca="1">IFERROR($H53*44/12*参考2_エネ使用量経年!P54*参考2_エネ使用量経年!$H54,"")</f>
        <v>0</v>
      </c>
      <c r="Q53" s="954">
        <f ca="1">IFERROR($I53*44/12*参考2_エネ使用量経年!Q54*参考2_エネ使用量経年!$I54,"")</f>
        <v>0</v>
      </c>
      <c r="R53" s="954">
        <f ca="1">IFERROR($J53*44/12*参考2_エネ使用量経年!R54*参考2_エネ使用量経年!$J54,"")</f>
        <v>0</v>
      </c>
      <c r="S53" s="954">
        <f ca="1">IFERROR($K53*44/12*参考2_エネ使用量経年!S54*参考2_エネ使用量経年!$K54,"")</f>
        <v>0</v>
      </c>
      <c r="T53" s="954">
        <f ca="1">IFERROR($H53*44/12*参考2_エネ使用量経年!T54*参考2_エネ使用量経年!$H54,"")</f>
        <v>0</v>
      </c>
      <c r="U53" s="954">
        <f ca="1">IFERROR($I53*44/12*参考2_エネ使用量経年!U54*参考2_エネ使用量経年!$I54,"")</f>
        <v>0</v>
      </c>
      <c r="V53" s="954">
        <f ca="1">IFERROR($J53*44/12*参考2_エネ使用量経年!V54*参考2_エネ使用量経年!$J54,"")</f>
        <v>0</v>
      </c>
      <c r="W53" s="954">
        <f ca="1">IFERROR($K53*44/12*参考2_エネ使用量経年!W54*参考2_エネ使用量経年!$K54,"")</f>
        <v>0</v>
      </c>
      <c r="X53" s="954">
        <f ca="1">IFERROR($H53*44/12*参考2_エネ使用量経年!X54*参考2_エネ使用量経年!$H54,"")</f>
        <v>0</v>
      </c>
      <c r="Y53" s="954">
        <f ca="1">IFERROR($I53*44/12*参考2_エネ使用量経年!Y54*参考2_エネ使用量経年!$I54,"")</f>
        <v>0</v>
      </c>
      <c r="Z53" s="954">
        <f ca="1">IFERROR($J53*44/12*参考2_エネ使用量経年!Z54*参考2_エネ使用量経年!$J54,"")</f>
        <v>0</v>
      </c>
      <c r="AA53" s="954">
        <f ca="1">IFERROR($K53*44/12*参考2_エネ使用量経年!AA54*参考2_エネ使用量経年!$K54,"")</f>
        <v>0</v>
      </c>
      <c r="AB53" s="954" t="str">
        <f ca="1">IFERROR($H53*44/12*参考2_エネ使用量経年!AB54*参考2_エネ使用量経年!$H54,"")</f>
        <v/>
      </c>
      <c r="AC53" s="954" t="str">
        <f ca="1">IFERROR($I53*44/12*参考2_エネ使用量経年!AC54*参考2_エネ使用量経年!$I54,"")</f>
        <v/>
      </c>
      <c r="AD53" s="954" t="str">
        <f ca="1">IFERROR($J53*44/12*参考2_エネ使用量経年!AD54*参考2_エネ使用量経年!$J54,"")</f>
        <v/>
      </c>
      <c r="AE53" s="954" t="str">
        <f ca="1">IFERROR($K53*44/12*参考2_エネ使用量経年!AE54*参考2_エネ使用量経年!$K54,"")</f>
        <v/>
      </c>
      <c r="AF53" s="954" t="str">
        <f ca="1">IFERROR($H53*44/12*参考2_エネ使用量経年!AF54*参考2_エネ使用量経年!$H54,"")</f>
        <v/>
      </c>
      <c r="AG53" s="954" t="str">
        <f ca="1">IFERROR($I53*44/12*参考2_エネ使用量経年!AG54*参考2_エネ使用量経年!$I54,"")</f>
        <v/>
      </c>
      <c r="AH53" s="954" t="str">
        <f ca="1">IFERROR($J53*44/12*参考2_エネ使用量経年!AH54*参考2_エネ使用量経年!$J54,"")</f>
        <v/>
      </c>
      <c r="AI53" s="954" t="str">
        <f ca="1">IFERROR($K53*44/12*参考2_エネ使用量経年!AI54*参考2_エネ使用量経年!$K54,"")</f>
        <v/>
      </c>
      <c r="AJ53" s="954" t="str">
        <f ca="1">IFERROR($H53*44/12*参考2_エネ使用量経年!AJ54*参考2_エネ使用量経年!$H54,"")</f>
        <v/>
      </c>
      <c r="AK53" s="954" t="str">
        <f ca="1">IFERROR($I53*44/12*参考2_エネ使用量経年!AK54*参考2_エネ使用量経年!$I54,"")</f>
        <v/>
      </c>
      <c r="AL53" s="954" t="str">
        <f ca="1">IFERROR($J53*44/12*参考2_エネ使用量経年!AL54*参考2_エネ使用量経年!$J54,"")</f>
        <v/>
      </c>
      <c r="AM53" s="954" t="str">
        <f ca="1">IFERROR($K53*44/12*参考2_エネ使用量経年!AM54*参考2_エネ使用量経年!$K54,"")</f>
        <v/>
      </c>
      <c r="AN53" s="954" t="str">
        <f ca="1">IFERROR($H53*44/12*参考2_エネ使用量経年!AN54*参考2_エネ使用量経年!$H54,"")</f>
        <v/>
      </c>
      <c r="AO53" s="954" t="str">
        <f ca="1">IFERROR($I53*44/12*参考2_エネ使用量経年!AO54*参考2_エネ使用量経年!$I54,"")</f>
        <v/>
      </c>
      <c r="AP53" s="954" t="str">
        <f ca="1">IFERROR($J53*44/12*参考2_エネ使用量経年!AP54*参考2_エネ使用量経年!$J54,"")</f>
        <v/>
      </c>
      <c r="AQ53" s="954" t="str">
        <f ca="1">IFERROR($K53*44/12*参考2_エネ使用量経年!AQ54*参考2_エネ使用量経年!$K54,"")</f>
        <v/>
      </c>
      <c r="AR53" s="954" t="str">
        <f ca="1">IFERROR($H53*44/12*参考2_エネ使用量経年!AR54*参考2_エネ使用量経年!$H54,"")</f>
        <v/>
      </c>
      <c r="AS53" s="954" t="str">
        <f ca="1">IFERROR($I53*44/12*参考2_エネ使用量経年!AS54*参考2_エネ使用量経年!$I54,"")</f>
        <v/>
      </c>
      <c r="AT53" s="954" t="str">
        <f ca="1">IFERROR($J53*44/12*参考2_エネ使用量経年!AT54*参考2_エネ使用量経年!$J54,"")</f>
        <v/>
      </c>
      <c r="AU53" s="954" t="str">
        <f ca="1">IFERROR($K53*44/12*参考2_エネ使用量経年!AU54*参考2_エネ使用量経年!$K54,"")</f>
        <v/>
      </c>
      <c r="AV53" s="954" t="str">
        <f ca="1">IFERROR($H53*44/12*参考2_エネ使用量経年!AV54*参考2_エネ使用量経年!$H54,"")</f>
        <v/>
      </c>
      <c r="AW53" s="954" t="str">
        <f ca="1">IFERROR($I53*44/12*参考2_エネ使用量経年!AW54*参考2_エネ使用量経年!$I54,"")</f>
        <v/>
      </c>
      <c r="AX53" s="954" t="str">
        <f ca="1">IFERROR($J53*44/12*参考2_エネ使用量経年!AX54*参考2_エネ使用量経年!$J54,"")</f>
        <v/>
      </c>
      <c r="AY53" s="954" t="str">
        <f ca="1">IFERROR($K53*44/12*参考2_エネ使用量経年!AY54*参考2_エネ使用量経年!$K54,"")</f>
        <v/>
      </c>
      <c r="AZ53" s="954" t="str">
        <f ca="1">IFERROR($H53*44/12*参考2_エネ使用量経年!AZ54*参考2_エネ使用量経年!$H54,"")</f>
        <v/>
      </c>
      <c r="BA53" s="954" t="str">
        <f ca="1">IFERROR($I53*44/12*参考2_エネ使用量経年!BA54*参考2_エネ使用量経年!$I54,"")</f>
        <v/>
      </c>
      <c r="BB53" s="954" t="str">
        <f ca="1">IFERROR($J53*44/12*参考2_エネ使用量経年!BB54*参考2_エネ使用量経年!$J54,"")</f>
        <v/>
      </c>
      <c r="BC53" s="954" t="str">
        <f ca="1">IFERROR($K53*44/12*参考2_エネ使用量経年!BC54*参考2_エネ使用量経年!$K54,"")</f>
        <v/>
      </c>
      <c r="BD53" s="954" t="str">
        <f ca="1">IFERROR($H53*44/12*参考2_エネ使用量経年!BD54*参考2_エネ使用量経年!$H54,"")</f>
        <v/>
      </c>
      <c r="BE53" s="954" t="str">
        <f ca="1">IFERROR($I53*44/12*参考2_エネ使用量経年!BE54*参考2_エネ使用量経年!$I54,"")</f>
        <v/>
      </c>
      <c r="BF53" s="954" t="str">
        <f ca="1">IFERROR($J53*44/12*参考2_エネ使用量経年!BF54*参考2_エネ使用量経年!$J54,"")</f>
        <v/>
      </c>
      <c r="BG53" s="954" t="str">
        <f ca="1">IFERROR($K53*44/12*参考2_エネ使用量経年!BG54*参考2_エネ使用量経年!$K54,"")</f>
        <v/>
      </c>
      <c r="BH53" s="954" t="str">
        <f ca="1">IFERROR($H53*44/12*参考2_エネ使用量経年!BH54*参考2_エネ使用量経年!$H54,"")</f>
        <v/>
      </c>
      <c r="BI53" s="954" t="str">
        <f ca="1">IFERROR($I53*44/12*参考2_エネ使用量経年!BI54*参考2_エネ使用量経年!$I54,"")</f>
        <v/>
      </c>
      <c r="BJ53" s="954" t="str">
        <f ca="1">IFERROR($J53*44/12*参考2_エネ使用量経年!BJ54*参考2_エネ使用量経年!$J54,"")</f>
        <v/>
      </c>
      <c r="BK53" s="954" t="str">
        <f ca="1">IFERROR($K53*44/12*参考2_エネ使用量経年!BK54*参考2_エネ使用量経年!$K54,"")</f>
        <v/>
      </c>
      <c r="BL53" s="954" t="str">
        <f ca="1">IFERROR($H53*44/12*参考2_エネ使用量経年!BL54*参考2_エネ使用量経年!$H54,"")</f>
        <v/>
      </c>
      <c r="BM53" s="954" t="str">
        <f ca="1">IFERROR($I53*44/12*参考2_エネ使用量経年!BM54*参考2_エネ使用量経年!$I54,"")</f>
        <v/>
      </c>
      <c r="BN53" s="954" t="str">
        <f ca="1">IFERROR($J53*44/12*参考2_エネ使用量経年!BN54*参考2_エネ使用量経年!$J54,"")</f>
        <v/>
      </c>
      <c r="BO53" s="954" t="str">
        <f ca="1">IFERROR($K53*44/12*参考2_エネ使用量経年!BO54*参考2_エネ使用量経年!$K54,"")</f>
        <v/>
      </c>
    </row>
    <row r="54" spans="1:68" ht="20.100000000000001" hidden="1" customHeight="1" outlineLevel="1">
      <c r="A54" s="952">
        <v>54</v>
      </c>
      <c r="B54" s="1870"/>
      <c r="C54" s="1872"/>
      <c r="D54" s="824" t="s">
        <v>4418</v>
      </c>
      <c r="E54" s="831" t="str">
        <f ca="1">参考2_エネ使用量経年!E55</f>
        <v/>
      </c>
      <c r="F54" s="833"/>
      <c r="G54" s="891" t="s">
        <v>4685</v>
      </c>
      <c r="H54" s="953">
        <f t="shared" ca="1" si="4"/>
        <v>0</v>
      </c>
      <c r="I54" s="953">
        <f t="shared" ca="1" si="5"/>
        <v>0</v>
      </c>
      <c r="J54" s="953">
        <f t="shared" ca="1" si="6"/>
        <v>0</v>
      </c>
      <c r="K54" s="953">
        <f t="shared" ca="1" si="7"/>
        <v>0</v>
      </c>
      <c r="L54" s="954">
        <f ca="1">IFERROR($H54*44/12*参考2_エネ使用量経年!L55*参考2_エネ使用量経年!$H55,"")</f>
        <v>0</v>
      </c>
      <c r="M54" s="954">
        <f ca="1">IFERROR($I54*44/12*参考2_エネ使用量経年!M55*参考2_エネ使用量経年!$I55,"")</f>
        <v>0</v>
      </c>
      <c r="N54" s="954">
        <f ca="1">IFERROR($J54*44/12*参考2_エネ使用量経年!N55*参考2_エネ使用量経年!$J55,"")</f>
        <v>0</v>
      </c>
      <c r="O54" s="954">
        <f ca="1">IFERROR($K54*44/12*参考2_エネ使用量経年!O55*参考2_エネ使用量経年!$K55,"")</f>
        <v>0</v>
      </c>
      <c r="P54" s="954">
        <f ca="1">IFERROR($H54*44/12*参考2_エネ使用量経年!P55*参考2_エネ使用量経年!$H55,"")</f>
        <v>0</v>
      </c>
      <c r="Q54" s="954">
        <f ca="1">IFERROR($I54*44/12*参考2_エネ使用量経年!Q55*参考2_エネ使用量経年!$I55,"")</f>
        <v>0</v>
      </c>
      <c r="R54" s="954">
        <f ca="1">IFERROR($J54*44/12*参考2_エネ使用量経年!R55*参考2_エネ使用量経年!$J55,"")</f>
        <v>0</v>
      </c>
      <c r="S54" s="954">
        <f ca="1">IFERROR($K54*44/12*参考2_エネ使用量経年!S55*参考2_エネ使用量経年!$K55,"")</f>
        <v>0</v>
      </c>
      <c r="T54" s="954">
        <f ca="1">IFERROR($H54*44/12*参考2_エネ使用量経年!T55*参考2_エネ使用量経年!$H55,"")</f>
        <v>0</v>
      </c>
      <c r="U54" s="954">
        <f ca="1">IFERROR($I54*44/12*参考2_エネ使用量経年!U55*参考2_エネ使用量経年!$I55,"")</f>
        <v>0</v>
      </c>
      <c r="V54" s="954">
        <f ca="1">IFERROR($J54*44/12*参考2_エネ使用量経年!V55*参考2_エネ使用量経年!$J55,"")</f>
        <v>0</v>
      </c>
      <c r="W54" s="954">
        <f ca="1">IFERROR($K54*44/12*参考2_エネ使用量経年!W55*参考2_エネ使用量経年!$K55,"")</f>
        <v>0</v>
      </c>
      <c r="X54" s="954">
        <f ca="1">IFERROR($H54*44/12*参考2_エネ使用量経年!X55*参考2_エネ使用量経年!$H55,"")</f>
        <v>0</v>
      </c>
      <c r="Y54" s="954">
        <f ca="1">IFERROR($I54*44/12*参考2_エネ使用量経年!Y55*参考2_エネ使用量経年!$I55,"")</f>
        <v>0</v>
      </c>
      <c r="Z54" s="954">
        <f ca="1">IFERROR($J54*44/12*参考2_エネ使用量経年!Z55*参考2_エネ使用量経年!$J55,"")</f>
        <v>0</v>
      </c>
      <c r="AA54" s="954">
        <f ca="1">IFERROR($K54*44/12*参考2_エネ使用量経年!AA55*参考2_エネ使用量経年!$K55,"")</f>
        <v>0</v>
      </c>
      <c r="AB54" s="954" t="str">
        <f ca="1">IFERROR($H54*44/12*参考2_エネ使用量経年!AB55*参考2_エネ使用量経年!$H55,"")</f>
        <v/>
      </c>
      <c r="AC54" s="954" t="str">
        <f ca="1">IFERROR($I54*44/12*参考2_エネ使用量経年!AC55*参考2_エネ使用量経年!$I55,"")</f>
        <v/>
      </c>
      <c r="AD54" s="954" t="str">
        <f ca="1">IFERROR($J54*44/12*参考2_エネ使用量経年!AD55*参考2_エネ使用量経年!$J55,"")</f>
        <v/>
      </c>
      <c r="AE54" s="954" t="str">
        <f ca="1">IFERROR($K54*44/12*参考2_エネ使用量経年!AE55*参考2_エネ使用量経年!$K55,"")</f>
        <v/>
      </c>
      <c r="AF54" s="954" t="str">
        <f ca="1">IFERROR($H54*44/12*参考2_エネ使用量経年!AF55*参考2_エネ使用量経年!$H55,"")</f>
        <v/>
      </c>
      <c r="AG54" s="954" t="str">
        <f ca="1">IFERROR($I54*44/12*参考2_エネ使用量経年!AG55*参考2_エネ使用量経年!$I55,"")</f>
        <v/>
      </c>
      <c r="AH54" s="954" t="str">
        <f ca="1">IFERROR($J54*44/12*参考2_エネ使用量経年!AH55*参考2_エネ使用量経年!$J55,"")</f>
        <v/>
      </c>
      <c r="AI54" s="954" t="str">
        <f ca="1">IFERROR($K54*44/12*参考2_エネ使用量経年!AI55*参考2_エネ使用量経年!$K55,"")</f>
        <v/>
      </c>
      <c r="AJ54" s="954" t="str">
        <f ca="1">IFERROR($H54*44/12*参考2_エネ使用量経年!AJ55*参考2_エネ使用量経年!$H55,"")</f>
        <v/>
      </c>
      <c r="AK54" s="954" t="str">
        <f ca="1">IFERROR($I54*44/12*参考2_エネ使用量経年!AK55*参考2_エネ使用量経年!$I55,"")</f>
        <v/>
      </c>
      <c r="AL54" s="954" t="str">
        <f ca="1">IFERROR($J54*44/12*参考2_エネ使用量経年!AL55*参考2_エネ使用量経年!$J55,"")</f>
        <v/>
      </c>
      <c r="AM54" s="954" t="str">
        <f ca="1">IFERROR($K54*44/12*参考2_エネ使用量経年!AM55*参考2_エネ使用量経年!$K55,"")</f>
        <v/>
      </c>
      <c r="AN54" s="954" t="str">
        <f ca="1">IFERROR($H54*44/12*参考2_エネ使用量経年!AN55*参考2_エネ使用量経年!$H55,"")</f>
        <v/>
      </c>
      <c r="AO54" s="954" t="str">
        <f ca="1">IFERROR($I54*44/12*参考2_エネ使用量経年!AO55*参考2_エネ使用量経年!$I55,"")</f>
        <v/>
      </c>
      <c r="AP54" s="954" t="str">
        <f ca="1">IFERROR($J54*44/12*参考2_エネ使用量経年!AP55*参考2_エネ使用量経年!$J55,"")</f>
        <v/>
      </c>
      <c r="AQ54" s="954" t="str">
        <f ca="1">IFERROR($K54*44/12*参考2_エネ使用量経年!AQ55*参考2_エネ使用量経年!$K55,"")</f>
        <v/>
      </c>
      <c r="AR54" s="954" t="str">
        <f ca="1">IFERROR($H54*44/12*参考2_エネ使用量経年!AR55*参考2_エネ使用量経年!$H55,"")</f>
        <v/>
      </c>
      <c r="AS54" s="954" t="str">
        <f ca="1">IFERROR($I54*44/12*参考2_エネ使用量経年!AS55*参考2_エネ使用量経年!$I55,"")</f>
        <v/>
      </c>
      <c r="AT54" s="954" t="str">
        <f ca="1">IFERROR($J54*44/12*参考2_エネ使用量経年!AT55*参考2_エネ使用量経年!$J55,"")</f>
        <v/>
      </c>
      <c r="AU54" s="954" t="str">
        <f ca="1">IFERROR($K54*44/12*参考2_エネ使用量経年!AU55*参考2_エネ使用量経年!$K55,"")</f>
        <v/>
      </c>
      <c r="AV54" s="954" t="str">
        <f ca="1">IFERROR($H54*44/12*参考2_エネ使用量経年!AV55*参考2_エネ使用量経年!$H55,"")</f>
        <v/>
      </c>
      <c r="AW54" s="954" t="str">
        <f ca="1">IFERROR($I54*44/12*参考2_エネ使用量経年!AW55*参考2_エネ使用量経年!$I55,"")</f>
        <v/>
      </c>
      <c r="AX54" s="954" t="str">
        <f ca="1">IFERROR($J54*44/12*参考2_エネ使用量経年!AX55*参考2_エネ使用量経年!$J55,"")</f>
        <v/>
      </c>
      <c r="AY54" s="954" t="str">
        <f ca="1">IFERROR($K54*44/12*参考2_エネ使用量経年!AY55*参考2_エネ使用量経年!$K55,"")</f>
        <v/>
      </c>
      <c r="AZ54" s="954" t="str">
        <f ca="1">IFERROR($H54*44/12*参考2_エネ使用量経年!AZ55*参考2_エネ使用量経年!$H55,"")</f>
        <v/>
      </c>
      <c r="BA54" s="954" t="str">
        <f ca="1">IFERROR($I54*44/12*参考2_エネ使用量経年!BA55*参考2_エネ使用量経年!$I55,"")</f>
        <v/>
      </c>
      <c r="BB54" s="954" t="str">
        <f ca="1">IFERROR($J54*44/12*参考2_エネ使用量経年!BB55*参考2_エネ使用量経年!$J55,"")</f>
        <v/>
      </c>
      <c r="BC54" s="954" t="str">
        <f ca="1">IFERROR($K54*44/12*参考2_エネ使用量経年!BC55*参考2_エネ使用量経年!$K55,"")</f>
        <v/>
      </c>
      <c r="BD54" s="954" t="str">
        <f ca="1">IFERROR($H54*44/12*参考2_エネ使用量経年!BD55*参考2_エネ使用量経年!$H55,"")</f>
        <v/>
      </c>
      <c r="BE54" s="954" t="str">
        <f ca="1">IFERROR($I54*44/12*参考2_エネ使用量経年!BE55*参考2_エネ使用量経年!$I55,"")</f>
        <v/>
      </c>
      <c r="BF54" s="954" t="str">
        <f ca="1">IFERROR($J54*44/12*参考2_エネ使用量経年!BF55*参考2_エネ使用量経年!$J55,"")</f>
        <v/>
      </c>
      <c r="BG54" s="954" t="str">
        <f ca="1">IFERROR($K54*44/12*参考2_エネ使用量経年!BG55*参考2_エネ使用量経年!$K55,"")</f>
        <v/>
      </c>
      <c r="BH54" s="954" t="str">
        <f ca="1">IFERROR($H54*44/12*参考2_エネ使用量経年!BH55*参考2_エネ使用量経年!$H55,"")</f>
        <v/>
      </c>
      <c r="BI54" s="954" t="str">
        <f ca="1">IFERROR($I54*44/12*参考2_エネ使用量経年!BI55*参考2_エネ使用量経年!$I55,"")</f>
        <v/>
      </c>
      <c r="BJ54" s="954" t="str">
        <f ca="1">IFERROR($J54*44/12*参考2_エネ使用量経年!BJ55*参考2_エネ使用量経年!$J55,"")</f>
        <v/>
      </c>
      <c r="BK54" s="954" t="str">
        <f ca="1">IFERROR($K54*44/12*参考2_エネ使用量経年!BK55*参考2_エネ使用量経年!$K55,"")</f>
        <v/>
      </c>
      <c r="BL54" s="954" t="str">
        <f ca="1">IFERROR($H54*44/12*参考2_エネ使用量経年!BL55*参考2_エネ使用量経年!$H55,"")</f>
        <v/>
      </c>
      <c r="BM54" s="954" t="str">
        <f ca="1">IFERROR($I54*44/12*参考2_エネ使用量経年!BM55*参考2_エネ使用量経年!$I55,"")</f>
        <v/>
      </c>
      <c r="BN54" s="954" t="str">
        <f ca="1">IFERROR($J54*44/12*参考2_エネ使用量経年!BN55*参考2_エネ使用量経年!$J55,"")</f>
        <v/>
      </c>
      <c r="BO54" s="954" t="str">
        <f ca="1">IFERROR($K54*44/12*参考2_エネ使用量経年!BO55*参考2_エネ使用量経年!$K55,"")</f>
        <v/>
      </c>
    </row>
    <row r="55" spans="1:68" ht="20.100000000000001" hidden="1" customHeight="1" outlineLevel="1">
      <c r="A55" s="952">
        <v>55</v>
      </c>
      <c r="B55" s="1870"/>
      <c r="C55" s="1872"/>
      <c r="D55" s="824" t="s">
        <v>4419</v>
      </c>
      <c r="E55" s="831" t="str">
        <f ca="1">参考2_エネ使用量経年!E56</f>
        <v/>
      </c>
      <c r="F55" s="833"/>
      <c r="G55" s="891" t="s">
        <v>4685</v>
      </c>
      <c r="H55" s="953">
        <f t="shared" ca="1" si="4"/>
        <v>0</v>
      </c>
      <c r="I55" s="953">
        <f t="shared" ca="1" si="5"/>
        <v>0</v>
      </c>
      <c r="J55" s="953">
        <f t="shared" ca="1" si="6"/>
        <v>0</v>
      </c>
      <c r="K55" s="953">
        <f t="shared" ca="1" si="7"/>
        <v>0</v>
      </c>
      <c r="L55" s="954">
        <f ca="1">IFERROR($H55*44/12*参考2_エネ使用量経年!L56*参考2_エネ使用量経年!$H56,"")</f>
        <v>0</v>
      </c>
      <c r="M55" s="954">
        <f ca="1">IFERROR($I55*44/12*参考2_エネ使用量経年!M56*参考2_エネ使用量経年!$I56,"")</f>
        <v>0</v>
      </c>
      <c r="N55" s="954">
        <f ca="1">IFERROR($J55*44/12*参考2_エネ使用量経年!N56*参考2_エネ使用量経年!$J56,"")</f>
        <v>0</v>
      </c>
      <c r="O55" s="954">
        <f ca="1">IFERROR($K55*44/12*参考2_エネ使用量経年!O56*参考2_エネ使用量経年!$K56,"")</f>
        <v>0</v>
      </c>
      <c r="P55" s="954">
        <f ca="1">IFERROR($H55*44/12*参考2_エネ使用量経年!P56*参考2_エネ使用量経年!$H56,"")</f>
        <v>0</v>
      </c>
      <c r="Q55" s="954">
        <f ca="1">IFERROR($I55*44/12*参考2_エネ使用量経年!Q56*参考2_エネ使用量経年!$I56,"")</f>
        <v>0</v>
      </c>
      <c r="R55" s="954">
        <f ca="1">IFERROR($J55*44/12*参考2_エネ使用量経年!R56*参考2_エネ使用量経年!$J56,"")</f>
        <v>0</v>
      </c>
      <c r="S55" s="954">
        <f ca="1">IFERROR($K55*44/12*参考2_エネ使用量経年!S56*参考2_エネ使用量経年!$K56,"")</f>
        <v>0</v>
      </c>
      <c r="T55" s="954">
        <f ca="1">IFERROR($H55*44/12*参考2_エネ使用量経年!T56*参考2_エネ使用量経年!$H56,"")</f>
        <v>0</v>
      </c>
      <c r="U55" s="954">
        <f ca="1">IFERROR($I55*44/12*参考2_エネ使用量経年!U56*参考2_エネ使用量経年!$I56,"")</f>
        <v>0</v>
      </c>
      <c r="V55" s="954">
        <f ca="1">IFERROR($J55*44/12*参考2_エネ使用量経年!V56*参考2_エネ使用量経年!$J56,"")</f>
        <v>0</v>
      </c>
      <c r="W55" s="954">
        <f ca="1">IFERROR($K55*44/12*参考2_エネ使用量経年!W56*参考2_エネ使用量経年!$K56,"")</f>
        <v>0</v>
      </c>
      <c r="X55" s="954">
        <f ca="1">IFERROR($H55*44/12*参考2_エネ使用量経年!X56*参考2_エネ使用量経年!$H56,"")</f>
        <v>0</v>
      </c>
      <c r="Y55" s="954">
        <f ca="1">IFERROR($I55*44/12*参考2_エネ使用量経年!Y56*参考2_エネ使用量経年!$I56,"")</f>
        <v>0</v>
      </c>
      <c r="Z55" s="954">
        <f ca="1">IFERROR($J55*44/12*参考2_エネ使用量経年!Z56*参考2_エネ使用量経年!$J56,"")</f>
        <v>0</v>
      </c>
      <c r="AA55" s="954">
        <f ca="1">IFERROR($K55*44/12*参考2_エネ使用量経年!AA56*参考2_エネ使用量経年!$K56,"")</f>
        <v>0</v>
      </c>
      <c r="AB55" s="954" t="str">
        <f ca="1">IFERROR($H55*44/12*参考2_エネ使用量経年!AB56*参考2_エネ使用量経年!$H56,"")</f>
        <v/>
      </c>
      <c r="AC55" s="954" t="str">
        <f ca="1">IFERROR($I55*44/12*参考2_エネ使用量経年!AC56*参考2_エネ使用量経年!$I56,"")</f>
        <v/>
      </c>
      <c r="AD55" s="954" t="str">
        <f ca="1">IFERROR($J55*44/12*参考2_エネ使用量経年!AD56*参考2_エネ使用量経年!$J56,"")</f>
        <v/>
      </c>
      <c r="AE55" s="954" t="str">
        <f ca="1">IFERROR($K55*44/12*参考2_エネ使用量経年!AE56*参考2_エネ使用量経年!$K56,"")</f>
        <v/>
      </c>
      <c r="AF55" s="954" t="str">
        <f ca="1">IFERROR($H55*44/12*参考2_エネ使用量経年!AF56*参考2_エネ使用量経年!$H56,"")</f>
        <v/>
      </c>
      <c r="AG55" s="954" t="str">
        <f ca="1">IFERROR($I55*44/12*参考2_エネ使用量経年!AG56*参考2_エネ使用量経年!$I56,"")</f>
        <v/>
      </c>
      <c r="AH55" s="954" t="str">
        <f ca="1">IFERROR($J55*44/12*参考2_エネ使用量経年!AH56*参考2_エネ使用量経年!$J56,"")</f>
        <v/>
      </c>
      <c r="AI55" s="954" t="str">
        <f ca="1">IFERROR($K55*44/12*参考2_エネ使用量経年!AI56*参考2_エネ使用量経年!$K56,"")</f>
        <v/>
      </c>
      <c r="AJ55" s="954" t="str">
        <f ca="1">IFERROR($H55*44/12*参考2_エネ使用量経年!AJ56*参考2_エネ使用量経年!$H56,"")</f>
        <v/>
      </c>
      <c r="AK55" s="954" t="str">
        <f ca="1">IFERROR($I55*44/12*参考2_エネ使用量経年!AK56*参考2_エネ使用量経年!$I56,"")</f>
        <v/>
      </c>
      <c r="AL55" s="954" t="str">
        <f ca="1">IFERROR($J55*44/12*参考2_エネ使用量経年!AL56*参考2_エネ使用量経年!$J56,"")</f>
        <v/>
      </c>
      <c r="AM55" s="954" t="str">
        <f ca="1">IFERROR($K55*44/12*参考2_エネ使用量経年!AM56*参考2_エネ使用量経年!$K56,"")</f>
        <v/>
      </c>
      <c r="AN55" s="954" t="str">
        <f ca="1">IFERROR($H55*44/12*参考2_エネ使用量経年!AN56*参考2_エネ使用量経年!$H56,"")</f>
        <v/>
      </c>
      <c r="AO55" s="954" t="str">
        <f ca="1">IFERROR($I55*44/12*参考2_エネ使用量経年!AO56*参考2_エネ使用量経年!$I56,"")</f>
        <v/>
      </c>
      <c r="AP55" s="954" t="str">
        <f ca="1">IFERROR($J55*44/12*参考2_エネ使用量経年!AP56*参考2_エネ使用量経年!$J56,"")</f>
        <v/>
      </c>
      <c r="AQ55" s="954" t="str">
        <f ca="1">IFERROR($K55*44/12*参考2_エネ使用量経年!AQ56*参考2_エネ使用量経年!$K56,"")</f>
        <v/>
      </c>
      <c r="AR55" s="954" t="str">
        <f ca="1">IFERROR($H55*44/12*参考2_エネ使用量経年!AR56*参考2_エネ使用量経年!$H56,"")</f>
        <v/>
      </c>
      <c r="AS55" s="954" t="str">
        <f ca="1">IFERROR($I55*44/12*参考2_エネ使用量経年!AS56*参考2_エネ使用量経年!$I56,"")</f>
        <v/>
      </c>
      <c r="AT55" s="954" t="str">
        <f ca="1">IFERROR($J55*44/12*参考2_エネ使用量経年!AT56*参考2_エネ使用量経年!$J56,"")</f>
        <v/>
      </c>
      <c r="AU55" s="954" t="str">
        <f ca="1">IFERROR($K55*44/12*参考2_エネ使用量経年!AU56*参考2_エネ使用量経年!$K56,"")</f>
        <v/>
      </c>
      <c r="AV55" s="954" t="str">
        <f ca="1">IFERROR($H55*44/12*参考2_エネ使用量経年!AV56*参考2_エネ使用量経年!$H56,"")</f>
        <v/>
      </c>
      <c r="AW55" s="954" t="str">
        <f ca="1">IFERROR($I55*44/12*参考2_エネ使用量経年!AW56*参考2_エネ使用量経年!$I56,"")</f>
        <v/>
      </c>
      <c r="AX55" s="954" t="str">
        <f ca="1">IFERROR($J55*44/12*参考2_エネ使用量経年!AX56*参考2_エネ使用量経年!$J56,"")</f>
        <v/>
      </c>
      <c r="AY55" s="954" t="str">
        <f ca="1">IFERROR($K55*44/12*参考2_エネ使用量経年!AY56*参考2_エネ使用量経年!$K56,"")</f>
        <v/>
      </c>
      <c r="AZ55" s="954" t="str">
        <f ca="1">IFERROR($H55*44/12*参考2_エネ使用量経年!AZ56*参考2_エネ使用量経年!$H56,"")</f>
        <v/>
      </c>
      <c r="BA55" s="954" t="str">
        <f ca="1">IFERROR($I55*44/12*参考2_エネ使用量経年!BA56*参考2_エネ使用量経年!$I56,"")</f>
        <v/>
      </c>
      <c r="BB55" s="954" t="str">
        <f ca="1">IFERROR($J55*44/12*参考2_エネ使用量経年!BB56*参考2_エネ使用量経年!$J56,"")</f>
        <v/>
      </c>
      <c r="BC55" s="954" t="str">
        <f ca="1">IFERROR($K55*44/12*参考2_エネ使用量経年!BC56*参考2_エネ使用量経年!$K56,"")</f>
        <v/>
      </c>
      <c r="BD55" s="954" t="str">
        <f ca="1">IFERROR($H55*44/12*参考2_エネ使用量経年!BD56*参考2_エネ使用量経年!$H56,"")</f>
        <v/>
      </c>
      <c r="BE55" s="954" t="str">
        <f ca="1">IFERROR($I55*44/12*参考2_エネ使用量経年!BE56*参考2_エネ使用量経年!$I56,"")</f>
        <v/>
      </c>
      <c r="BF55" s="954" t="str">
        <f ca="1">IFERROR($J55*44/12*参考2_エネ使用量経年!BF56*参考2_エネ使用量経年!$J56,"")</f>
        <v/>
      </c>
      <c r="BG55" s="954" t="str">
        <f ca="1">IFERROR($K55*44/12*参考2_エネ使用量経年!BG56*参考2_エネ使用量経年!$K56,"")</f>
        <v/>
      </c>
      <c r="BH55" s="954" t="str">
        <f ca="1">IFERROR($H55*44/12*参考2_エネ使用量経年!BH56*参考2_エネ使用量経年!$H56,"")</f>
        <v/>
      </c>
      <c r="BI55" s="954" t="str">
        <f ca="1">IFERROR($I55*44/12*参考2_エネ使用量経年!BI56*参考2_エネ使用量経年!$I56,"")</f>
        <v/>
      </c>
      <c r="BJ55" s="954" t="str">
        <f ca="1">IFERROR($J55*44/12*参考2_エネ使用量経年!BJ56*参考2_エネ使用量経年!$J56,"")</f>
        <v/>
      </c>
      <c r="BK55" s="954" t="str">
        <f ca="1">IFERROR($K55*44/12*参考2_エネ使用量経年!BK56*参考2_エネ使用量経年!$K56,"")</f>
        <v/>
      </c>
      <c r="BL55" s="954" t="str">
        <f ca="1">IFERROR($H55*44/12*参考2_エネ使用量経年!BL56*参考2_エネ使用量経年!$H56,"")</f>
        <v/>
      </c>
      <c r="BM55" s="954" t="str">
        <f ca="1">IFERROR($I55*44/12*参考2_エネ使用量経年!BM56*参考2_エネ使用量経年!$I56,"")</f>
        <v/>
      </c>
      <c r="BN55" s="954" t="str">
        <f ca="1">IFERROR($J55*44/12*参考2_エネ使用量経年!BN56*参考2_エネ使用量経年!$J56,"")</f>
        <v/>
      </c>
      <c r="BO55" s="954" t="str">
        <f ca="1">IFERROR($K55*44/12*参考2_エネ使用量経年!BO56*参考2_エネ使用量経年!$K56,"")</f>
        <v/>
      </c>
      <c r="BP55" s="841"/>
    </row>
    <row r="56" spans="1:68" ht="20.100000000000001" hidden="1" customHeight="1" outlineLevel="1">
      <c r="A56" s="952">
        <v>56</v>
      </c>
      <c r="B56" s="1869" t="s">
        <v>4420</v>
      </c>
      <c r="C56" s="1872" t="s">
        <v>4421</v>
      </c>
      <c r="D56" s="824" t="s">
        <v>4422</v>
      </c>
      <c r="E56" s="829"/>
      <c r="F56" s="849"/>
      <c r="G56" s="891" t="s">
        <v>4685</v>
      </c>
      <c r="H56" s="953">
        <f t="shared" ca="1" si="4"/>
        <v>6.54E-2</v>
      </c>
      <c r="I56" s="953">
        <f t="shared" ca="1" si="5"/>
        <v>6.54E-2</v>
      </c>
      <c r="J56" s="953">
        <f t="shared" ca="1" si="6"/>
        <v>6.54E-2</v>
      </c>
      <c r="K56" s="953">
        <f t="shared" ca="1" si="7"/>
        <v>6.54E-2</v>
      </c>
      <c r="L56" s="954">
        <f ca="1">IFERROR($H56*参考2_エネ使用量経年!L57,"")</f>
        <v>0</v>
      </c>
      <c r="M56" s="954">
        <f ca="1">IFERROR($I56*参考2_エネ使用量経年!M57,"")</f>
        <v>0</v>
      </c>
      <c r="N56" s="954">
        <f ca="1">IFERROR($J56*参考2_エネ使用量経年!N57,"")</f>
        <v>0</v>
      </c>
      <c r="O56" s="954">
        <f ca="1">IFERROR($K56*参考2_エネ使用量経年!O57,"")</f>
        <v>0</v>
      </c>
      <c r="P56" s="954">
        <f ca="1">IFERROR($H56*参考2_エネ使用量経年!P57,"")</f>
        <v>0</v>
      </c>
      <c r="Q56" s="954">
        <f ca="1">IFERROR($I56*参考2_エネ使用量経年!Q57,"")</f>
        <v>0</v>
      </c>
      <c r="R56" s="954">
        <f ca="1">IFERROR($J56*参考2_エネ使用量経年!R57,"")</f>
        <v>0</v>
      </c>
      <c r="S56" s="954">
        <f ca="1">IFERROR($K56*参考2_エネ使用量経年!S57,"")</f>
        <v>0</v>
      </c>
      <c r="T56" s="954">
        <f ca="1">IFERROR($H56*参考2_エネ使用量経年!T57,"")</f>
        <v>0</v>
      </c>
      <c r="U56" s="954">
        <f ca="1">IFERROR($I56*参考2_エネ使用量経年!U57,"")</f>
        <v>0</v>
      </c>
      <c r="V56" s="954">
        <f ca="1">IFERROR($J56*参考2_エネ使用量経年!V57,"")</f>
        <v>0</v>
      </c>
      <c r="W56" s="954">
        <f ca="1">IFERROR($K56*参考2_エネ使用量経年!W57,"")</f>
        <v>0</v>
      </c>
      <c r="X56" s="954">
        <f ca="1">IFERROR($H56*参考2_エネ使用量経年!X57,"")</f>
        <v>0</v>
      </c>
      <c r="Y56" s="954">
        <f ca="1">IFERROR($I56*参考2_エネ使用量経年!Y57,"")</f>
        <v>0</v>
      </c>
      <c r="Z56" s="954">
        <f ca="1">IFERROR($J56*参考2_エネ使用量経年!Z57,"")</f>
        <v>0</v>
      </c>
      <c r="AA56" s="954">
        <f ca="1">IFERROR($K56*参考2_エネ使用量経年!AA57,"")</f>
        <v>0</v>
      </c>
      <c r="AB56" s="954" t="str">
        <f ca="1">IFERROR($H56*参考2_エネ使用量経年!AB57,"")</f>
        <v/>
      </c>
      <c r="AC56" s="954" t="str">
        <f ca="1">IFERROR($I56*参考2_エネ使用量経年!AC57,"")</f>
        <v/>
      </c>
      <c r="AD56" s="954" t="str">
        <f ca="1">IFERROR($J56*参考2_エネ使用量経年!AD57,"")</f>
        <v/>
      </c>
      <c r="AE56" s="954" t="str">
        <f ca="1">IFERROR($K56*参考2_エネ使用量経年!AE57,"")</f>
        <v/>
      </c>
      <c r="AF56" s="954" t="str">
        <f ca="1">IFERROR($H56*参考2_エネ使用量経年!AF57,"")</f>
        <v/>
      </c>
      <c r="AG56" s="954" t="str">
        <f ca="1">IFERROR($I56*参考2_エネ使用量経年!AG57,"")</f>
        <v/>
      </c>
      <c r="AH56" s="954" t="str">
        <f ca="1">IFERROR($J56*参考2_エネ使用量経年!AH57,"")</f>
        <v/>
      </c>
      <c r="AI56" s="954" t="str">
        <f ca="1">IFERROR($K56*参考2_エネ使用量経年!AI57,"")</f>
        <v/>
      </c>
      <c r="AJ56" s="954" t="str">
        <f ca="1">IFERROR($H56*参考2_エネ使用量経年!AJ57,"")</f>
        <v/>
      </c>
      <c r="AK56" s="954" t="str">
        <f ca="1">IFERROR($I56*参考2_エネ使用量経年!AK57,"")</f>
        <v/>
      </c>
      <c r="AL56" s="954" t="str">
        <f ca="1">IFERROR($J56*参考2_エネ使用量経年!AL57,"")</f>
        <v/>
      </c>
      <c r="AM56" s="954" t="str">
        <f ca="1">IFERROR($K56*参考2_エネ使用量経年!AM57,"")</f>
        <v/>
      </c>
      <c r="AN56" s="954" t="str">
        <f ca="1">IFERROR($H56*参考2_エネ使用量経年!AN57,"")</f>
        <v/>
      </c>
      <c r="AO56" s="954" t="str">
        <f ca="1">IFERROR($I56*参考2_エネ使用量経年!AO57,"")</f>
        <v/>
      </c>
      <c r="AP56" s="954" t="str">
        <f ca="1">IFERROR($J56*参考2_エネ使用量経年!AP57,"")</f>
        <v/>
      </c>
      <c r="AQ56" s="954" t="str">
        <f ca="1">IFERROR($K56*参考2_エネ使用量経年!AQ57,"")</f>
        <v/>
      </c>
      <c r="AR56" s="954" t="str">
        <f ca="1">IFERROR($H56*参考2_エネ使用量経年!AR57,"")</f>
        <v/>
      </c>
      <c r="AS56" s="954" t="str">
        <f ca="1">IFERROR($I56*参考2_エネ使用量経年!AS57,"")</f>
        <v/>
      </c>
      <c r="AT56" s="954" t="str">
        <f ca="1">IFERROR($J56*参考2_エネ使用量経年!AT57,"")</f>
        <v/>
      </c>
      <c r="AU56" s="954" t="str">
        <f ca="1">IFERROR($K56*参考2_エネ使用量経年!AU57,"")</f>
        <v/>
      </c>
      <c r="AV56" s="954" t="str">
        <f ca="1">IFERROR($H56*参考2_エネ使用量経年!AV57,"")</f>
        <v/>
      </c>
      <c r="AW56" s="954" t="str">
        <f ca="1">IFERROR($I56*参考2_エネ使用量経年!AW57,"")</f>
        <v/>
      </c>
      <c r="AX56" s="954" t="str">
        <f ca="1">IFERROR($J56*参考2_エネ使用量経年!AX57,"")</f>
        <v/>
      </c>
      <c r="AY56" s="954" t="str">
        <f ca="1">IFERROR($K56*参考2_エネ使用量経年!AY57,"")</f>
        <v/>
      </c>
      <c r="AZ56" s="954" t="str">
        <f ca="1">IFERROR($H56*参考2_エネ使用量経年!AZ57,"")</f>
        <v/>
      </c>
      <c r="BA56" s="954" t="str">
        <f ca="1">IFERROR($I56*参考2_エネ使用量経年!BA57,"")</f>
        <v/>
      </c>
      <c r="BB56" s="954" t="str">
        <f ca="1">IFERROR($J56*参考2_エネ使用量経年!BB57,"")</f>
        <v/>
      </c>
      <c r="BC56" s="954" t="str">
        <f ca="1">IFERROR($K56*参考2_エネ使用量経年!BC57,"")</f>
        <v/>
      </c>
      <c r="BD56" s="954" t="str">
        <f ca="1">IFERROR($H56*参考2_エネ使用量経年!BD57,"")</f>
        <v/>
      </c>
      <c r="BE56" s="954" t="str">
        <f ca="1">IFERROR($I56*参考2_エネ使用量経年!BE57,"")</f>
        <v/>
      </c>
      <c r="BF56" s="954" t="str">
        <f ca="1">IFERROR($J56*参考2_エネ使用量経年!BF57,"")</f>
        <v/>
      </c>
      <c r="BG56" s="954" t="str">
        <f ca="1">IFERROR($K56*参考2_エネ使用量経年!BG57,"")</f>
        <v/>
      </c>
      <c r="BH56" s="954" t="str">
        <f ca="1">IFERROR($H56*参考2_エネ使用量経年!BH57,"")</f>
        <v/>
      </c>
      <c r="BI56" s="954" t="str">
        <f ca="1">IFERROR($I56*参考2_エネ使用量経年!BI57,"")</f>
        <v/>
      </c>
      <c r="BJ56" s="954" t="str">
        <f ca="1">IFERROR($J56*参考2_エネ使用量経年!BJ57,"")</f>
        <v/>
      </c>
      <c r="BK56" s="954" t="str">
        <f ca="1">IFERROR($K56*参考2_エネ使用量経年!BK57,"")</f>
        <v/>
      </c>
      <c r="BL56" s="954" t="str">
        <f ca="1">IFERROR($H56*参考2_エネ使用量経年!BL57,"")</f>
        <v/>
      </c>
      <c r="BM56" s="954" t="str">
        <f ca="1">IFERROR($I56*参考2_エネ使用量経年!BM57,"")</f>
        <v/>
      </c>
      <c r="BN56" s="954" t="str">
        <f ca="1">IFERROR($J56*参考2_エネ使用量経年!BN57,"")</f>
        <v/>
      </c>
      <c r="BO56" s="954" t="str">
        <f ca="1">IFERROR($K56*参考2_エネ使用量経年!BO57,"")</f>
        <v/>
      </c>
      <c r="BP56" s="841"/>
    </row>
    <row r="57" spans="1:68" ht="20.100000000000001" hidden="1" customHeight="1" outlineLevel="1">
      <c r="A57" s="952">
        <v>9</v>
      </c>
      <c r="B57" s="1870"/>
      <c r="C57" s="1872"/>
      <c r="D57" s="824" t="s">
        <v>4423</v>
      </c>
      <c r="E57" s="829"/>
      <c r="F57" s="849"/>
      <c r="G57" s="891" t="s">
        <v>4685</v>
      </c>
      <c r="H57" s="955"/>
      <c r="I57" s="955"/>
      <c r="J57" s="955"/>
      <c r="K57" s="955"/>
      <c r="L57" s="956">
        <f ca="1">SUM(SUMIFS(OFFSET(A1_集計2024,$A57,9,1,200),OFFSET(貼付け_2024実績,4,9,1,200),{"横浜*","川崎*","県域*","エネルギー管理指定工場等*"}))</f>
        <v>0</v>
      </c>
      <c r="M57" s="956">
        <f ca="1">SUM(SUMIFS(OFFSET(A1_集計2025,$A57,9,1,200),OFFSET(貼付け_2025実績,4,9,1,200),{"横浜*","川崎*","県域*","エネルギー管理指定工場等*"}))</f>
        <v>0</v>
      </c>
      <c r="N57" s="956">
        <f ca="1">SUM(SUMIFS(OFFSET(A1_集計2026,$A57,9,1,200),OFFSET(貼付け_2026実績,4,9,1,200),{"横浜*","川崎*","県域*","エネルギー管理指定工場等*"}))</f>
        <v>0</v>
      </c>
      <c r="O57" s="956">
        <f ca="1">SUM(SUMIFS(OFFSET(A1_集計2027,$A57,9,1,200),OFFSET(貼付け_2027実績,4,9,1,200),{"横浜*","川崎*","県域*","エネルギー管理指定工場等*"}))</f>
        <v>0</v>
      </c>
      <c r="P57" s="954">
        <f ca="1">SUM(SUMIFS(OFFSET(A1_集計2024,$A57,9,1,200),OFFSET(貼付け_2024実績,4,9,1,200),{"横浜*","川崎*"}))</f>
        <v>0</v>
      </c>
      <c r="Q57" s="954">
        <f ca="1">SUM(SUMIFS(OFFSET(A1_集計2025,$A57,9,1,200),OFFSET(貼付け_2025実績,4,9,1,200),{"横浜*","川崎*"}))</f>
        <v>0</v>
      </c>
      <c r="R57" s="954">
        <f ca="1">SUM(SUMIFS(OFFSET(A1_集計2026,$A57,9,1,200),OFFSET(貼付け_2026実績,4,9,1,200),{"横浜*","川崎*"}))</f>
        <v>0</v>
      </c>
      <c r="S57" s="954">
        <f ca="1">SUM(SUMIFS(OFFSET(A1_集計2027,$A57,9,1,200),OFFSET(貼付け_2027実績,4,9,1,200),{"横浜*","川崎*"}))</f>
        <v>0</v>
      </c>
      <c r="T57" s="954">
        <f ca="1">SUM(SUMIFS(OFFSET(A1_集計2024,$A57,9,1,200),OFFSET(貼付け_2024実績,4,9,1,200),{"県域*","エネルギー管理指定工場等*"}))</f>
        <v>0</v>
      </c>
      <c r="U57" s="954">
        <f ca="1">SUM(SUMIFS(OFFSET(A1_集計2025,$A57,9,1,200),OFFSET(貼付け_2025実績,4,9,1,200),{"県域*","エネルギー管理指定工場等*"}))</f>
        <v>0</v>
      </c>
      <c r="V57" s="954">
        <f ca="1">SUM(SUMIFS(OFFSET(A1_集計2026,$A57,9,1,200),OFFSET(貼付け_2026実績,4,9,1,200),{"県域*","エネルギー管理指定工場等*"}))</f>
        <v>0</v>
      </c>
      <c r="W57" s="954">
        <f ca="1">SUM(SUMIFS(OFFSET(A1_集計2027,$A57,9,1,200),OFFSET(貼付け_2027実績,4,9,1,200),{"県域*","エネルギー管理指定工場等*"}))</f>
        <v>0</v>
      </c>
      <c r="X57" s="954">
        <f ca="1">SUMIFS(OFFSET(A1_集計2024,$A57,9,1,200),OFFSET(貼付け_2024実績,4,9,1,200),"県域*")</f>
        <v>0</v>
      </c>
      <c r="Y57" s="954">
        <f ca="1">SUMIFS(OFFSET(A1_集計2025,$A57,9,1,200),OFFSET(貼付け_2025実績,4,9,1,200),"県域*")</f>
        <v>0</v>
      </c>
      <c r="Z57" s="954">
        <f ca="1">SUMIFS(OFFSET(A1_集計2026,$A57,9,1,200),OFFSET(貼付け_2026実績,4,9,1,200),"県域*")</f>
        <v>0</v>
      </c>
      <c r="AA57" s="954">
        <f ca="1">SUMIFS(OFFSET(A1_集計2027,$A57,9,1,200),OFFSET(貼付け_2027実績,4,9,1,200),"県域*")</f>
        <v>0</v>
      </c>
      <c r="AB57" s="954" t="str">
        <f ca="1">IFERROR(OFFSET(A1_集計2024,$A57,AB$1),"")</f>
        <v/>
      </c>
      <c r="AC57" s="954" t="str">
        <f ca="1">IFERROR(OFFSET(A1_集計2025,$A57,AC$1),"")</f>
        <v/>
      </c>
      <c r="AD57" s="954" t="str">
        <f ca="1">IFERROR(OFFSET(A1_集計2026,$A57,AD$1),"")</f>
        <v/>
      </c>
      <c r="AE57" s="954" t="str">
        <f ca="1">IFERROR(OFFSET(A1_集計2027,$A57,AE$1),"")</f>
        <v/>
      </c>
      <c r="AF57" s="954" t="str">
        <f ca="1">IFERROR(OFFSET(A1_集計2024,$A57,AF$1),"")</f>
        <v/>
      </c>
      <c r="AG57" s="954" t="str">
        <f ca="1">IFERROR(OFFSET(A1_集計2025,$A57,AG$1),"")</f>
        <v/>
      </c>
      <c r="AH57" s="954" t="str">
        <f ca="1">IFERROR(OFFSET(A1_集計2026,$A57,AH$1),"")</f>
        <v/>
      </c>
      <c r="AI57" s="954" t="str">
        <f ca="1">IFERROR(OFFSET(A1_集計2027,$A57,AI$1),"")</f>
        <v/>
      </c>
      <c r="AJ57" s="954" t="str">
        <f ca="1">IFERROR(OFFSET(A1_集計2024,$A57,AJ$1),"")</f>
        <v/>
      </c>
      <c r="AK57" s="954" t="str">
        <f ca="1">IFERROR(OFFSET(A1_集計2025,$A57,AK$1),"")</f>
        <v/>
      </c>
      <c r="AL57" s="954" t="str">
        <f ca="1">IFERROR(OFFSET(A1_集計2026,$A57,AL$1),"")</f>
        <v/>
      </c>
      <c r="AM57" s="954" t="str">
        <f ca="1">IFERROR(OFFSET(A1_集計2027,$A57,AM$1),"")</f>
        <v/>
      </c>
      <c r="AN57" s="954" t="str">
        <f ca="1">IFERROR(OFFSET(A1_集計2024,$A57,AN$1),"")</f>
        <v/>
      </c>
      <c r="AO57" s="954" t="str">
        <f ca="1">IFERROR(OFFSET(A1_集計2025,$A57,AO$1),"")</f>
        <v/>
      </c>
      <c r="AP57" s="954" t="str">
        <f ca="1">IFERROR(OFFSET(A1_集計2026,$A57,AP$1),"")</f>
        <v/>
      </c>
      <c r="AQ57" s="954" t="str">
        <f ca="1">IFERROR(OFFSET(A1_集計2027,$A57,AQ$1),"")</f>
        <v/>
      </c>
      <c r="AR57" s="954" t="str">
        <f ca="1">IFERROR(OFFSET(A1_集計2024,$A57,AR$1),"")</f>
        <v/>
      </c>
      <c r="AS57" s="954" t="str">
        <f ca="1">IFERROR(OFFSET(A1_集計2025,$A57,AS$1),"")</f>
        <v/>
      </c>
      <c r="AT57" s="954" t="str">
        <f ca="1">IFERROR(OFFSET(A1_集計2026,$A57,AT$1),"")</f>
        <v/>
      </c>
      <c r="AU57" s="954" t="str">
        <f ca="1">IFERROR(OFFSET(A1_集計2027,$A57,AU$1),"")</f>
        <v/>
      </c>
      <c r="AV57" s="954" t="str">
        <f ca="1">IFERROR(OFFSET(A1_集計2024,$A57,AV$1),"")</f>
        <v/>
      </c>
      <c r="AW57" s="954" t="str">
        <f ca="1">IFERROR(OFFSET(A1_集計2025,$A57,AW$1),"")</f>
        <v/>
      </c>
      <c r="AX57" s="954" t="str">
        <f ca="1">IFERROR(OFFSET(A1_集計2026,$A57,AX$1),"")</f>
        <v/>
      </c>
      <c r="AY57" s="954" t="str">
        <f ca="1">IFERROR(OFFSET(A1_集計2027,$A57,AY$1),"")</f>
        <v/>
      </c>
      <c r="AZ57" s="954" t="str">
        <f ca="1">IFERROR(OFFSET(A1_集計2024,$A57,AZ$1),"")</f>
        <v/>
      </c>
      <c r="BA57" s="954" t="str">
        <f ca="1">IFERROR(OFFSET(A1_集計2025,$A57,BA$1),"")</f>
        <v/>
      </c>
      <c r="BB57" s="954" t="str">
        <f ca="1">IFERROR(OFFSET(A1_集計2026,$A57,BB$1),"")</f>
        <v/>
      </c>
      <c r="BC57" s="954" t="str">
        <f ca="1">IFERROR(OFFSET(A1_集計2027,$A57,BC$1),"")</f>
        <v/>
      </c>
      <c r="BD57" s="954" t="str">
        <f ca="1">IFERROR(OFFSET(A1_集計2024,$A57,BD$1),"")</f>
        <v/>
      </c>
      <c r="BE57" s="954" t="str">
        <f ca="1">IFERROR(OFFSET(A1_集計2025,$A57,BE$1),"")</f>
        <v/>
      </c>
      <c r="BF57" s="954" t="str">
        <f ca="1">IFERROR(OFFSET(A1_集計2026,$A57,BF$1),"")</f>
        <v/>
      </c>
      <c r="BG57" s="954" t="str">
        <f ca="1">IFERROR(OFFSET(A1_集計2027,$A57,BG$1),"")</f>
        <v/>
      </c>
      <c r="BH57" s="954" t="str">
        <f ca="1">IFERROR(OFFSET(A1_集計2024,$A57,BH$1),"")</f>
        <v/>
      </c>
      <c r="BI57" s="954" t="str">
        <f ca="1">IFERROR(OFFSET(A1_集計2025,$A57,BI$1),"")</f>
        <v/>
      </c>
      <c r="BJ57" s="954" t="str">
        <f ca="1">IFERROR(OFFSET(A1_集計2026,$A57,BJ$1),"")</f>
        <v/>
      </c>
      <c r="BK57" s="954" t="str">
        <f ca="1">IFERROR(OFFSET(A1_集計2027,$A57,BK$1),"")</f>
        <v/>
      </c>
      <c r="BL57" s="954" t="str">
        <f ca="1">IFERROR(OFFSET(A1_集計2024,$A57,BL$1),"")</f>
        <v/>
      </c>
      <c r="BM57" s="954" t="str">
        <f ca="1">IFERROR(OFFSET(A1_集計2025,$A57,BM$1),"")</f>
        <v/>
      </c>
      <c r="BN57" s="954" t="str">
        <f ca="1">IFERROR(OFFSET(A1_集計2026,$A57,BN$1),"")</f>
        <v/>
      </c>
      <c r="BO57" s="954" t="str">
        <f ca="1">IFERROR(OFFSET(A1_集計2027,$A57,BO$1),"")</f>
        <v/>
      </c>
      <c r="BP57" s="841"/>
    </row>
    <row r="58" spans="1:68" ht="20.100000000000001" hidden="1" customHeight="1" outlineLevel="1">
      <c r="A58" s="952">
        <v>11</v>
      </c>
      <c r="B58" s="1870"/>
      <c r="C58" s="1872"/>
      <c r="D58" s="824" t="s">
        <v>4424</v>
      </c>
      <c r="E58" s="829"/>
      <c r="F58" s="849"/>
      <c r="G58" s="891" t="s">
        <v>4685</v>
      </c>
      <c r="H58" s="955"/>
      <c r="I58" s="955"/>
      <c r="J58" s="955"/>
      <c r="K58" s="955"/>
      <c r="L58" s="956">
        <f ca="1">SUM(SUMIFS(OFFSET(A1_集計2024,$A58,9,1,200),OFFSET(貼付け_2024実績,4,9,1,200),{"横浜*","川崎*","県域*","エネルギー管理指定工場等*"}))</f>
        <v>0</v>
      </c>
      <c r="M58" s="956">
        <f ca="1">SUM(SUMIFS(OFFSET(A1_集計2025,$A58,9,1,200),OFFSET(貼付け_2025実績,4,9,1,200),{"横浜*","川崎*","県域*","エネルギー管理指定工場等*"}))</f>
        <v>0</v>
      </c>
      <c r="N58" s="956">
        <f ca="1">SUM(SUMIFS(OFFSET(A1_集計2026,$A58,9,1,200),OFFSET(貼付け_2026実績,4,9,1,200),{"横浜*","川崎*","県域*","エネルギー管理指定工場等*"}))</f>
        <v>0</v>
      </c>
      <c r="O58" s="956">
        <f ca="1">SUM(SUMIFS(OFFSET(A1_集計2027,$A58,9,1,200),OFFSET(貼付け_2027実績,4,9,1,200),{"横浜*","川崎*","県域*","エネルギー管理指定工場等*"}))</f>
        <v>0</v>
      </c>
      <c r="P58" s="954">
        <f ca="1">SUM(SUMIFS(OFFSET(A1_集計2024,$A58,9,1,200),OFFSET(貼付け_2024実績,4,9,1,200),{"横浜*","川崎*"}))</f>
        <v>0</v>
      </c>
      <c r="Q58" s="954">
        <f ca="1">SUM(SUMIFS(OFFSET(A1_集計2025,$A58,9,1,200),OFFSET(貼付け_2025実績,4,9,1,200),{"横浜*","川崎*"}))</f>
        <v>0</v>
      </c>
      <c r="R58" s="954">
        <f ca="1">SUM(SUMIFS(OFFSET(A1_集計2026,$A58,9,1,200),OFFSET(貼付け_2026実績,4,9,1,200),{"横浜*","川崎*"}))</f>
        <v>0</v>
      </c>
      <c r="S58" s="954">
        <f ca="1">SUM(SUMIFS(OFFSET(A1_集計2027,$A58,9,1,200),OFFSET(貼付け_2027実績,4,9,1,200),{"横浜*","川崎*"}))</f>
        <v>0</v>
      </c>
      <c r="T58" s="954">
        <f ca="1">SUM(SUMIFS(OFFSET(A1_集計2024,$A58,9,1,200),OFFSET(貼付け_2024実績,4,9,1,200),{"県域*","エネルギー管理指定工場等*"}))</f>
        <v>0</v>
      </c>
      <c r="U58" s="954">
        <f ca="1">SUM(SUMIFS(OFFSET(A1_集計2025,$A58,9,1,200),OFFSET(貼付け_2025実績,4,9,1,200),{"県域*","エネルギー管理指定工場等*"}))</f>
        <v>0</v>
      </c>
      <c r="V58" s="954">
        <f ca="1">SUM(SUMIFS(OFFSET(A1_集計2026,$A58,9,1,200),OFFSET(貼付け_2026実績,4,9,1,200),{"県域*","エネルギー管理指定工場等*"}))</f>
        <v>0</v>
      </c>
      <c r="W58" s="954">
        <f ca="1">SUM(SUMIFS(OFFSET(A1_集計2027,$A58,9,1,200),OFFSET(貼付け_2027実績,4,9,1,200),{"県域*","エネルギー管理指定工場等*"}))</f>
        <v>0</v>
      </c>
      <c r="X58" s="954">
        <f ca="1">SUMIFS(OFFSET(A1_集計2024,$A58,9,1,200),OFFSET(貼付け_2024実績,4,9,1,200),"県域*")</f>
        <v>0</v>
      </c>
      <c r="Y58" s="954">
        <f ca="1">SUMIFS(OFFSET(A1_集計2025,$A58,9,1,200),OFFSET(貼付け_2025実績,4,9,1,200),"県域*")</f>
        <v>0</v>
      </c>
      <c r="Z58" s="954">
        <f ca="1">SUMIFS(OFFSET(A1_集計2026,$A58,9,1,200),OFFSET(貼付け_2026実績,4,9,1,200),"県域*")</f>
        <v>0</v>
      </c>
      <c r="AA58" s="954">
        <f ca="1">SUMIFS(OFFSET(A1_集計2027,$A58,9,1,200),OFFSET(貼付け_2027実績,4,9,1,200),"県域*")</f>
        <v>0</v>
      </c>
      <c r="AB58" s="954" t="str">
        <f ca="1">IFERROR(OFFSET(A1_集計2024,$A58,AB$1),"")</f>
        <v/>
      </c>
      <c r="AC58" s="954" t="str">
        <f ca="1">IFERROR(OFFSET(A1_集計2025,$A58,AC$1),"")</f>
        <v/>
      </c>
      <c r="AD58" s="954" t="str">
        <f ca="1">IFERROR(OFFSET(A1_集計2026,$A58,AD$1),"")</f>
        <v/>
      </c>
      <c r="AE58" s="954" t="str">
        <f ca="1">IFERROR(OFFSET(A1_集計2027,$A58,AE$1),"")</f>
        <v/>
      </c>
      <c r="AF58" s="954" t="str">
        <f ca="1">IFERROR(OFFSET(A1_集計2024,$A58,AF$1),"")</f>
        <v/>
      </c>
      <c r="AG58" s="954" t="str">
        <f ca="1">IFERROR(OFFSET(A1_集計2025,$A58,AG$1),"")</f>
        <v/>
      </c>
      <c r="AH58" s="954" t="str">
        <f ca="1">IFERROR(OFFSET(A1_集計2026,$A58,AH$1),"")</f>
        <v/>
      </c>
      <c r="AI58" s="954" t="str">
        <f ca="1">IFERROR(OFFSET(A1_集計2027,$A58,AI$1),"")</f>
        <v/>
      </c>
      <c r="AJ58" s="954" t="str">
        <f ca="1">IFERROR(OFFSET(A1_集計2024,$A58,AJ$1),"")</f>
        <v/>
      </c>
      <c r="AK58" s="954" t="str">
        <f ca="1">IFERROR(OFFSET(A1_集計2025,$A58,AK$1),"")</f>
        <v/>
      </c>
      <c r="AL58" s="954" t="str">
        <f ca="1">IFERROR(OFFSET(A1_集計2026,$A58,AL$1),"")</f>
        <v/>
      </c>
      <c r="AM58" s="954" t="str">
        <f ca="1">IFERROR(OFFSET(A1_集計2027,$A58,AM$1),"")</f>
        <v/>
      </c>
      <c r="AN58" s="954" t="str">
        <f ca="1">IFERROR(OFFSET(A1_集計2024,$A58,AN$1),"")</f>
        <v/>
      </c>
      <c r="AO58" s="954" t="str">
        <f ca="1">IFERROR(OFFSET(A1_集計2025,$A58,AO$1),"")</f>
        <v/>
      </c>
      <c r="AP58" s="954" t="str">
        <f ca="1">IFERROR(OFFSET(A1_集計2026,$A58,AP$1),"")</f>
        <v/>
      </c>
      <c r="AQ58" s="954" t="str">
        <f ca="1">IFERROR(OFFSET(A1_集計2027,$A58,AQ$1),"")</f>
        <v/>
      </c>
      <c r="AR58" s="954" t="str">
        <f ca="1">IFERROR(OFFSET(A1_集計2024,$A58,AR$1),"")</f>
        <v/>
      </c>
      <c r="AS58" s="954" t="str">
        <f ca="1">IFERROR(OFFSET(A1_集計2025,$A58,AS$1),"")</f>
        <v/>
      </c>
      <c r="AT58" s="954" t="str">
        <f ca="1">IFERROR(OFFSET(A1_集計2026,$A58,AT$1),"")</f>
        <v/>
      </c>
      <c r="AU58" s="954" t="str">
        <f ca="1">IFERROR(OFFSET(A1_集計2027,$A58,AU$1),"")</f>
        <v/>
      </c>
      <c r="AV58" s="954" t="str">
        <f ca="1">IFERROR(OFFSET(A1_集計2024,$A58,AV$1),"")</f>
        <v/>
      </c>
      <c r="AW58" s="954" t="str">
        <f ca="1">IFERROR(OFFSET(A1_集計2025,$A58,AW$1),"")</f>
        <v/>
      </c>
      <c r="AX58" s="954" t="str">
        <f ca="1">IFERROR(OFFSET(A1_集計2026,$A58,AX$1),"")</f>
        <v/>
      </c>
      <c r="AY58" s="954" t="str">
        <f ca="1">IFERROR(OFFSET(A1_集計2027,$A58,AY$1),"")</f>
        <v/>
      </c>
      <c r="AZ58" s="954" t="str">
        <f ca="1">IFERROR(OFFSET(A1_集計2024,$A58,AZ$1),"")</f>
        <v/>
      </c>
      <c r="BA58" s="954" t="str">
        <f ca="1">IFERROR(OFFSET(A1_集計2025,$A58,BA$1),"")</f>
        <v/>
      </c>
      <c r="BB58" s="954" t="str">
        <f ca="1">IFERROR(OFFSET(A1_集計2026,$A58,BB$1),"")</f>
        <v/>
      </c>
      <c r="BC58" s="954" t="str">
        <f ca="1">IFERROR(OFFSET(A1_集計2027,$A58,BC$1),"")</f>
        <v/>
      </c>
      <c r="BD58" s="954" t="str">
        <f ca="1">IFERROR(OFFSET(A1_集計2024,$A58,BD$1),"")</f>
        <v/>
      </c>
      <c r="BE58" s="954" t="str">
        <f ca="1">IFERROR(OFFSET(A1_集計2025,$A58,BE$1),"")</f>
        <v/>
      </c>
      <c r="BF58" s="954" t="str">
        <f ca="1">IFERROR(OFFSET(A1_集計2026,$A58,BF$1),"")</f>
        <v/>
      </c>
      <c r="BG58" s="954" t="str">
        <f ca="1">IFERROR(OFFSET(A1_集計2027,$A58,BG$1),"")</f>
        <v/>
      </c>
      <c r="BH58" s="954" t="str">
        <f ca="1">IFERROR(OFFSET(A1_集計2024,$A58,BH$1),"")</f>
        <v/>
      </c>
      <c r="BI58" s="954" t="str">
        <f ca="1">IFERROR(OFFSET(A1_集計2025,$A58,BI$1),"")</f>
        <v/>
      </c>
      <c r="BJ58" s="954" t="str">
        <f ca="1">IFERROR(OFFSET(A1_集計2026,$A58,BJ$1),"")</f>
        <v/>
      </c>
      <c r="BK58" s="954" t="str">
        <f ca="1">IFERROR(OFFSET(A1_集計2027,$A58,BK$1),"")</f>
        <v/>
      </c>
      <c r="BL58" s="954" t="str">
        <f ca="1">IFERROR(OFFSET(A1_集計2024,$A58,BL$1),"")</f>
        <v/>
      </c>
      <c r="BM58" s="954" t="str">
        <f ca="1">IFERROR(OFFSET(A1_集計2025,$A58,BM$1),"")</f>
        <v/>
      </c>
      <c r="BN58" s="954" t="str">
        <f ca="1">IFERROR(OFFSET(A1_集計2026,$A58,BN$1),"")</f>
        <v/>
      </c>
      <c r="BO58" s="954" t="str">
        <f ca="1">IFERROR(OFFSET(A1_集計2027,$A58,BO$1),"")</f>
        <v/>
      </c>
      <c r="BP58" s="841"/>
    </row>
    <row r="59" spans="1:68" ht="20.100000000000001" hidden="1" customHeight="1" outlineLevel="1">
      <c r="A59" s="952">
        <v>13</v>
      </c>
      <c r="B59" s="1870"/>
      <c r="C59" s="1872"/>
      <c r="D59" s="824" t="s">
        <v>4425</v>
      </c>
      <c r="E59" s="829"/>
      <c r="F59" s="849"/>
      <c r="G59" s="891" t="s">
        <v>4685</v>
      </c>
      <c r="H59" s="955"/>
      <c r="I59" s="955"/>
      <c r="J59" s="955"/>
      <c r="K59" s="955"/>
      <c r="L59" s="956">
        <f ca="1">SUM(SUMIFS(OFFSET(A1_集計2024,$A59,9,1,200),OFFSET(貼付け_2024実績,4,9,1,200),{"横浜*","川崎*","県域*","エネルギー管理指定工場等*"}))</f>
        <v>0</v>
      </c>
      <c r="M59" s="956">
        <f ca="1">SUM(SUMIFS(OFFSET(A1_集計2025,$A59,9,1,200),OFFSET(貼付け_2025実績,4,9,1,200),{"横浜*","川崎*","県域*","エネルギー管理指定工場等*"}))</f>
        <v>0</v>
      </c>
      <c r="N59" s="956">
        <f ca="1">SUM(SUMIFS(OFFSET(A1_集計2026,$A59,9,1,200),OFFSET(貼付け_2026実績,4,9,1,200),{"横浜*","川崎*","県域*","エネルギー管理指定工場等*"}))</f>
        <v>0</v>
      </c>
      <c r="O59" s="956">
        <f ca="1">SUM(SUMIFS(OFFSET(A1_集計2027,$A59,9,1,200),OFFSET(貼付け_2027実績,4,9,1,200),{"横浜*","川崎*","県域*","エネルギー管理指定工場等*"}))</f>
        <v>0</v>
      </c>
      <c r="P59" s="954">
        <f ca="1">SUM(SUMIFS(OFFSET(A1_集計2024,$A59,9,1,200),OFFSET(貼付け_2024実績,4,9,1,200),{"横浜*","川崎*"}))</f>
        <v>0</v>
      </c>
      <c r="Q59" s="954">
        <f ca="1">SUM(SUMIFS(OFFSET(A1_集計2025,$A59,9,1,200),OFFSET(貼付け_2025実績,4,9,1,200),{"横浜*","川崎*"}))</f>
        <v>0</v>
      </c>
      <c r="R59" s="954">
        <f ca="1">SUM(SUMIFS(OFFSET(A1_集計2026,$A59,9,1,200),OFFSET(貼付け_2026実績,4,9,1,200),{"横浜*","川崎*"}))</f>
        <v>0</v>
      </c>
      <c r="S59" s="954">
        <f ca="1">SUM(SUMIFS(OFFSET(A1_集計2027,$A59,9,1,200),OFFSET(貼付け_2027実績,4,9,1,200),{"横浜*","川崎*"}))</f>
        <v>0</v>
      </c>
      <c r="T59" s="954">
        <f ca="1">SUM(SUMIFS(OFFSET(A1_集計2024,$A59,9,1,200),OFFSET(貼付け_2024実績,4,9,1,200),{"県域*","エネルギー管理指定工場等*"}))</f>
        <v>0</v>
      </c>
      <c r="U59" s="954">
        <f ca="1">SUM(SUMIFS(OFFSET(A1_集計2025,$A59,9,1,200),OFFSET(貼付け_2025実績,4,9,1,200),{"県域*","エネルギー管理指定工場等*"}))</f>
        <v>0</v>
      </c>
      <c r="V59" s="954">
        <f ca="1">SUM(SUMIFS(OFFSET(A1_集計2026,$A59,9,1,200),OFFSET(貼付け_2026実績,4,9,1,200),{"県域*","エネルギー管理指定工場等*"}))</f>
        <v>0</v>
      </c>
      <c r="W59" s="954">
        <f ca="1">SUM(SUMIFS(OFFSET(A1_集計2027,$A59,9,1,200),OFFSET(貼付け_2027実績,4,9,1,200),{"県域*","エネルギー管理指定工場等*"}))</f>
        <v>0</v>
      </c>
      <c r="X59" s="954">
        <f ca="1">SUMIFS(OFFSET(A1_集計2024,$A59,9,1,200),OFFSET(貼付け_2024実績,4,9,1,200),"県域*")</f>
        <v>0</v>
      </c>
      <c r="Y59" s="954">
        <f ca="1">SUMIFS(OFFSET(A1_集計2025,$A59,9,1,200),OFFSET(貼付け_2025実績,4,9,1,200),"県域*")</f>
        <v>0</v>
      </c>
      <c r="Z59" s="954">
        <f ca="1">SUMIFS(OFFSET(A1_集計2026,$A59,9,1,200),OFFSET(貼付け_2026実績,4,9,1,200),"県域*")</f>
        <v>0</v>
      </c>
      <c r="AA59" s="954">
        <f ca="1">SUMIFS(OFFSET(A1_集計2027,$A59,9,1,200),OFFSET(貼付け_2027実績,4,9,1,200),"県域*")</f>
        <v>0</v>
      </c>
      <c r="AB59" s="954" t="str">
        <f ca="1">IFERROR(OFFSET(A1_集計2024,$A59,AB$1),"")</f>
        <v/>
      </c>
      <c r="AC59" s="954" t="str">
        <f ca="1">IFERROR(OFFSET(A1_集計2025,$A59,AC$1),"")</f>
        <v/>
      </c>
      <c r="AD59" s="954" t="str">
        <f ca="1">IFERROR(OFFSET(A1_集計2026,$A59,AD$1),"")</f>
        <v/>
      </c>
      <c r="AE59" s="954" t="str">
        <f ca="1">IFERROR(OFFSET(A1_集計2027,$A59,AE$1),"")</f>
        <v/>
      </c>
      <c r="AF59" s="954" t="str">
        <f ca="1">IFERROR(OFFSET(A1_集計2024,$A59,AF$1),"")</f>
        <v/>
      </c>
      <c r="AG59" s="954" t="str">
        <f ca="1">IFERROR(OFFSET(A1_集計2025,$A59,AG$1),"")</f>
        <v/>
      </c>
      <c r="AH59" s="954" t="str">
        <f ca="1">IFERROR(OFFSET(A1_集計2026,$A59,AH$1),"")</f>
        <v/>
      </c>
      <c r="AI59" s="954" t="str">
        <f ca="1">IFERROR(OFFSET(A1_集計2027,$A59,AI$1),"")</f>
        <v/>
      </c>
      <c r="AJ59" s="954" t="str">
        <f ca="1">IFERROR(OFFSET(A1_集計2024,$A59,AJ$1),"")</f>
        <v/>
      </c>
      <c r="AK59" s="954" t="str">
        <f ca="1">IFERROR(OFFSET(A1_集計2025,$A59,AK$1),"")</f>
        <v/>
      </c>
      <c r="AL59" s="954" t="str">
        <f ca="1">IFERROR(OFFSET(A1_集計2026,$A59,AL$1),"")</f>
        <v/>
      </c>
      <c r="AM59" s="954" t="str">
        <f ca="1">IFERROR(OFFSET(A1_集計2027,$A59,AM$1),"")</f>
        <v/>
      </c>
      <c r="AN59" s="954" t="str">
        <f ca="1">IFERROR(OFFSET(A1_集計2024,$A59,AN$1),"")</f>
        <v/>
      </c>
      <c r="AO59" s="954" t="str">
        <f ca="1">IFERROR(OFFSET(A1_集計2025,$A59,AO$1),"")</f>
        <v/>
      </c>
      <c r="AP59" s="954" t="str">
        <f ca="1">IFERROR(OFFSET(A1_集計2026,$A59,AP$1),"")</f>
        <v/>
      </c>
      <c r="AQ59" s="954" t="str">
        <f ca="1">IFERROR(OFFSET(A1_集計2027,$A59,AQ$1),"")</f>
        <v/>
      </c>
      <c r="AR59" s="954" t="str">
        <f ca="1">IFERROR(OFFSET(A1_集計2024,$A59,AR$1),"")</f>
        <v/>
      </c>
      <c r="AS59" s="954" t="str">
        <f ca="1">IFERROR(OFFSET(A1_集計2025,$A59,AS$1),"")</f>
        <v/>
      </c>
      <c r="AT59" s="954" t="str">
        <f ca="1">IFERROR(OFFSET(A1_集計2026,$A59,AT$1),"")</f>
        <v/>
      </c>
      <c r="AU59" s="954" t="str">
        <f ca="1">IFERROR(OFFSET(A1_集計2027,$A59,AU$1),"")</f>
        <v/>
      </c>
      <c r="AV59" s="954" t="str">
        <f ca="1">IFERROR(OFFSET(A1_集計2024,$A59,AV$1),"")</f>
        <v/>
      </c>
      <c r="AW59" s="954" t="str">
        <f ca="1">IFERROR(OFFSET(A1_集計2025,$A59,AW$1),"")</f>
        <v/>
      </c>
      <c r="AX59" s="954" t="str">
        <f ca="1">IFERROR(OFFSET(A1_集計2026,$A59,AX$1),"")</f>
        <v/>
      </c>
      <c r="AY59" s="954" t="str">
        <f ca="1">IFERROR(OFFSET(A1_集計2027,$A59,AY$1),"")</f>
        <v/>
      </c>
      <c r="AZ59" s="954" t="str">
        <f ca="1">IFERROR(OFFSET(A1_集計2024,$A59,AZ$1),"")</f>
        <v/>
      </c>
      <c r="BA59" s="954" t="str">
        <f ca="1">IFERROR(OFFSET(A1_集計2025,$A59,BA$1),"")</f>
        <v/>
      </c>
      <c r="BB59" s="954" t="str">
        <f ca="1">IFERROR(OFFSET(A1_集計2026,$A59,BB$1),"")</f>
        <v/>
      </c>
      <c r="BC59" s="954" t="str">
        <f ca="1">IFERROR(OFFSET(A1_集計2027,$A59,BC$1),"")</f>
        <v/>
      </c>
      <c r="BD59" s="954" t="str">
        <f ca="1">IFERROR(OFFSET(A1_集計2024,$A59,BD$1),"")</f>
        <v/>
      </c>
      <c r="BE59" s="954" t="str">
        <f ca="1">IFERROR(OFFSET(A1_集計2025,$A59,BE$1),"")</f>
        <v/>
      </c>
      <c r="BF59" s="954" t="str">
        <f ca="1">IFERROR(OFFSET(A1_集計2026,$A59,BF$1),"")</f>
        <v/>
      </c>
      <c r="BG59" s="954" t="str">
        <f ca="1">IFERROR(OFFSET(A1_集計2027,$A59,BG$1),"")</f>
        <v/>
      </c>
      <c r="BH59" s="954" t="str">
        <f ca="1">IFERROR(OFFSET(A1_集計2024,$A59,BH$1),"")</f>
        <v/>
      </c>
      <c r="BI59" s="954" t="str">
        <f ca="1">IFERROR(OFFSET(A1_集計2025,$A59,BI$1),"")</f>
        <v/>
      </c>
      <c r="BJ59" s="954" t="str">
        <f ca="1">IFERROR(OFFSET(A1_集計2026,$A59,BJ$1),"")</f>
        <v/>
      </c>
      <c r="BK59" s="954" t="str">
        <f ca="1">IFERROR(OFFSET(A1_集計2027,$A59,BK$1),"")</f>
        <v/>
      </c>
      <c r="BL59" s="954" t="str">
        <f ca="1">IFERROR(OFFSET(A1_集計2024,$A59,BL$1),"")</f>
        <v/>
      </c>
      <c r="BM59" s="954" t="str">
        <f ca="1">IFERROR(OFFSET(A1_集計2025,$A59,BM$1),"")</f>
        <v/>
      </c>
      <c r="BN59" s="954" t="str">
        <f ca="1">IFERROR(OFFSET(A1_集計2026,$A59,BN$1),"")</f>
        <v/>
      </c>
      <c r="BO59" s="954" t="str">
        <f ca="1">IFERROR(OFFSET(A1_集計2027,$A59,BO$1),"")</f>
        <v/>
      </c>
      <c r="BP59" s="841"/>
    </row>
    <row r="60" spans="1:68" ht="20.100000000000001" hidden="1" customHeight="1" outlineLevel="1">
      <c r="A60" s="952">
        <v>64</v>
      </c>
      <c r="B60" s="1870"/>
      <c r="C60" s="1872"/>
      <c r="D60" s="851" t="s">
        <v>4426</v>
      </c>
      <c r="E60" s="831" t="str">
        <f ca="1">参考2_エネ使用量経年!E61</f>
        <v/>
      </c>
      <c r="F60" s="833"/>
      <c r="G60" s="891" t="s">
        <v>4685</v>
      </c>
      <c r="H60" s="953">
        <f ca="1">IFERROR(OFFSET(貼付け_2024実績,$A60,6),"")</f>
        <v>0</v>
      </c>
      <c r="I60" s="953">
        <f ca="1">IFERROR(OFFSET(貼付け_2025実績,$A60,6),"")</f>
        <v>0</v>
      </c>
      <c r="J60" s="953">
        <f ca="1">IFERROR(OFFSET(貼付け_2026実績,$A60,6),"")</f>
        <v>0</v>
      </c>
      <c r="K60" s="953">
        <f ca="1">IFERROR(OFFSET(貼付け_2027実績,$A60,6),"")</f>
        <v>0</v>
      </c>
      <c r="L60" s="954">
        <f ca="1">IFERROR($H60*参考2_エネ使用量経年!L61,"")</f>
        <v>0</v>
      </c>
      <c r="M60" s="954">
        <f ca="1">IFERROR($I60*参考2_エネ使用量経年!M61,"")</f>
        <v>0</v>
      </c>
      <c r="N60" s="954">
        <f ca="1">IFERROR($J60*参考2_エネ使用量経年!N61,"")</f>
        <v>0</v>
      </c>
      <c r="O60" s="954">
        <f ca="1">IFERROR($K60*参考2_エネ使用量経年!O61,"")</f>
        <v>0</v>
      </c>
      <c r="P60" s="954">
        <f ca="1">IFERROR($H60*参考2_エネ使用量経年!P61,"")</f>
        <v>0</v>
      </c>
      <c r="Q60" s="954">
        <f ca="1">IFERROR($I60*参考2_エネ使用量経年!Q61,"")</f>
        <v>0</v>
      </c>
      <c r="R60" s="954">
        <f ca="1">IFERROR($J60*参考2_エネ使用量経年!R61,"")</f>
        <v>0</v>
      </c>
      <c r="S60" s="954">
        <f ca="1">IFERROR($K60*参考2_エネ使用量経年!S61,"")</f>
        <v>0</v>
      </c>
      <c r="T60" s="954">
        <f ca="1">IFERROR($H60*参考2_エネ使用量経年!T61,"")</f>
        <v>0</v>
      </c>
      <c r="U60" s="954">
        <f ca="1">IFERROR($I60*参考2_エネ使用量経年!U61,"")</f>
        <v>0</v>
      </c>
      <c r="V60" s="954">
        <f ca="1">IFERROR($J60*参考2_エネ使用量経年!V61,"")</f>
        <v>0</v>
      </c>
      <c r="W60" s="954">
        <f ca="1">IFERROR($K60*参考2_エネ使用量経年!W61,"")</f>
        <v>0</v>
      </c>
      <c r="X60" s="954">
        <f ca="1">IFERROR($H60*参考2_エネ使用量経年!X61,"")</f>
        <v>0</v>
      </c>
      <c r="Y60" s="954">
        <f ca="1">IFERROR($I60*参考2_エネ使用量経年!Y61,"")</f>
        <v>0</v>
      </c>
      <c r="Z60" s="954">
        <f ca="1">IFERROR($J60*参考2_エネ使用量経年!Z61,"")</f>
        <v>0</v>
      </c>
      <c r="AA60" s="954">
        <f ca="1">IFERROR($K60*参考2_エネ使用量経年!AA61,"")</f>
        <v>0</v>
      </c>
      <c r="AB60" s="954" t="str">
        <f ca="1">IFERROR($H60*参考2_エネ使用量経年!AB61,"")</f>
        <v/>
      </c>
      <c r="AC60" s="954" t="str">
        <f ca="1">IFERROR($I60*参考2_エネ使用量経年!AC61,"")</f>
        <v/>
      </c>
      <c r="AD60" s="954" t="str">
        <f ca="1">IFERROR($J60*参考2_エネ使用量経年!AD61,"")</f>
        <v/>
      </c>
      <c r="AE60" s="954" t="str">
        <f ca="1">IFERROR($K60*参考2_エネ使用量経年!AE61,"")</f>
        <v/>
      </c>
      <c r="AF60" s="954" t="str">
        <f ca="1">IFERROR($H60*参考2_エネ使用量経年!AF61,"")</f>
        <v/>
      </c>
      <c r="AG60" s="954" t="str">
        <f ca="1">IFERROR($I60*参考2_エネ使用量経年!AG61,"")</f>
        <v/>
      </c>
      <c r="AH60" s="954" t="str">
        <f ca="1">IFERROR($J60*参考2_エネ使用量経年!AH61,"")</f>
        <v/>
      </c>
      <c r="AI60" s="954" t="str">
        <f ca="1">IFERROR($K60*参考2_エネ使用量経年!AI61,"")</f>
        <v/>
      </c>
      <c r="AJ60" s="954" t="str">
        <f ca="1">IFERROR($H60*参考2_エネ使用量経年!AJ61,"")</f>
        <v/>
      </c>
      <c r="AK60" s="954" t="str">
        <f ca="1">IFERROR($I60*参考2_エネ使用量経年!AK61,"")</f>
        <v/>
      </c>
      <c r="AL60" s="954" t="str">
        <f ca="1">IFERROR($J60*参考2_エネ使用量経年!AL61,"")</f>
        <v/>
      </c>
      <c r="AM60" s="954" t="str">
        <f ca="1">IFERROR($K60*参考2_エネ使用量経年!AM61,"")</f>
        <v/>
      </c>
      <c r="AN60" s="954" t="str">
        <f ca="1">IFERROR($H60*参考2_エネ使用量経年!AN61,"")</f>
        <v/>
      </c>
      <c r="AO60" s="954" t="str">
        <f ca="1">IFERROR($I60*参考2_エネ使用量経年!AO61,"")</f>
        <v/>
      </c>
      <c r="AP60" s="954" t="str">
        <f ca="1">IFERROR($J60*参考2_エネ使用量経年!AP61,"")</f>
        <v/>
      </c>
      <c r="AQ60" s="954" t="str">
        <f ca="1">IFERROR($K60*参考2_エネ使用量経年!AQ61,"")</f>
        <v/>
      </c>
      <c r="AR60" s="954" t="str">
        <f ca="1">IFERROR($H60*参考2_エネ使用量経年!AR61,"")</f>
        <v/>
      </c>
      <c r="AS60" s="954" t="str">
        <f ca="1">IFERROR($I60*参考2_エネ使用量経年!AS61,"")</f>
        <v/>
      </c>
      <c r="AT60" s="954" t="str">
        <f ca="1">IFERROR($J60*参考2_エネ使用量経年!AT61,"")</f>
        <v/>
      </c>
      <c r="AU60" s="954" t="str">
        <f ca="1">IFERROR($K60*参考2_エネ使用量経年!AU61,"")</f>
        <v/>
      </c>
      <c r="AV60" s="954" t="str">
        <f ca="1">IFERROR($H60*参考2_エネ使用量経年!AV61,"")</f>
        <v/>
      </c>
      <c r="AW60" s="954" t="str">
        <f ca="1">IFERROR($I60*参考2_エネ使用量経年!AW61,"")</f>
        <v/>
      </c>
      <c r="AX60" s="954" t="str">
        <f ca="1">IFERROR($J60*参考2_エネ使用量経年!AX61,"")</f>
        <v/>
      </c>
      <c r="AY60" s="954" t="str">
        <f ca="1">IFERROR($K60*参考2_エネ使用量経年!AY61,"")</f>
        <v/>
      </c>
      <c r="AZ60" s="954" t="str">
        <f ca="1">IFERROR($H60*参考2_エネ使用量経年!AZ61,"")</f>
        <v/>
      </c>
      <c r="BA60" s="954" t="str">
        <f ca="1">IFERROR($I60*参考2_エネ使用量経年!BA61,"")</f>
        <v/>
      </c>
      <c r="BB60" s="954" t="str">
        <f ca="1">IFERROR($J60*参考2_エネ使用量経年!BB61,"")</f>
        <v/>
      </c>
      <c r="BC60" s="954" t="str">
        <f ca="1">IFERROR($K60*参考2_エネ使用量経年!BC61,"")</f>
        <v/>
      </c>
      <c r="BD60" s="954" t="str">
        <f ca="1">IFERROR($H60*参考2_エネ使用量経年!BD61,"")</f>
        <v/>
      </c>
      <c r="BE60" s="954" t="str">
        <f ca="1">IFERROR($I60*参考2_エネ使用量経年!BE61,"")</f>
        <v/>
      </c>
      <c r="BF60" s="954" t="str">
        <f ca="1">IFERROR($J60*参考2_エネ使用量経年!BF61,"")</f>
        <v/>
      </c>
      <c r="BG60" s="954" t="str">
        <f ca="1">IFERROR($K60*参考2_エネ使用量経年!BG61,"")</f>
        <v/>
      </c>
      <c r="BH60" s="954" t="str">
        <f ca="1">IFERROR($H60*参考2_エネ使用量経年!BH61,"")</f>
        <v/>
      </c>
      <c r="BI60" s="954" t="str">
        <f ca="1">IFERROR($I60*参考2_エネ使用量経年!BI61,"")</f>
        <v/>
      </c>
      <c r="BJ60" s="954" t="str">
        <f ca="1">IFERROR($J60*参考2_エネ使用量経年!BJ61,"")</f>
        <v/>
      </c>
      <c r="BK60" s="954" t="str">
        <f ca="1">IFERROR($K60*参考2_エネ使用量経年!BK61,"")</f>
        <v/>
      </c>
      <c r="BL60" s="954" t="str">
        <f ca="1">IFERROR($H60*参考2_エネ使用量経年!BL61,"")</f>
        <v/>
      </c>
      <c r="BM60" s="954" t="str">
        <f ca="1">IFERROR($I60*参考2_エネ使用量経年!BM61,"")</f>
        <v/>
      </c>
      <c r="BN60" s="954" t="str">
        <f ca="1">IFERROR($J60*参考2_エネ使用量経年!BN61,"")</f>
        <v/>
      </c>
      <c r="BO60" s="954" t="str">
        <f ca="1">IFERROR($K60*参考2_エネ使用量経年!BO61,"")</f>
        <v/>
      </c>
      <c r="BP60" s="841"/>
    </row>
    <row r="61" spans="1:68" ht="20.100000000000001" hidden="1" customHeight="1" outlineLevel="1">
      <c r="A61" s="952">
        <v>66</v>
      </c>
      <c r="B61" s="1870"/>
      <c r="C61" s="1872" t="s">
        <v>4427</v>
      </c>
      <c r="D61" s="957" t="s">
        <v>4428</v>
      </c>
      <c r="E61" s="958"/>
      <c r="F61" s="849"/>
      <c r="G61" s="891" t="s">
        <v>4685</v>
      </c>
      <c r="H61" s="959"/>
      <c r="I61" s="959"/>
      <c r="J61" s="959"/>
      <c r="K61" s="959"/>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841"/>
    </row>
    <row r="62" spans="1:68" ht="20.100000000000001" hidden="1" customHeight="1" outlineLevel="1">
      <c r="A62" s="952">
        <v>67</v>
      </c>
      <c r="B62" s="1870"/>
      <c r="C62" s="1872"/>
      <c r="D62" s="957" t="s">
        <v>4429</v>
      </c>
      <c r="E62" s="958"/>
      <c r="F62" s="849"/>
      <c r="G62" s="891" t="s">
        <v>4685</v>
      </c>
      <c r="H62" s="959"/>
      <c r="I62" s="959"/>
      <c r="J62" s="959"/>
      <c r="K62" s="959"/>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841"/>
    </row>
    <row r="63" spans="1:68" ht="20.100000000000001" hidden="1" customHeight="1" outlineLevel="1">
      <c r="A63" s="952">
        <v>68</v>
      </c>
      <c r="B63" s="1870"/>
      <c r="C63" s="1872"/>
      <c r="D63" s="957" t="s">
        <v>4430</v>
      </c>
      <c r="E63" s="958"/>
      <c r="F63" s="849"/>
      <c r="G63" s="891" t="s">
        <v>4685</v>
      </c>
      <c r="H63" s="959"/>
      <c r="I63" s="959"/>
      <c r="J63" s="959"/>
      <c r="K63" s="959"/>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841"/>
    </row>
    <row r="64" spans="1:68" ht="20.100000000000001" hidden="1" customHeight="1" outlineLevel="1">
      <c r="A64" s="952">
        <v>69</v>
      </c>
      <c r="B64" s="1870"/>
      <c r="C64" s="1872"/>
      <c r="D64" s="957" t="s">
        <v>4431</v>
      </c>
      <c r="E64" s="958"/>
      <c r="F64" s="849"/>
      <c r="G64" s="891" t="s">
        <v>4685</v>
      </c>
      <c r="H64" s="959"/>
      <c r="I64" s="959"/>
      <c r="J64" s="959"/>
      <c r="K64" s="959"/>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841"/>
    </row>
    <row r="65" spans="1:68" ht="20.100000000000001" hidden="1" customHeight="1" outlineLevel="1">
      <c r="A65" s="952">
        <v>70</v>
      </c>
      <c r="B65" s="1870"/>
      <c r="C65" s="1872"/>
      <c r="D65" s="853" t="s">
        <v>4432</v>
      </c>
      <c r="E65" s="831" t="str">
        <f ca="1">参考2_エネ使用量経年!E66</f>
        <v/>
      </c>
      <c r="F65" s="833"/>
      <c r="G65" s="891" t="s">
        <v>4685</v>
      </c>
      <c r="H65" s="953">
        <f ca="1">IFERROR(OFFSET(貼付け_2024実績,$A65,6),"")</f>
        <v>0</v>
      </c>
      <c r="I65" s="953">
        <f ca="1">IFERROR(OFFSET(貼付け_2025実績,$A65,6),"")</f>
        <v>0</v>
      </c>
      <c r="J65" s="953">
        <f ca="1">IFERROR(OFFSET(貼付け_2026実績,$A65,6),"")</f>
        <v>0</v>
      </c>
      <c r="K65" s="953">
        <f ca="1">IFERROR(OFFSET(貼付け_2027実績,$A65,6),"")</f>
        <v>0</v>
      </c>
      <c r="L65" s="954">
        <f ca="1">IFERROR($H65*参考2_エネ使用量経年!L66,"")</f>
        <v>0</v>
      </c>
      <c r="M65" s="954">
        <f ca="1">IFERROR($I65*参考2_エネ使用量経年!M66,"")</f>
        <v>0</v>
      </c>
      <c r="N65" s="954">
        <f ca="1">IFERROR($J65*参考2_エネ使用量経年!N66,"")</f>
        <v>0</v>
      </c>
      <c r="O65" s="954">
        <f ca="1">IFERROR($K65*参考2_エネ使用量経年!O66,"")</f>
        <v>0</v>
      </c>
      <c r="P65" s="954">
        <f ca="1">IFERROR($H65*参考2_エネ使用量経年!P66,"")</f>
        <v>0</v>
      </c>
      <c r="Q65" s="954">
        <f ca="1">IFERROR($I65*参考2_エネ使用量経年!Q66,"")</f>
        <v>0</v>
      </c>
      <c r="R65" s="954">
        <f ca="1">IFERROR($J65*参考2_エネ使用量経年!R66,"")</f>
        <v>0</v>
      </c>
      <c r="S65" s="954">
        <f ca="1">IFERROR($K65*参考2_エネ使用量経年!S66,"")</f>
        <v>0</v>
      </c>
      <c r="T65" s="954">
        <f ca="1">IFERROR($H65*参考2_エネ使用量経年!T66,"")</f>
        <v>0</v>
      </c>
      <c r="U65" s="954">
        <f ca="1">IFERROR($I65*参考2_エネ使用量経年!U66,"")</f>
        <v>0</v>
      </c>
      <c r="V65" s="954">
        <f ca="1">IFERROR($J65*参考2_エネ使用量経年!V66,"")</f>
        <v>0</v>
      </c>
      <c r="W65" s="954">
        <f ca="1">IFERROR($K65*参考2_エネ使用量経年!W66,"")</f>
        <v>0</v>
      </c>
      <c r="X65" s="954">
        <f ca="1">IFERROR($H65*参考2_エネ使用量経年!X66,"")</f>
        <v>0</v>
      </c>
      <c r="Y65" s="954">
        <f ca="1">IFERROR($I65*参考2_エネ使用量経年!Y66,"")</f>
        <v>0</v>
      </c>
      <c r="Z65" s="954">
        <f ca="1">IFERROR($J65*参考2_エネ使用量経年!Z66,"")</f>
        <v>0</v>
      </c>
      <c r="AA65" s="954">
        <f ca="1">IFERROR($K65*参考2_エネ使用量経年!AA66,"")</f>
        <v>0</v>
      </c>
      <c r="AB65" s="954" t="str">
        <f ca="1">IFERROR($H65*参考2_エネ使用量経年!AB66,"")</f>
        <v/>
      </c>
      <c r="AC65" s="954" t="str">
        <f ca="1">IFERROR($I65*参考2_エネ使用量経年!AC66,"")</f>
        <v/>
      </c>
      <c r="AD65" s="954" t="str">
        <f ca="1">IFERROR($J65*参考2_エネ使用量経年!AD66,"")</f>
        <v/>
      </c>
      <c r="AE65" s="954" t="str">
        <f ca="1">IFERROR($K65*参考2_エネ使用量経年!AE66,"")</f>
        <v/>
      </c>
      <c r="AF65" s="954" t="str">
        <f ca="1">IFERROR($H65*参考2_エネ使用量経年!AF66,"")</f>
        <v/>
      </c>
      <c r="AG65" s="954" t="str">
        <f ca="1">IFERROR($I65*参考2_エネ使用量経年!AG66,"")</f>
        <v/>
      </c>
      <c r="AH65" s="954" t="str">
        <f ca="1">IFERROR($J65*参考2_エネ使用量経年!AH66,"")</f>
        <v/>
      </c>
      <c r="AI65" s="954" t="str">
        <f ca="1">IFERROR($K65*参考2_エネ使用量経年!AI66,"")</f>
        <v/>
      </c>
      <c r="AJ65" s="954" t="str">
        <f ca="1">IFERROR($H65*参考2_エネ使用量経年!AJ66,"")</f>
        <v/>
      </c>
      <c r="AK65" s="954" t="str">
        <f ca="1">IFERROR($I65*参考2_エネ使用量経年!AK66,"")</f>
        <v/>
      </c>
      <c r="AL65" s="954" t="str">
        <f ca="1">IFERROR($J65*参考2_エネ使用量経年!AL66,"")</f>
        <v/>
      </c>
      <c r="AM65" s="954" t="str">
        <f ca="1">IFERROR($K65*参考2_エネ使用量経年!AM66,"")</f>
        <v/>
      </c>
      <c r="AN65" s="954" t="str">
        <f ca="1">IFERROR($H65*参考2_エネ使用量経年!AN66,"")</f>
        <v/>
      </c>
      <c r="AO65" s="954" t="str">
        <f ca="1">IFERROR($I65*参考2_エネ使用量経年!AO66,"")</f>
        <v/>
      </c>
      <c r="AP65" s="954" t="str">
        <f ca="1">IFERROR($J65*参考2_エネ使用量経年!AP66,"")</f>
        <v/>
      </c>
      <c r="AQ65" s="954" t="str">
        <f ca="1">IFERROR($K65*参考2_エネ使用量経年!AQ66,"")</f>
        <v/>
      </c>
      <c r="AR65" s="954" t="str">
        <f ca="1">IFERROR($H65*参考2_エネ使用量経年!AR66,"")</f>
        <v/>
      </c>
      <c r="AS65" s="954" t="str">
        <f ca="1">IFERROR($I65*参考2_エネ使用量経年!AS66,"")</f>
        <v/>
      </c>
      <c r="AT65" s="954" t="str">
        <f ca="1">IFERROR($J65*参考2_エネ使用量経年!AT66,"")</f>
        <v/>
      </c>
      <c r="AU65" s="954" t="str">
        <f ca="1">IFERROR($K65*参考2_エネ使用量経年!AU66,"")</f>
        <v/>
      </c>
      <c r="AV65" s="954" t="str">
        <f ca="1">IFERROR($H65*参考2_エネ使用量経年!AV66,"")</f>
        <v/>
      </c>
      <c r="AW65" s="954" t="str">
        <f ca="1">IFERROR($I65*参考2_エネ使用量経年!AW66,"")</f>
        <v/>
      </c>
      <c r="AX65" s="954" t="str">
        <f ca="1">IFERROR($J65*参考2_エネ使用量経年!AX66,"")</f>
        <v/>
      </c>
      <c r="AY65" s="954" t="str">
        <f ca="1">IFERROR($K65*参考2_エネ使用量経年!AY66,"")</f>
        <v/>
      </c>
      <c r="AZ65" s="954" t="str">
        <f ca="1">IFERROR($H65*参考2_エネ使用量経年!AZ66,"")</f>
        <v/>
      </c>
      <c r="BA65" s="954" t="str">
        <f ca="1">IFERROR($I65*参考2_エネ使用量経年!BA66,"")</f>
        <v/>
      </c>
      <c r="BB65" s="954" t="str">
        <f ca="1">IFERROR($J65*参考2_エネ使用量経年!BB66,"")</f>
        <v/>
      </c>
      <c r="BC65" s="954" t="str">
        <f ca="1">IFERROR($K65*参考2_エネ使用量経年!BC66,"")</f>
        <v/>
      </c>
      <c r="BD65" s="954" t="str">
        <f ca="1">IFERROR($H65*参考2_エネ使用量経年!BD66,"")</f>
        <v/>
      </c>
      <c r="BE65" s="954" t="str">
        <f ca="1">IFERROR($I65*参考2_エネ使用量経年!BE66,"")</f>
        <v/>
      </c>
      <c r="BF65" s="954" t="str">
        <f ca="1">IFERROR($J65*参考2_エネ使用量経年!BF66,"")</f>
        <v/>
      </c>
      <c r="BG65" s="954" t="str">
        <f ca="1">IFERROR($K65*参考2_エネ使用量経年!BG66,"")</f>
        <v/>
      </c>
      <c r="BH65" s="954" t="str">
        <f ca="1">IFERROR($H65*参考2_エネ使用量経年!BH66,"")</f>
        <v/>
      </c>
      <c r="BI65" s="954" t="str">
        <f ca="1">IFERROR($I65*参考2_エネ使用量経年!BI66,"")</f>
        <v/>
      </c>
      <c r="BJ65" s="954" t="str">
        <f ca="1">IFERROR($J65*参考2_エネ使用量経年!BJ66,"")</f>
        <v/>
      </c>
      <c r="BK65" s="954" t="str">
        <f ca="1">IFERROR($K65*参考2_エネ使用量経年!BK66,"")</f>
        <v/>
      </c>
      <c r="BL65" s="954" t="str">
        <f ca="1">IFERROR($H65*参考2_エネ使用量経年!BL66,"")</f>
        <v/>
      </c>
      <c r="BM65" s="954" t="str">
        <f ca="1">IFERROR($I65*参考2_エネ使用量経年!BM66,"")</f>
        <v/>
      </c>
      <c r="BN65" s="954" t="str">
        <f ca="1">IFERROR($J65*参考2_エネ使用量経年!BN66,"")</f>
        <v/>
      </c>
      <c r="BO65" s="954" t="str">
        <f ca="1">IFERROR($K65*参考2_エネ使用量経年!BO66,"")</f>
        <v/>
      </c>
      <c r="BP65" s="841"/>
    </row>
    <row r="66" spans="1:68" ht="20.100000000000001" hidden="1" customHeight="1" outlineLevel="1">
      <c r="A66" s="952">
        <v>71</v>
      </c>
      <c r="B66" s="1870"/>
      <c r="C66" s="1872"/>
      <c r="D66" s="853" t="s">
        <v>4433</v>
      </c>
      <c r="E66" s="831" t="str">
        <f ca="1">参考2_エネ使用量経年!E67</f>
        <v/>
      </c>
      <c r="F66" s="833"/>
      <c r="G66" s="891" t="s">
        <v>4685</v>
      </c>
      <c r="H66" s="953">
        <f ca="1">IFERROR(OFFSET(貼付け_2024実績,$A66,6),"")</f>
        <v>0</v>
      </c>
      <c r="I66" s="953">
        <f ca="1">IFERROR(OFFSET(貼付け_2025実績,$A66,6),"")</f>
        <v>0</v>
      </c>
      <c r="J66" s="953">
        <f ca="1">IFERROR(OFFSET(貼付け_2026実績,$A66,6),"")</f>
        <v>0</v>
      </c>
      <c r="K66" s="953">
        <f ca="1">IFERROR(OFFSET(貼付け_2027実績,$A66,6),"")</f>
        <v>0</v>
      </c>
      <c r="L66" s="954">
        <f ca="1">IFERROR($H66*参考2_エネ使用量経年!L67,"")</f>
        <v>0</v>
      </c>
      <c r="M66" s="954">
        <f ca="1">IFERROR($I66*参考2_エネ使用量経年!M67,"")</f>
        <v>0</v>
      </c>
      <c r="N66" s="954">
        <f ca="1">IFERROR($J66*参考2_エネ使用量経年!N67,"")</f>
        <v>0</v>
      </c>
      <c r="O66" s="954">
        <f ca="1">IFERROR($K66*参考2_エネ使用量経年!O67,"")</f>
        <v>0</v>
      </c>
      <c r="P66" s="954">
        <f ca="1">IFERROR($H66*参考2_エネ使用量経年!P67,"")</f>
        <v>0</v>
      </c>
      <c r="Q66" s="954">
        <f ca="1">IFERROR($I66*参考2_エネ使用量経年!Q67,"")</f>
        <v>0</v>
      </c>
      <c r="R66" s="954">
        <f ca="1">IFERROR($J66*参考2_エネ使用量経年!R67,"")</f>
        <v>0</v>
      </c>
      <c r="S66" s="954">
        <f ca="1">IFERROR($K66*参考2_エネ使用量経年!S67,"")</f>
        <v>0</v>
      </c>
      <c r="T66" s="954">
        <f ca="1">IFERROR($H66*参考2_エネ使用量経年!T67,"")</f>
        <v>0</v>
      </c>
      <c r="U66" s="954">
        <f ca="1">IFERROR($I66*参考2_エネ使用量経年!U67,"")</f>
        <v>0</v>
      </c>
      <c r="V66" s="954">
        <f ca="1">IFERROR($J66*参考2_エネ使用量経年!V67,"")</f>
        <v>0</v>
      </c>
      <c r="W66" s="954">
        <f ca="1">IFERROR($K66*参考2_エネ使用量経年!W67,"")</f>
        <v>0</v>
      </c>
      <c r="X66" s="954">
        <f ca="1">IFERROR($H66*参考2_エネ使用量経年!X67,"")</f>
        <v>0</v>
      </c>
      <c r="Y66" s="954">
        <f ca="1">IFERROR($I66*参考2_エネ使用量経年!Y67,"")</f>
        <v>0</v>
      </c>
      <c r="Z66" s="954">
        <f ca="1">IFERROR($J66*参考2_エネ使用量経年!Z67,"")</f>
        <v>0</v>
      </c>
      <c r="AA66" s="954">
        <f ca="1">IFERROR($K66*参考2_エネ使用量経年!AA67,"")</f>
        <v>0</v>
      </c>
      <c r="AB66" s="954" t="str">
        <f ca="1">IFERROR($H66*参考2_エネ使用量経年!AB67,"")</f>
        <v/>
      </c>
      <c r="AC66" s="954" t="str">
        <f ca="1">IFERROR($I66*参考2_エネ使用量経年!AC67,"")</f>
        <v/>
      </c>
      <c r="AD66" s="954" t="str">
        <f ca="1">IFERROR($J66*参考2_エネ使用量経年!AD67,"")</f>
        <v/>
      </c>
      <c r="AE66" s="954" t="str">
        <f ca="1">IFERROR($K66*参考2_エネ使用量経年!AE67,"")</f>
        <v/>
      </c>
      <c r="AF66" s="954" t="str">
        <f ca="1">IFERROR($H66*参考2_エネ使用量経年!AF67,"")</f>
        <v/>
      </c>
      <c r="AG66" s="954" t="str">
        <f ca="1">IFERROR($I66*参考2_エネ使用量経年!AG67,"")</f>
        <v/>
      </c>
      <c r="AH66" s="954" t="str">
        <f ca="1">IFERROR($J66*参考2_エネ使用量経年!AH67,"")</f>
        <v/>
      </c>
      <c r="AI66" s="954" t="str">
        <f ca="1">IFERROR($K66*参考2_エネ使用量経年!AI67,"")</f>
        <v/>
      </c>
      <c r="AJ66" s="954" t="str">
        <f ca="1">IFERROR($H66*参考2_エネ使用量経年!AJ67,"")</f>
        <v/>
      </c>
      <c r="AK66" s="954" t="str">
        <f ca="1">IFERROR($I66*参考2_エネ使用量経年!AK67,"")</f>
        <v/>
      </c>
      <c r="AL66" s="954" t="str">
        <f ca="1">IFERROR($J66*参考2_エネ使用量経年!AL67,"")</f>
        <v/>
      </c>
      <c r="AM66" s="954" t="str">
        <f ca="1">IFERROR($K66*参考2_エネ使用量経年!AM67,"")</f>
        <v/>
      </c>
      <c r="AN66" s="954" t="str">
        <f ca="1">IFERROR($H66*参考2_エネ使用量経年!AN67,"")</f>
        <v/>
      </c>
      <c r="AO66" s="954" t="str">
        <f ca="1">IFERROR($I66*参考2_エネ使用量経年!AO67,"")</f>
        <v/>
      </c>
      <c r="AP66" s="954" t="str">
        <f ca="1">IFERROR($J66*参考2_エネ使用量経年!AP67,"")</f>
        <v/>
      </c>
      <c r="AQ66" s="954" t="str">
        <f ca="1">IFERROR($K66*参考2_エネ使用量経年!AQ67,"")</f>
        <v/>
      </c>
      <c r="AR66" s="954" t="str">
        <f ca="1">IFERROR($H66*参考2_エネ使用量経年!AR67,"")</f>
        <v/>
      </c>
      <c r="AS66" s="954" t="str">
        <f ca="1">IFERROR($I66*参考2_エネ使用量経年!AS67,"")</f>
        <v/>
      </c>
      <c r="AT66" s="954" t="str">
        <f ca="1">IFERROR($J66*参考2_エネ使用量経年!AT67,"")</f>
        <v/>
      </c>
      <c r="AU66" s="954" t="str">
        <f ca="1">IFERROR($K66*参考2_エネ使用量経年!AU67,"")</f>
        <v/>
      </c>
      <c r="AV66" s="954" t="str">
        <f ca="1">IFERROR($H66*参考2_エネ使用量経年!AV67,"")</f>
        <v/>
      </c>
      <c r="AW66" s="954" t="str">
        <f ca="1">IFERROR($I66*参考2_エネ使用量経年!AW67,"")</f>
        <v/>
      </c>
      <c r="AX66" s="954" t="str">
        <f ca="1">IFERROR($J66*参考2_エネ使用量経年!AX67,"")</f>
        <v/>
      </c>
      <c r="AY66" s="954" t="str">
        <f ca="1">IFERROR($K66*参考2_エネ使用量経年!AY67,"")</f>
        <v/>
      </c>
      <c r="AZ66" s="954" t="str">
        <f ca="1">IFERROR($H66*参考2_エネ使用量経年!AZ67,"")</f>
        <v/>
      </c>
      <c r="BA66" s="954" t="str">
        <f ca="1">IFERROR($I66*参考2_エネ使用量経年!BA67,"")</f>
        <v/>
      </c>
      <c r="BB66" s="954" t="str">
        <f ca="1">IFERROR($J66*参考2_エネ使用量経年!BB67,"")</f>
        <v/>
      </c>
      <c r="BC66" s="954" t="str">
        <f ca="1">IFERROR($K66*参考2_エネ使用量経年!BC67,"")</f>
        <v/>
      </c>
      <c r="BD66" s="954" t="str">
        <f ca="1">IFERROR($H66*参考2_エネ使用量経年!BD67,"")</f>
        <v/>
      </c>
      <c r="BE66" s="954" t="str">
        <f ca="1">IFERROR($I66*参考2_エネ使用量経年!BE67,"")</f>
        <v/>
      </c>
      <c r="BF66" s="954" t="str">
        <f ca="1">IFERROR($J66*参考2_エネ使用量経年!BF67,"")</f>
        <v/>
      </c>
      <c r="BG66" s="954" t="str">
        <f ca="1">IFERROR($K66*参考2_エネ使用量経年!BG67,"")</f>
        <v/>
      </c>
      <c r="BH66" s="954" t="str">
        <f ca="1">IFERROR($H66*参考2_エネ使用量経年!BH67,"")</f>
        <v/>
      </c>
      <c r="BI66" s="954" t="str">
        <f ca="1">IFERROR($I66*参考2_エネ使用量経年!BI67,"")</f>
        <v/>
      </c>
      <c r="BJ66" s="954" t="str">
        <f ca="1">IFERROR($J66*参考2_エネ使用量経年!BJ67,"")</f>
        <v/>
      </c>
      <c r="BK66" s="954" t="str">
        <f ca="1">IFERROR($K66*参考2_エネ使用量経年!BK67,"")</f>
        <v/>
      </c>
      <c r="BL66" s="954" t="str">
        <f ca="1">IFERROR($H66*参考2_エネ使用量経年!BL67,"")</f>
        <v/>
      </c>
      <c r="BM66" s="954" t="str">
        <f ca="1">IFERROR($I66*参考2_エネ使用量経年!BM67,"")</f>
        <v/>
      </c>
      <c r="BN66" s="954" t="str">
        <f ca="1">IFERROR($J66*参考2_エネ使用量経年!BN67,"")</f>
        <v/>
      </c>
      <c r="BO66" s="954" t="str">
        <f ca="1">IFERROR($K66*参考2_エネ使用量経年!BO67,"")</f>
        <v/>
      </c>
      <c r="BP66" s="841"/>
    </row>
    <row r="67" spans="1:68" ht="20.100000000000001" hidden="1" customHeight="1" outlineLevel="1">
      <c r="A67" s="952">
        <v>15</v>
      </c>
      <c r="B67" s="1869" t="s">
        <v>4434</v>
      </c>
      <c r="C67" s="933" t="s">
        <v>4435</v>
      </c>
      <c r="D67" s="934"/>
      <c r="E67" s="829"/>
      <c r="F67" s="849"/>
      <c r="G67" s="891" t="s">
        <v>4685</v>
      </c>
      <c r="H67" s="955"/>
      <c r="I67" s="955"/>
      <c r="J67" s="955"/>
      <c r="K67" s="955"/>
      <c r="L67" s="956">
        <f ca="1">SUM(SUMIFS(OFFSET(A1_集計2024,$A67,9,1,200),OFFSET(貼付け_2024実績,4,9,1,200),{"横浜*","川崎*","県域*","エネルギー管理指定工場等*"}))</f>
        <v>0</v>
      </c>
      <c r="M67" s="956">
        <f ca="1">SUM(SUMIFS(OFFSET(A1_集計2025,$A67,9,1,200),OFFSET(貼付け_2025実績,4,9,1,200),{"横浜*","川崎*","県域*","エネルギー管理指定工場等*"}))</f>
        <v>0</v>
      </c>
      <c r="N67" s="956">
        <f ca="1">SUM(SUMIFS(OFFSET(A1_集計2026,$A67,9,1,200),OFFSET(貼付け_2026実績,4,9,1,200),{"横浜*","川崎*","県域*","エネルギー管理指定工場等*"}))</f>
        <v>0</v>
      </c>
      <c r="O67" s="956">
        <f ca="1">SUM(SUMIFS(OFFSET(A1_集計2027,$A67,9,1,200),OFFSET(貼付け_2027実績,4,9,1,200),{"横浜*","川崎*","県域*","エネルギー管理指定工場等*"}))</f>
        <v>0</v>
      </c>
      <c r="P67" s="954">
        <f ca="1">SUM(SUMIFS(OFFSET(A1_集計2024,$A67,9,1,200),OFFSET(貼付け_2024実績,4,9,1,200),{"横浜*","川崎*"}))</f>
        <v>0</v>
      </c>
      <c r="Q67" s="954">
        <f ca="1">SUM(SUMIFS(OFFSET(A1_集計2025,$A67,9,1,200),OFFSET(貼付け_2025実績,4,9,1,200),{"横浜*","川崎*"}))</f>
        <v>0</v>
      </c>
      <c r="R67" s="954">
        <f ca="1">SUM(SUMIFS(OFFSET(A1_集計2026,$A67,9,1,200),OFFSET(貼付け_2026実績,4,9,1,200),{"横浜*","川崎*"}))</f>
        <v>0</v>
      </c>
      <c r="S67" s="954">
        <f ca="1">SUM(SUMIFS(OFFSET(A1_集計2027,$A67,9,1,200),OFFSET(貼付け_2027実績,4,9,1,200),{"横浜*","川崎*"}))</f>
        <v>0</v>
      </c>
      <c r="T67" s="954">
        <f ca="1">SUM(SUMIFS(OFFSET(A1_集計2024,$A67,9,1,200),OFFSET(貼付け_2024実績,4,9,1,200),{"県域*","エネルギー管理指定工場等*"}))</f>
        <v>0</v>
      </c>
      <c r="U67" s="954">
        <f ca="1">SUM(SUMIFS(OFFSET(A1_集計2025,$A67,9,1,200),OFFSET(貼付け_2025実績,4,9,1,200),{"県域*","エネルギー管理指定工場等*"}))</f>
        <v>0</v>
      </c>
      <c r="V67" s="954">
        <f ca="1">SUM(SUMIFS(OFFSET(A1_集計2026,$A67,9,1,200),OFFSET(貼付け_2026実績,4,9,1,200),{"県域*","エネルギー管理指定工場等*"}))</f>
        <v>0</v>
      </c>
      <c r="W67" s="954">
        <f ca="1">SUM(SUMIFS(OFFSET(A1_集計2027,$A67,9,1,200),OFFSET(貼付け_2027実績,4,9,1,200),{"県域*","エネルギー管理指定工場等*"}))</f>
        <v>0</v>
      </c>
      <c r="X67" s="954">
        <f ca="1">SUMIFS(OFFSET(A1_集計2024,$A67,9,1,200),OFFSET(貼付け_2024実績,4,9,1,200),"県域*")</f>
        <v>0</v>
      </c>
      <c r="Y67" s="954">
        <f ca="1">SUMIFS(OFFSET(A1_集計2025,$A67,9,1,200),OFFSET(貼付け_2025実績,4,9,1,200),"県域*")</f>
        <v>0</v>
      </c>
      <c r="Z67" s="954">
        <f ca="1">SUMIFS(OFFSET(A1_集計2026,$A67,9,1,200),OFFSET(貼付け_2026実績,4,9,1,200),"県域*")</f>
        <v>0</v>
      </c>
      <c r="AA67" s="954">
        <f ca="1">SUMIFS(OFFSET(A1_集計2027,$A67,9,1,200),OFFSET(貼付け_2027実績,4,9,1,200),"県域*")</f>
        <v>0</v>
      </c>
      <c r="AB67" s="954" t="str">
        <f ca="1">IFERROR(OFFSET(A1_集計2024,$A67,AB$1),"")</f>
        <v/>
      </c>
      <c r="AC67" s="954" t="str">
        <f ca="1">IFERROR(OFFSET(A1_集計2025,$A67,AC$1),"")</f>
        <v/>
      </c>
      <c r="AD67" s="954" t="str">
        <f ca="1">IFERROR(OFFSET(A1_集計2026,$A67,AD$1),"")</f>
        <v/>
      </c>
      <c r="AE67" s="954" t="str">
        <f ca="1">IFERROR(OFFSET(A1_集計2027,$A67,AE$1),"")</f>
        <v/>
      </c>
      <c r="AF67" s="954" t="str">
        <f ca="1">IFERROR(OFFSET(A1_集計2024,$A67,AF$1),"")</f>
        <v/>
      </c>
      <c r="AG67" s="954" t="str">
        <f ca="1">IFERROR(OFFSET(A1_集計2025,$A67,AG$1),"")</f>
        <v/>
      </c>
      <c r="AH67" s="954" t="str">
        <f ca="1">IFERROR(OFFSET(A1_集計2026,$A67,AH$1),"")</f>
        <v/>
      </c>
      <c r="AI67" s="954" t="str">
        <f ca="1">IFERROR(OFFSET(A1_集計2027,$A67,AI$1),"")</f>
        <v/>
      </c>
      <c r="AJ67" s="954" t="str">
        <f ca="1">IFERROR(OFFSET(A1_集計2024,$A67,AJ$1),"")</f>
        <v/>
      </c>
      <c r="AK67" s="954" t="str">
        <f ca="1">IFERROR(OFFSET(A1_集計2025,$A67,AK$1),"")</f>
        <v/>
      </c>
      <c r="AL67" s="954" t="str">
        <f ca="1">IFERROR(OFFSET(A1_集計2026,$A67,AL$1),"")</f>
        <v/>
      </c>
      <c r="AM67" s="954" t="str">
        <f ca="1">IFERROR(OFFSET(A1_集計2027,$A67,AM$1),"")</f>
        <v/>
      </c>
      <c r="AN67" s="954" t="str">
        <f ca="1">IFERROR(OFFSET(A1_集計2024,$A67,AN$1),"")</f>
        <v/>
      </c>
      <c r="AO67" s="954" t="str">
        <f ca="1">IFERROR(OFFSET(A1_集計2025,$A67,AO$1),"")</f>
        <v/>
      </c>
      <c r="AP67" s="954" t="str">
        <f ca="1">IFERROR(OFFSET(A1_集計2026,$A67,AP$1),"")</f>
        <v/>
      </c>
      <c r="AQ67" s="954" t="str">
        <f ca="1">IFERROR(OFFSET(A1_集計2027,$A67,AQ$1),"")</f>
        <v/>
      </c>
      <c r="AR67" s="954" t="str">
        <f ca="1">IFERROR(OFFSET(A1_集計2024,$A67,AR$1),"")</f>
        <v/>
      </c>
      <c r="AS67" s="954" t="str">
        <f ca="1">IFERROR(OFFSET(A1_集計2025,$A67,AS$1),"")</f>
        <v/>
      </c>
      <c r="AT67" s="954" t="str">
        <f ca="1">IFERROR(OFFSET(A1_集計2026,$A67,AT$1),"")</f>
        <v/>
      </c>
      <c r="AU67" s="954" t="str">
        <f ca="1">IFERROR(OFFSET(A1_集計2027,$A67,AU$1),"")</f>
        <v/>
      </c>
      <c r="AV67" s="954" t="str">
        <f ca="1">IFERROR(OFFSET(A1_集計2024,$A67,AV$1),"")</f>
        <v/>
      </c>
      <c r="AW67" s="954" t="str">
        <f ca="1">IFERROR(OFFSET(A1_集計2025,$A67,AW$1),"")</f>
        <v/>
      </c>
      <c r="AX67" s="954" t="str">
        <f ca="1">IFERROR(OFFSET(A1_集計2026,$A67,AX$1),"")</f>
        <v/>
      </c>
      <c r="AY67" s="954" t="str">
        <f ca="1">IFERROR(OFFSET(A1_集計2027,$A67,AY$1),"")</f>
        <v/>
      </c>
      <c r="AZ67" s="954" t="str">
        <f ca="1">IFERROR(OFFSET(A1_集計2024,$A67,AZ$1),"")</f>
        <v/>
      </c>
      <c r="BA67" s="954" t="str">
        <f ca="1">IFERROR(OFFSET(A1_集計2025,$A67,BA$1),"")</f>
        <v/>
      </c>
      <c r="BB67" s="954" t="str">
        <f ca="1">IFERROR(OFFSET(A1_集計2026,$A67,BB$1),"")</f>
        <v/>
      </c>
      <c r="BC67" s="954" t="str">
        <f ca="1">IFERROR(OFFSET(A1_集計2027,$A67,BC$1),"")</f>
        <v/>
      </c>
      <c r="BD67" s="954" t="str">
        <f ca="1">IFERROR(OFFSET(A1_集計2024,$A67,BD$1),"")</f>
        <v/>
      </c>
      <c r="BE67" s="954" t="str">
        <f ca="1">IFERROR(OFFSET(A1_集計2025,$A67,BE$1),"")</f>
        <v/>
      </c>
      <c r="BF67" s="954" t="str">
        <f ca="1">IFERROR(OFFSET(A1_集計2026,$A67,BF$1),"")</f>
        <v/>
      </c>
      <c r="BG67" s="954" t="str">
        <f ca="1">IFERROR(OFFSET(A1_集計2027,$A67,BG$1),"")</f>
        <v/>
      </c>
      <c r="BH67" s="954" t="str">
        <f ca="1">IFERROR(OFFSET(A1_集計2024,$A67,BH$1),"")</f>
        <v/>
      </c>
      <c r="BI67" s="954" t="str">
        <f ca="1">IFERROR(OFFSET(A1_集計2025,$A67,BI$1),"")</f>
        <v/>
      </c>
      <c r="BJ67" s="954" t="str">
        <f ca="1">IFERROR(OFFSET(A1_集計2026,$A67,BJ$1),"")</f>
        <v/>
      </c>
      <c r="BK67" s="954" t="str">
        <f ca="1">IFERROR(OFFSET(A1_集計2027,$A67,BK$1),"")</f>
        <v/>
      </c>
      <c r="BL67" s="954" t="str">
        <f ca="1">IFERROR(OFFSET(A1_集計2024,$A67,BL$1),"")</f>
        <v/>
      </c>
      <c r="BM67" s="954" t="str">
        <f ca="1">IFERROR(OFFSET(A1_集計2025,$A67,BM$1),"")</f>
        <v/>
      </c>
      <c r="BN67" s="954" t="str">
        <f ca="1">IFERROR(OFFSET(A1_集計2026,$A67,BN$1),"")</f>
        <v/>
      </c>
      <c r="BO67" s="954" t="str">
        <f ca="1">IFERROR(OFFSET(A1_集計2027,$A67,BO$1),"")</f>
        <v/>
      </c>
      <c r="BP67" s="841"/>
    </row>
    <row r="68" spans="1:68" ht="20.100000000000001" hidden="1" customHeight="1" outlineLevel="1">
      <c r="A68" s="952">
        <v>74</v>
      </c>
      <c r="B68" s="1870"/>
      <c r="C68" s="1872" t="s">
        <v>4436</v>
      </c>
      <c r="D68" s="851" t="s">
        <v>4437</v>
      </c>
      <c r="E68" s="824"/>
      <c r="F68" s="849"/>
      <c r="G68" s="891" t="s">
        <v>4685</v>
      </c>
      <c r="H68" s="953">
        <f ca="1">IFERROR(OFFSET(貼付け_2024実績,$A68,6),"")</f>
        <v>0</v>
      </c>
      <c r="I68" s="953">
        <f ca="1">IFERROR(OFFSET(貼付け_2025実績,$A68,6),"")</f>
        <v>0</v>
      </c>
      <c r="J68" s="953">
        <f ca="1">IFERROR(OFFSET(貼付け_2026実績,$A68,6),"")</f>
        <v>0</v>
      </c>
      <c r="K68" s="953">
        <f ca="1">IFERROR(OFFSET(貼付け_2027実績,$A68,6),"")</f>
        <v>0</v>
      </c>
      <c r="L68" s="954">
        <f ca="1">IFERROR($H68*参考2_エネ使用量経年!L69*1000,"")</f>
        <v>0</v>
      </c>
      <c r="M68" s="954">
        <f ca="1">IFERROR($I68*参考2_エネ使用量経年!M69*1000,"")</f>
        <v>0</v>
      </c>
      <c r="N68" s="954">
        <f ca="1">IFERROR($J68*参考2_エネ使用量経年!N69*1000,"")</f>
        <v>0</v>
      </c>
      <c r="O68" s="954">
        <f ca="1">IFERROR($K68*参考2_エネ使用量経年!O69*1000,"")</f>
        <v>0</v>
      </c>
      <c r="P68" s="954">
        <f ca="1">IFERROR($H68*参考2_エネ使用量経年!P69*1000,"")</f>
        <v>0</v>
      </c>
      <c r="Q68" s="954">
        <f ca="1">IFERROR($I68*参考2_エネ使用量経年!Q69*1000,"")</f>
        <v>0</v>
      </c>
      <c r="R68" s="954">
        <f ca="1">IFERROR($J68*参考2_エネ使用量経年!R69*1000,"")</f>
        <v>0</v>
      </c>
      <c r="S68" s="954">
        <f ca="1">IFERROR($K68*参考2_エネ使用量経年!S69*1000,"")</f>
        <v>0</v>
      </c>
      <c r="T68" s="954">
        <f ca="1">IFERROR($H68*参考2_エネ使用量経年!T69*1000,"")</f>
        <v>0</v>
      </c>
      <c r="U68" s="954">
        <f ca="1">IFERROR($I68*参考2_エネ使用量経年!U69*1000,"")</f>
        <v>0</v>
      </c>
      <c r="V68" s="954">
        <f ca="1">IFERROR($J68*参考2_エネ使用量経年!V69*1000,"")</f>
        <v>0</v>
      </c>
      <c r="W68" s="954">
        <f ca="1">IFERROR($K68*参考2_エネ使用量経年!W69*1000,"")</f>
        <v>0</v>
      </c>
      <c r="X68" s="954">
        <f ca="1">IFERROR($H68*参考2_エネ使用量経年!X69*1000,"")</f>
        <v>0</v>
      </c>
      <c r="Y68" s="954">
        <f ca="1">IFERROR($I68*参考2_エネ使用量経年!Y69*1000,"")</f>
        <v>0</v>
      </c>
      <c r="Z68" s="954">
        <f ca="1">IFERROR($J68*参考2_エネ使用量経年!Z69*1000,"")</f>
        <v>0</v>
      </c>
      <c r="AA68" s="954">
        <f ca="1">IFERROR($K68*参考2_エネ使用量経年!AA69*1000,"")</f>
        <v>0</v>
      </c>
      <c r="AB68" s="954" t="str">
        <f ca="1">IFERROR($H68*参考2_エネ使用量経年!AB69*1000,"")</f>
        <v/>
      </c>
      <c r="AC68" s="954" t="str">
        <f ca="1">IFERROR($I68*参考2_エネ使用量経年!AC69*1000,"")</f>
        <v/>
      </c>
      <c r="AD68" s="954" t="str">
        <f ca="1">IFERROR($J68*参考2_エネ使用量経年!AD69*1000,"")</f>
        <v/>
      </c>
      <c r="AE68" s="954" t="str">
        <f ca="1">IFERROR($K68*参考2_エネ使用量経年!AE69*1000,"")</f>
        <v/>
      </c>
      <c r="AF68" s="954" t="str">
        <f ca="1">IFERROR($H68*参考2_エネ使用量経年!AF69*1000,"")</f>
        <v/>
      </c>
      <c r="AG68" s="954" t="str">
        <f ca="1">IFERROR($I68*参考2_エネ使用量経年!AG69*1000,"")</f>
        <v/>
      </c>
      <c r="AH68" s="954" t="str">
        <f ca="1">IFERROR($J68*参考2_エネ使用量経年!AH69*1000,"")</f>
        <v/>
      </c>
      <c r="AI68" s="954" t="str">
        <f ca="1">IFERROR($K68*参考2_エネ使用量経年!AI69*1000,"")</f>
        <v/>
      </c>
      <c r="AJ68" s="954" t="str">
        <f ca="1">IFERROR($H68*参考2_エネ使用量経年!AJ69*1000,"")</f>
        <v/>
      </c>
      <c r="AK68" s="954" t="str">
        <f ca="1">IFERROR($I68*参考2_エネ使用量経年!AK69*1000,"")</f>
        <v/>
      </c>
      <c r="AL68" s="954" t="str">
        <f ca="1">IFERROR($J68*参考2_エネ使用量経年!AL69*1000,"")</f>
        <v/>
      </c>
      <c r="AM68" s="954" t="str">
        <f ca="1">IFERROR($K68*参考2_エネ使用量経年!AM69*1000,"")</f>
        <v/>
      </c>
      <c r="AN68" s="954" t="str">
        <f ca="1">IFERROR($H68*参考2_エネ使用量経年!AN69*1000,"")</f>
        <v/>
      </c>
      <c r="AO68" s="954" t="str">
        <f ca="1">IFERROR($I68*参考2_エネ使用量経年!AO69*1000,"")</f>
        <v/>
      </c>
      <c r="AP68" s="954" t="str">
        <f ca="1">IFERROR($J68*参考2_エネ使用量経年!AP69*1000,"")</f>
        <v/>
      </c>
      <c r="AQ68" s="954" t="str">
        <f ca="1">IFERROR($K68*参考2_エネ使用量経年!AQ69*1000,"")</f>
        <v/>
      </c>
      <c r="AR68" s="954" t="str">
        <f ca="1">IFERROR($H68*参考2_エネ使用量経年!AR69*1000,"")</f>
        <v/>
      </c>
      <c r="AS68" s="954" t="str">
        <f ca="1">IFERROR($I68*参考2_エネ使用量経年!AS69*1000,"")</f>
        <v/>
      </c>
      <c r="AT68" s="954" t="str">
        <f ca="1">IFERROR($J68*参考2_エネ使用量経年!AT69*1000,"")</f>
        <v/>
      </c>
      <c r="AU68" s="954" t="str">
        <f ca="1">IFERROR($K68*参考2_エネ使用量経年!AU69*1000,"")</f>
        <v/>
      </c>
      <c r="AV68" s="954" t="str">
        <f ca="1">IFERROR($H68*参考2_エネ使用量経年!AV69*1000,"")</f>
        <v/>
      </c>
      <c r="AW68" s="954" t="str">
        <f ca="1">IFERROR($I68*参考2_エネ使用量経年!AW69*1000,"")</f>
        <v/>
      </c>
      <c r="AX68" s="954" t="str">
        <f ca="1">IFERROR($J68*参考2_エネ使用量経年!AX69*1000,"")</f>
        <v/>
      </c>
      <c r="AY68" s="954" t="str">
        <f ca="1">IFERROR($K68*参考2_エネ使用量経年!AY69*1000,"")</f>
        <v/>
      </c>
      <c r="AZ68" s="954" t="str">
        <f ca="1">IFERROR($H68*参考2_エネ使用量経年!AZ69*1000,"")</f>
        <v/>
      </c>
      <c r="BA68" s="954" t="str">
        <f ca="1">IFERROR($I68*参考2_エネ使用量経年!BA69*1000,"")</f>
        <v/>
      </c>
      <c r="BB68" s="954" t="str">
        <f ca="1">IFERROR($J68*参考2_エネ使用量経年!BB69*1000,"")</f>
        <v/>
      </c>
      <c r="BC68" s="954" t="str">
        <f ca="1">IFERROR($K68*参考2_エネ使用量経年!BC69*1000,"")</f>
        <v/>
      </c>
      <c r="BD68" s="954" t="str">
        <f ca="1">IFERROR($H68*参考2_エネ使用量経年!BD69*1000,"")</f>
        <v/>
      </c>
      <c r="BE68" s="954" t="str">
        <f ca="1">IFERROR($I68*参考2_エネ使用量経年!BE69*1000,"")</f>
        <v/>
      </c>
      <c r="BF68" s="954" t="str">
        <f ca="1">IFERROR($J68*参考2_エネ使用量経年!BF69*1000,"")</f>
        <v/>
      </c>
      <c r="BG68" s="954" t="str">
        <f ca="1">IFERROR($K68*参考2_エネ使用量経年!BG69*1000,"")</f>
        <v/>
      </c>
      <c r="BH68" s="954" t="str">
        <f ca="1">IFERROR($H68*参考2_エネ使用量経年!BH69*1000,"")</f>
        <v/>
      </c>
      <c r="BI68" s="954" t="str">
        <f ca="1">IFERROR($I68*参考2_エネ使用量経年!BI69*1000,"")</f>
        <v/>
      </c>
      <c r="BJ68" s="954" t="str">
        <f ca="1">IFERROR($J68*参考2_エネ使用量経年!BJ69*1000,"")</f>
        <v/>
      </c>
      <c r="BK68" s="954" t="str">
        <f ca="1">IFERROR($K68*参考2_エネ使用量経年!BK69*1000,"")</f>
        <v/>
      </c>
      <c r="BL68" s="954" t="str">
        <f ca="1">IFERROR($H68*参考2_エネ使用量経年!BL69*1000,"")</f>
        <v/>
      </c>
      <c r="BM68" s="954" t="str">
        <f ca="1">IFERROR($I68*参考2_エネ使用量経年!BM69*1000,"")</f>
        <v/>
      </c>
      <c r="BN68" s="954" t="str">
        <f ca="1">IFERROR($J68*参考2_エネ使用量経年!BN69*1000,"")</f>
        <v/>
      </c>
      <c r="BO68" s="954" t="str">
        <f ca="1">IFERROR($K68*参考2_エネ使用量経年!BO69*1000,"")</f>
        <v/>
      </c>
      <c r="BP68" s="841"/>
    </row>
    <row r="69" spans="1:68" ht="20.100000000000001" hidden="1" customHeight="1" outlineLevel="1">
      <c r="A69" s="952">
        <v>76</v>
      </c>
      <c r="B69" s="1870"/>
      <c r="C69" s="1872"/>
      <c r="D69" s="853" t="s">
        <v>4438</v>
      </c>
      <c r="E69" s="824"/>
      <c r="F69" s="849"/>
      <c r="G69" s="891" t="s">
        <v>4685</v>
      </c>
      <c r="H69" s="953">
        <f ca="1">IFERROR(OFFSET(貼付け_2024実績,$A69,6),"")</f>
        <v>0</v>
      </c>
      <c r="I69" s="953">
        <f ca="1">IFERROR(OFFSET(貼付け_2025実績,$A69,6),"")</f>
        <v>0</v>
      </c>
      <c r="J69" s="953">
        <f ca="1">IFERROR(OFFSET(貼付け_2026実績,$A69,6),"")</f>
        <v>0</v>
      </c>
      <c r="K69" s="953">
        <f ca="1">IFERROR(OFFSET(貼付け_2027実績,$A69,6),"")</f>
        <v>0</v>
      </c>
      <c r="L69" s="954">
        <f ca="1">IFERROR($H69*参考2_エネ使用量経年!L70*1000,"")</f>
        <v>0</v>
      </c>
      <c r="M69" s="954">
        <f ca="1">IFERROR($I69*参考2_エネ使用量経年!M70*1000,"")</f>
        <v>0</v>
      </c>
      <c r="N69" s="954">
        <f ca="1">IFERROR($J69*参考2_エネ使用量経年!N70*1000,"")</f>
        <v>0</v>
      </c>
      <c r="O69" s="954">
        <f ca="1">IFERROR($K69*参考2_エネ使用量経年!O70*1000,"")</f>
        <v>0</v>
      </c>
      <c r="P69" s="954">
        <f ca="1">IFERROR($H69*参考2_エネ使用量経年!P70*1000,"")</f>
        <v>0</v>
      </c>
      <c r="Q69" s="954">
        <f ca="1">IFERROR($I69*参考2_エネ使用量経年!Q70*1000,"")</f>
        <v>0</v>
      </c>
      <c r="R69" s="954">
        <f ca="1">IFERROR($J69*参考2_エネ使用量経年!R70*1000,"")</f>
        <v>0</v>
      </c>
      <c r="S69" s="954">
        <f ca="1">IFERROR($K69*参考2_エネ使用量経年!S70*1000,"")</f>
        <v>0</v>
      </c>
      <c r="T69" s="954">
        <f ca="1">IFERROR($H69*参考2_エネ使用量経年!T70*1000,"")</f>
        <v>0</v>
      </c>
      <c r="U69" s="954">
        <f ca="1">IFERROR($I69*参考2_エネ使用量経年!U70*1000,"")</f>
        <v>0</v>
      </c>
      <c r="V69" s="954">
        <f ca="1">IFERROR($J69*参考2_エネ使用量経年!V70*1000,"")</f>
        <v>0</v>
      </c>
      <c r="W69" s="954">
        <f ca="1">IFERROR($K69*参考2_エネ使用量経年!W70*1000,"")</f>
        <v>0</v>
      </c>
      <c r="X69" s="954">
        <f ca="1">IFERROR($H69*参考2_エネ使用量経年!X70*1000,"")</f>
        <v>0</v>
      </c>
      <c r="Y69" s="954">
        <f ca="1">IFERROR($I69*参考2_エネ使用量経年!Y70*1000,"")</f>
        <v>0</v>
      </c>
      <c r="Z69" s="954">
        <f ca="1">IFERROR($J69*参考2_エネ使用量経年!Z70*1000,"")</f>
        <v>0</v>
      </c>
      <c r="AA69" s="954">
        <f ca="1">IFERROR($K69*参考2_エネ使用量経年!AA70*1000,"")</f>
        <v>0</v>
      </c>
      <c r="AB69" s="954" t="str">
        <f ca="1">IFERROR($H69*参考2_エネ使用量経年!AB70*1000,"")</f>
        <v/>
      </c>
      <c r="AC69" s="954" t="str">
        <f ca="1">IFERROR($I69*参考2_エネ使用量経年!AC70*1000,"")</f>
        <v/>
      </c>
      <c r="AD69" s="954" t="str">
        <f ca="1">IFERROR($J69*参考2_エネ使用量経年!AD70*1000,"")</f>
        <v/>
      </c>
      <c r="AE69" s="954" t="str">
        <f ca="1">IFERROR($K69*参考2_エネ使用量経年!AE70*1000,"")</f>
        <v/>
      </c>
      <c r="AF69" s="954" t="str">
        <f ca="1">IFERROR($H69*参考2_エネ使用量経年!AF70*1000,"")</f>
        <v/>
      </c>
      <c r="AG69" s="954" t="str">
        <f ca="1">IFERROR($I69*参考2_エネ使用量経年!AG70*1000,"")</f>
        <v/>
      </c>
      <c r="AH69" s="954" t="str">
        <f ca="1">IFERROR($J69*参考2_エネ使用量経年!AH70*1000,"")</f>
        <v/>
      </c>
      <c r="AI69" s="954" t="str">
        <f ca="1">IFERROR($K69*参考2_エネ使用量経年!AI70*1000,"")</f>
        <v/>
      </c>
      <c r="AJ69" s="954" t="str">
        <f ca="1">IFERROR($H69*参考2_エネ使用量経年!AJ70*1000,"")</f>
        <v/>
      </c>
      <c r="AK69" s="954" t="str">
        <f ca="1">IFERROR($I69*参考2_エネ使用量経年!AK70*1000,"")</f>
        <v/>
      </c>
      <c r="AL69" s="954" t="str">
        <f ca="1">IFERROR($J69*参考2_エネ使用量経年!AL70*1000,"")</f>
        <v/>
      </c>
      <c r="AM69" s="954" t="str">
        <f ca="1">IFERROR($K69*参考2_エネ使用量経年!AM70*1000,"")</f>
        <v/>
      </c>
      <c r="AN69" s="954" t="str">
        <f ca="1">IFERROR($H69*参考2_エネ使用量経年!AN70*1000,"")</f>
        <v/>
      </c>
      <c r="AO69" s="954" t="str">
        <f ca="1">IFERROR($I69*参考2_エネ使用量経年!AO70*1000,"")</f>
        <v/>
      </c>
      <c r="AP69" s="954" t="str">
        <f ca="1">IFERROR($J69*参考2_エネ使用量経年!AP70*1000,"")</f>
        <v/>
      </c>
      <c r="AQ69" s="954" t="str">
        <f ca="1">IFERROR($K69*参考2_エネ使用量経年!AQ70*1000,"")</f>
        <v/>
      </c>
      <c r="AR69" s="954" t="str">
        <f ca="1">IFERROR($H69*参考2_エネ使用量経年!AR70*1000,"")</f>
        <v/>
      </c>
      <c r="AS69" s="954" t="str">
        <f ca="1">IFERROR($I69*参考2_エネ使用量経年!AS70*1000,"")</f>
        <v/>
      </c>
      <c r="AT69" s="954" t="str">
        <f ca="1">IFERROR($J69*参考2_エネ使用量経年!AT70*1000,"")</f>
        <v/>
      </c>
      <c r="AU69" s="954" t="str">
        <f ca="1">IFERROR($K69*参考2_エネ使用量経年!AU70*1000,"")</f>
        <v/>
      </c>
      <c r="AV69" s="954" t="str">
        <f ca="1">IFERROR($H69*参考2_エネ使用量経年!AV70*1000,"")</f>
        <v/>
      </c>
      <c r="AW69" s="954" t="str">
        <f ca="1">IFERROR($I69*参考2_エネ使用量経年!AW70*1000,"")</f>
        <v/>
      </c>
      <c r="AX69" s="954" t="str">
        <f ca="1">IFERROR($J69*参考2_エネ使用量経年!AX70*1000,"")</f>
        <v/>
      </c>
      <c r="AY69" s="954" t="str">
        <f ca="1">IFERROR($K69*参考2_エネ使用量経年!AY70*1000,"")</f>
        <v/>
      </c>
      <c r="AZ69" s="954" t="str">
        <f ca="1">IFERROR($H69*参考2_エネ使用量経年!AZ70*1000,"")</f>
        <v/>
      </c>
      <c r="BA69" s="954" t="str">
        <f ca="1">IFERROR($I69*参考2_エネ使用量経年!BA70*1000,"")</f>
        <v/>
      </c>
      <c r="BB69" s="954" t="str">
        <f ca="1">IFERROR($J69*参考2_エネ使用量経年!BB70*1000,"")</f>
        <v/>
      </c>
      <c r="BC69" s="954" t="str">
        <f ca="1">IFERROR($K69*参考2_エネ使用量経年!BC70*1000,"")</f>
        <v/>
      </c>
      <c r="BD69" s="954" t="str">
        <f ca="1">IFERROR($H69*参考2_エネ使用量経年!BD70*1000,"")</f>
        <v/>
      </c>
      <c r="BE69" s="954" t="str">
        <f ca="1">IFERROR($I69*参考2_エネ使用量経年!BE70*1000,"")</f>
        <v/>
      </c>
      <c r="BF69" s="954" t="str">
        <f ca="1">IFERROR($J69*参考2_エネ使用量経年!BF70*1000,"")</f>
        <v/>
      </c>
      <c r="BG69" s="954" t="str">
        <f ca="1">IFERROR($K69*参考2_エネ使用量経年!BG70*1000,"")</f>
        <v/>
      </c>
      <c r="BH69" s="954" t="str">
        <f ca="1">IFERROR($H69*参考2_エネ使用量経年!BH70*1000,"")</f>
        <v/>
      </c>
      <c r="BI69" s="954" t="str">
        <f ca="1">IFERROR($I69*参考2_エネ使用量経年!BI70*1000,"")</f>
        <v/>
      </c>
      <c r="BJ69" s="954" t="str">
        <f ca="1">IFERROR($J69*参考2_エネ使用量経年!BJ70*1000,"")</f>
        <v/>
      </c>
      <c r="BK69" s="954" t="str">
        <f ca="1">IFERROR($K69*参考2_エネ使用量経年!BK70*1000,"")</f>
        <v/>
      </c>
      <c r="BL69" s="954" t="str">
        <f ca="1">IFERROR($H69*参考2_エネ使用量経年!BL70*1000,"")</f>
        <v/>
      </c>
      <c r="BM69" s="954" t="str">
        <f ca="1">IFERROR($I69*参考2_エネ使用量経年!BM70*1000,"")</f>
        <v/>
      </c>
      <c r="BN69" s="954" t="str">
        <f ca="1">IFERROR($J69*参考2_エネ使用量経年!BN70*1000,"")</f>
        <v/>
      </c>
      <c r="BO69" s="954" t="str">
        <f ca="1">IFERROR($K69*参考2_エネ使用量経年!BO70*1000,"")</f>
        <v/>
      </c>
      <c r="BP69" s="841"/>
    </row>
    <row r="70" spans="1:68" ht="20.100000000000001" hidden="1" customHeight="1" outlineLevel="1">
      <c r="A70" s="952">
        <v>77</v>
      </c>
      <c r="B70" s="1870"/>
      <c r="C70" s="1872"/>
      <c r="D70" s="853" t="s">
        <v>4250</v>
      </c>
      <c r="E70" s="831" t="str">
        <f ca="1">参考2_エネ使用量経年!E71</f>
        <v/>
      </c>
      <c r="F70" s="833"/>
      <c r="G70" s="891" t="s">
        <v>4685</v>
      </c>
      <c r="H70" s="953">
        <f ca="1">IFERROR(OFFSET(貼付け_2024実績,$A70,6),"")</f>
        <v>0</v>
      </c>
      <c r="I70" s="953">
        <f ca="1">IFERROR(OFFSET(貼付け_2025実績,$A70,6),"")</f>
        <v>0</v>
      </c>
      <c r="J70" s="953">
        <f ca="1">IFERROR(OFFSET(貼付け_2026実績,$A70,6),"")</f>
        <v>0</v>
      </c>
      <c r="K70" s="953">
        <f ca="1">IFERROR(OFFSET(貼付け_2027実績,$A70,6),"")</f>
        <v>0</v>
      </c>
      <c r="L70" s="954">
        <f ca="1">IFERROR($H70*参考2_エネ使用量経年!L71*1000,"")</f>
        <v>0</v>
      </c>
      <c r="M70" s="954">
        <f ca="1">IFERROR($I70*参考2_エネ使用量経年!M71*1000,"")</f>
        <v>0</v>
      </c>
      <c r="N70" s="954">
        <f ca="1">IFERROR($J70*参考2_エネ使用量経年!N71*1000,"")</f>
        <v>0</v>
      </c>
      <c r="O70" s="954">
        <f ca="1">IFERROR($K70*参考2_エネ使用量経年!O71*1000,"")</f>
        <v>0</v>
      </c>
      <c r="P70" s="954">
        <f ca="1">IFERROR($H70*参考2_エネ使用量経年!P71*1000,"")</f>
        <v>0</v>
      </c>
      <c r="Q70" s="954">
        <f ca="1">IFERROR($I70*参考2_エネ使用量経年!Q71*1000,"")</f>
        <v>0</v>
      </c>
      <c r="R70" s="954">
        <f ca="1">IFERROR($J70*参考2_エネ使用量経年!R71*1000,"")</f>
        <v>0</v>
      </c>
      <c r="S70" s="954">
        <f ca="1">IFERROR($K70*参考2_エネ使用量経年!S71*1000,"")</f>
        <v>0</v>
      </c>
      <c r="T70" s="954">
        <f ca="1">IFERROR($H70*参考2_エネ使用量経年!T71*1000,"")</f>
        <v>0</v>
      </c>
      <c r="U70" s="954">
        <f ca="1">IFERROR($I70*参考2_エネ使用量経年!U71*1000,"")</f>
        <v>0</v>
      </c>
      <c r="V70" s="954">
        <f ca="1">IFERROR($J70*参考2_エネ使用量経年!V71*1000,"")</f>
        <v>0</v>
      </c>
      <c r="W70" s="954">
        <f ca="1">IFERROR($K70*参考2_エネ使用量経年!W71*1000,"")</f>
        <v>0</v>
      </c>
      <c r="X70" s="954">
        <f ca="1">IFERROR($H70*参考2_エネ使用量経年!X71*1000,"")</f>
        <v>0</v>
      </c>
      <c r="Y70" s="954">
        <f ca="1">IFERROR($I70*参考2_エネ使用量経年!Y71*1000,"")</f>
        <v>0</v>
      </c>
      <c r="Z70" s="954">
        <f ca="1">IFERROR($J70*参考2_エネ使用量経年!Z71*1000,"")</f>
        <v>0</v>
      </c>
      <c r="AA70" s="954">
        <f ca="1">IFERROR($K70*参考2_エネ使用量経年!AA71*1000,"")</f>
        <v>0</v>
      </c>
      <c r="AB70" s="954" t="str">
        <f ca="1">IFERROR($H70*参考2_エネ使用量経年!AB71*1000,"")</f>
        <v/>
      </c>
      <c r="AC70" s="954" t="str">
        <f ca="1">IFERROR($I70*参考2_エネ使用量経年!AC71*1000,"")</f>
        <v/>
      </c>
      <c r="AD70" s="954" t="str">
        <f ca="1">IFERROR($J70*参考2_エネ使用量経年!AD71*1000,"")</f>
        <v/>
      </c>
      <c r="AE70" s="954" t="str">
        <f ca="1">IFERROR($K70*参考2_エネ使用量経年!AE71*1000,"")</f>
        <v/>
      </c>
      <c r="AF70" s="954" t="str">
        <f ca="1">IFERROR($H70*参考2_エネ使用量経年!AF71*1000,"")</f>
        <v/>
      </c>
      <c r="AG70" s="954" t="str">
        <f ca="1">IFERROR($I70*参考2_エネ使用量経年!AG71*1000,"")</f>
        <v/>
      </c>
      <c r="AH70" s="954" t="str">
        <f ca="1">IFERROR($J70*参考2_エネ使用量経年!AH71*1000,"")</f>
        <v/>
      </c>
      <c r="AI70" s="954" t="str">
        <f ca="1">IFERROR($K70*参考2_エネ使用量経年!AI71*1000,"")</f>
        <v/>
      </c>
      <c r="AJ70" s="954" t="str">
        <f ca="1">IFERROR($H70*参考2_エネ使用量経年!AJ71*1000,"")</f>
        <v/>
      </c>
      <c r="AK70" s="954" t="str">
        <f ca="1">IFERROR($I70*参考2_エネ使用量経年!AK71*1000,"")</f>
        <v/>
      </c>
      <c r="AL70" s="954" t="str">
        <f ca="1">IFERROR($J70*参考2_エネ使用量経年!AL71*1000,"")</f>
        <v/>
      </c>
      <c r="AM70" s="954" t="str">
        <f ca="1">IFERROR($K70*参考2_エネ使用量経年!AM71*1000,"")</f>
        <v/>
      </c>
      <c r="AN70" s="954" t="str">
        <f ca="1">IFERROR($H70*参考2_エネ使用量経年!AN71*1000,"")</f>
        <v/>
      </c>
      <c r="AO70" s="954" t="str">
        <f ca="1">IFERROR($I70*参考2_エネ使用量経年!AO71*1000,"")</f>
        <v/>
      </c>
      <c r="AP70" s="954" t="str">
        <f ca="1">IFERROR($J70*参考2_エネ使用量経年!AP71*1000,"")</f>
        <v/>
      </c>
      <c r="AQ70" s="954" t="str">
        <f ca="1">IFERROR($K70*参考2_エネ使用量経年!AQ71*1000,"")</f>
        <v/>
      </c>
      <c r="AR70" s="954" t="str">
        <f ca="1">IFERROR($H70*参考2_エネ使用量経年!AR71*1000,"")</f>
        <v/>
      </c>
      <c r="AS70" s="954" t="str">
        <f ca="1">IFERROR($I70*参考2_エネ使用量経年!AS71*1000,"")</f>
        <v/>
      </c>
      <c r="AT70" s="954" t="str">
        <f ca="1">IFERROR($J70*参考2_エネ使用量経年!AT71*1000,"")</f>
        <v/>
      </c>
      <c r="AU70" s="954" t="str">
        <f ca="1">IFERROR($K70*参考2_エネ使用量経年!AU71*1000,"")</f>
        <v/>
      </c>
      <c r="AV70" s="954" t="str">
        <f ca="1">IFERROR($H70*参考2_エネ使用量経年!AV71*1000,"")</f>
        <v/>
      </c>
      <c r="AW70" s="954" t="str">
        <f ca="1">IFERROR($I70*参考2_エネ使用量経年!AW71*1000,"")</f>
        <v/>
      </c>
      <c r="AX70" s="954" t="str">
        <f ca="1">IFERROR($J70*参考2_エネ使用量経年!AX71*1000,"")</f>
        <v/>
      </c>
      <c r="AY70" s="954" t="str">
        <f ca="1">IFERROR($K70*参考2_エネ使用量経年!AY71*1000,"")</f>
        <v/>
      </c>
      <c r="AZ70" s="954" t="str">
        <f ca="1">IFERROR($H70*参考2_エネ使用量経年!AZ71*1000,"")</f>
        <v/>
      </c>
      <c r="BA70" s="954" t="str">
        <f ca="1">IFERROR($I70*参考2_エネ使用量経年!BA71*1000,"")</f>
        <v/>
      </c>
      <c r="BB70" s="954" t="str">
        <f ca="1">IFERROR($J70*参考2_エネ使用量経年!BB71*1000,"")</f>
        <v/>
      </c>
      <c r="BC70" s="954" t="str">
        <f ca="1">IFERROR($K70*参考2_エネ使用量経年!BC71*1000,"")</f>
        <v/>
      </c>
      <c r="BD70" s="954" t="str">
        <f ca="1">IFERROR($H70*参考2_エネ使用量経年!BD71*1000,"")</f>
        <v/>
      </c>
      <c r="BE70" s="954" t="str">
        <f ca="1">IFERROR($I70*参考2_エネ使用量経年!BE71*1000,"")</f>
        <v/>
      </c>
      <c r="BF70" s="954" t="str">
        <f ca="1">IFERROR($J70*参考2_エネ使用量経年!BF71*1000,"")</f>
        <v/>
      </c>
      <c r="BG70" s="954" t="str">
        <f ca="1">IFERROR($K70*参考2_エネ使用量経年!BG71*1000,"")</f>
        <v/>
      </c>
      <c r="BH70" s="954" t="str">
        <f ca="1">IFERROR($H70*参考2_エネ使用量経年!BH71*1000,"")</f>
        <v/>
      </c>
      <c r="BI70" s="954" t="str">
        <f ca="1">IFERROR($I70*参考2_エネ使用量経年!BI71*1000,"")</f>
        <v/>
      </c>
      <c r="BJ70" s="954" t="str">
        <f ca="1">IFERROR($J70*参考2_エネ使用量経年!BJ71*1000,"")</f>
        <v/>
      </c>
      <c r="BK70" s="954" t="str">
        <f ca="1">IFERROR($K70*参考2_エネ使用量経年!BK71*1000,"")</f>
        <v/>
      </c>
      <c r="BL70" s="954" t="str">
        <f ca="1">IFERROR($H70*参考2_エネ使用量経年!BL71*1000,"")</f>
        <v/>
      </c>
      <c r="BM70" s="954" t="str">
        <f ca="1">IFERROR($I70*参考2_エネ使用量経年!BM71*1000,"")</f>
        <v/>
      </c>
      <c r="BN70" s="954" t="str">
        <f ca="1">IFERROR($J70*参考2_エネ使用量経年!BN71*1000,"")</f>
        <v/>
      </c>
      <c r="BO70" s="954" t="str">
        <f ca="1">IFERROR($K70*参考2_エネ使用量経年!BO71*1000,"")</f>
        <v/>
      </c>
      <c r="BP70" s="841"/>
    </row>
    <row r="71" spans="1:68" ht="20.100000000000001" hidden="1" customHeight="1" outlineLevel="1">
      <c r="A71" s="952">
        <v>80</v>
      </c>
      <c r="B71" s="1870"/>
      <c r="C71" s="1872"/>
      <c r="D71" s="944" t="s">
        <v>4251</v>
      </c>
      <c r="E71" s="831" t="str">
        <f ca="1">参考2_エネ使用量経年!E73</f>
        <v/>
      </c>
      <c r="F71" s="833"/>
      <c r="G71" s="891" t="s">
        <v>4685</v>
      </c>
      <c r="H71" s="953">
        <f ca="1">IFERROR(OFFSET(貼付け_2024実績,$A71,6),"")</f>
        <v>0</v>
      </c>
      <c r="I71" s="953">
        <f ca="1">IFERROR(OFFSET(貼付け_2025実績,$A71,6),"")</f>
        <v>0</v>
      </c>
      <c r="J71" s="953">
        <f ca="1">IFERROR(OFFSET(貼付け_2026実績,$A71,6),"")</f>
        <v>0</v>
      </c>
      <c r="K71" s="953">
        <f ca="1">IFERROR(OFFSET(貼付け_2027実績,$A71,6),"")</f>
        <v>0</v>
      </c>
      <c r="L71" s="954">
        <f ca="1">IFERROR($H71*参考2_エネ使用量経年!L73*1000,"")</f>
        <v>0</v>
      </c>
      <c r="M71" s="954">
        <f ca="1">IFERROR($I71*参考2_エネ使用量経年!M73*1000,"")</f>
        <v>0</v>
      </c>
      <c r="N71" s="954">
        <f ca="1">IFERROR($J71*参考2_エネ使用量経年!N73*1000,"")</f>
        <v>0</v>
      </c>
      <c r="O71" s="954">
        <f ca="1">IFERROR($K71*参考2_エネ使用量経年!O73*1000,"")</f>
        <v>0</v>
      </c>
      <c r="P71" s="954">
        <f ca="1">IFERROR($H71*参考2_エネ使用量経年!P73*1000,"")</f>
        <v>0</v>
      </c>
      <c r="Q71" s="954">
        <f ca="1">IFERROR($I71*参考2_エネ使用量経年!Q73*1000,"")</f>
        <v>0</v>
      </c>
      <c r="R71" s="954">
        <f ca="1">IFERROR($J71*参考2_エネ使用量経年!R73*1000,"")</f>
        <v>0</v>
      </c>
      <c r="S71" s="954">
        <f ca="1">IFERROR($K71*参考2_エネ使用量経年!S73*1000,"")</f>
        <v>0</v>
      </c>
      <c r="T71" s="954">
        <f ca="1">IFERROR($H71*参考2_エネ使用量経年!T73*1000,"")</f>
        <v>0</v>
      </c>
      <c r="U71" s="954">
        <f ca="1">IFERROR($I71*参考2_エネ使用量経年!U73*1000,"")</f>
        <v>0</v>
      </c>
      <c r="V71" s="954">
        <f ca="1">IFERROR($J71*参考2_エネ使用量経年!V73*1000,"")</f>
        <v>0</v>
      </c>
      <c r="W71" s="954">
        <f ca="1">IFERROR($K71*参考2_エネ使用量経年!W73*1000,"")</f>
        <v>0</v>
      </c>
      <c r="X71" s="954">
        <f ca="1">IFERROR($H71*参考2_エネ使用量経年!X73*1000,"")</f>
        <v>0</v>
      </c>
      <c r="Y71" s="954">
        <f ca="1">IFERROR($I71*参考2_エネ使用量経年!Y73*1000,"")</f>
        <v>0</v>
      </c>
      <c r="Z71" s="954">
        <f ca="1">IFERROR($J71*参考2_エネ使用量経年!Z73*1000,"")</f>
        <v>0</v>
      </c>
      <c r="AA71" s="954">
        <f ca="1">IFERROR($K71*参考2_エネ使用量経年!AA73*1000,"")</f>
        <v>0</v>
      </c>
      <c r="AB71" s="954" t="str">
        <f ca="1">IFERROR($H71*参考2_エネ使用量経年!AB73*1000,"")</f>
        <v/>
      </c>
      <c r="AC71" s="954" t="str">
        <f ca="1">IFERROR($I71*参考2_エネ使用量経年!AC73*1000,"")</f>
        <v/>
      </c>
      <c r="AD71" s="954" t="str">
        <f ca="1">IFERROR($J71*参考2_エネ使用量経年!AD73*1000,"")</f>
        <v/>
      </c>
      <c r="AE71" s="954" t="str">
        <f ca="1">IFERROR($K71*参考2_エネ使用量経年!AE73*1000,"")</f>
        <v/>
      </c>
      <c r="AF71" s="954" t="str">
        <f ca="1">IFERROR($H71*参考2_エネ使用量経年!AF73*1000,"")</f>
        <v/>
      </c>
      <c r="AG71" s="954" t="str">
        <f ca="1">IFERROR($I71*参考2_エネ使用量経年!AG73*1000,"")</f>
        <v/>
      </c>
      <c r="AH71" s="954" t="str">
        <f ca="1">IFERROR($J71*参考2_エネ使用量経年!AH73*1000,"")</f>
        <v/>
      </c>
      <c r="AI71" s="954" t="str">
        <f ca="1">IFERROR($K71*参考2_エネ使用量経年!AI73*1000,"")</f>
        <v/>
      </c>
      <c r="AJ71" s="954" t="str">
        <f ca="1">IFERROR($H71*参考2_エネ使用量経年!AJ73*1000,"")</f>
        <v/>
      </c>
      <c r="AK71" s="954" t="str">
        <f ca="1">IFERROR($I71*参考2_エネ使用量経年!AK73*1000,"")</f>
        <v/>
      </c>
      <c r="AL71" s="954" t="str">
        <f ca="1">IFERROR($J71*参考2_エネ使用量経年!AL73*1000,"")</f>
        <v/>
      </c>
      <c r="AM71" s="954" t="str">
        <f ca="1">IFERROR($K71*参考2_エネ使用量経年!AM73*1000,"")</f>
        <v/>
      </c>
      <c r="AN71" s="954" t="str">
        <f ca="1">IFERROR($H71*参考2_エネ使用量経年!AN73*1000,"")</f>
        <v/>
      </c>
      <c r="AO71" s="954" t="str">
        <f ca="1">IFERROR($I71*参考2_エネ使用量経年!AO73*1000,"")</f>
        <v/>
      </c>
      <c r="AP71" s="954" t="str">
        <f ca="1">IFERROR($J71*参考2_エネ使用量経年!AP73*1000,"")</f>
        <v/>
      </c>
      <c r="AQ71" s="954" t="str">
        <f ca="1">IFERROR($K71*参考2_エネ使用量経年!AQ73*1000,"")</f>
        <v/>
      </c>
      <c r="AR71" s="954" t="str">
        <f ca="1">IFERROR($H71*参考2_エネ使用量経年!AR73*1000,"")</f>
        <v/>
      </c>
      <c r="AS71" s="954" t="str">
        <f ca="1">IFERROR($I71*参考2_エネ使用量経年!AS73*1000,"")</f>
        <v/>
      </c>
      <c r="AT71" s="954" t="str">
        <f ca="1">IFERROR($J71*参考2_エネ使用量経年!AT73*1000,"")</f>
        <v/>
      </c>
      <c r="AU71" s="954" t="str">
        <f ca="1">IFERROR($K71*参考2_エネ使用量経年!AU73*1000,"")</f>
        <v/>
      </c>
      <c r="AV71" s="954" t="str">
        <f ca="1">IFERROR($H71*参考2_エネ使用量経年!AV73*1000,"")</f>
        <v/>
      </c>
      <c r="AW71" s="954" t="str">
        <f ca="1">IFERROR($I71*参考2_エネ使用量経年!AW73*1000,"")</f>
        <v/>
      </c>
      <c r="AX71" s="954" t="str">
        <f ca="1">IFERROR($J71*参考2_エネ使用量経年!AX73*1000,"")</f>
        <v/>
      </c>
      <c r="AY71" s="954" t="str">
        <f ca="1">IFERROR($K71*参考2_エネ使用量経年!AY73*1000,"")</f>
        <v/>
      </c>
      <c r="AZ71" s="954" t="str">
        <f ca="1">IFERROR($H71*参考2_エネ使用量経年!AZ73*1000,"")</f>
        <v/>
      </c>
      <c r="BA71" s="954" t="str">
        <f ca="1">IFERROR($I71*参考2_エネ使用量経年!BA73*1000,"")</f>
        <v/>
      </c>
      <c r="BB71" s="954" t="str">
        <f ca="1">IFERROR($J71*参考2_エネ使用量経年!BB73*1000,"")</f>
        <v/>
      </c>
      <c r="BC71" s="954" t="str">
        <f ca="1">IFERROR($K71*参考2_エネ使用量経年!BC73*1000,"")</f>
        <v/>
      </c>
      <c r="BD71" s="954" t="str">
        <f ca="1">IFERROR($H71*参考2_エネ使用量経年!BD73*1000,"")</f>
        <v/>
      </c>
      <c r="BE71" s="954" t="str">
        <f ca="1">IFERROR($I71*参考2_エネ使用量経年!BE73*1000,"")</f>
        <v/>
      </c>
      <c r="BF71" s="954" t="str">
        <f ca="1">IFERROR($J71*参考2_エネ使用量経年!BF73*1000,"")</f>
        <v/>
      </c>
      <c r="BG71" s="954" t="str">
        <f ca="1">IFERROR($K71*参考2_エネ使用量経年!BG73*1000,"")</f>
        <v/>
      </c>
      <c r="BH71" s="954" t="str">
        <f ca="1">IFERROR($H71*参考2_エネ使用量経年!BH73*1000,"")</f>
        <v/>
      </c>
      <c r="BI71" s="954" t="str">
        <f ca="1">IFERROR($I71*参考2_エネ使用量経年!BI73*1000,"")</f>
        <v/>
      </c>
      <c r="BJ71" s="954" t="str">
        <f ca="1">IFERROR($J71*参考2_エネ使用量経年!BJ73*1000,"")</f>
        <v/>
      </c>
      <c r="BK71" s="954" t="str">
        <f ca="1">IFERROR($K71*参考2_エネ使用量経年!BK73*1000,"")</f>
        <v/>
      </c>
      <c r="BL71" s="954" t="str">
        <f ca="1">IFERROR($H71*参考2_エネ使用量経年!BL73*1000,"")</f>
        <v/>
      </c>
      <c r="BM71" s="954" t="str">
        <f ca="1">IFERROR($I71*参考2_エネ使用量経年!BM73*1000,"")</f>
        <v/>
      </c>
      <c r="BN71" s="954" t="str">
        <f ca="1">IFERROR($J71*参考2_エネ使用量経年!BN73*1000,"")</f>
        <v/>
      </c>
      <c r="BO71" s="954" t="str">
        <f ca="1">IFERROR($K71*参考2_エネ使用量経年!BO73*1000,"")</f>
        <v/>
      </c>
      <c r="BP71" s="841"/>
    </row>
    <row r="72" spans="1:68" ht="20.100000000000001" hidden="1" customHeight="1" outlineLevel="1">
      <c r="A72" s="952"/>
      <c r="B72" s="1870"/>
      <c r="C72" s="1921" t="s">
        <v>4439</v>
      </c>
      <c r="D72" s="961" t="s">
        <v>4440</v>
      </c>
      <c r="E72" s="958"/>
      <c r="F72" s="875"/>
      <c r="G72" s="891" t="s">
        <v>4685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AR72" s="959"/>
      <c r="AS72" s="959"/>
      <c r="AT72" s="959"/>
      <c r="AU72" s="959"/>
      <c r="AV72" s="959"/>
      <c r="AW72" s="959"/>
      <c r="AX72" s="959"/>
      <c r="AY72" s="959"/>
      <c r="AZ72" s="959"/>
      <c r="BA72" s="959"/>
      <c r="BB72" s="959"/>
      <c r="BC72" s="959"/>
      <c r="BD72" s="959"/>
      <c r="BE72" s="959"/>
      <c r="BF72" s="959"/>
      <c r="BG72" s="959"/>
      <c r="BH72" s="959"/>
      <c r="BI72" s="959"/>
      <c r="BJ72" s="959"/>
      <c r="BK72" s="959"/>
      <c r="BL72" s="959"/>
      <c r="BM72" s="959"/>
      <c r="BN72" s="959"/>
      <c r="BO72" s="959"/>
      <c r="BP72" s="841"/>
    </row>
    <row r="73" spans="1:68" ht="20.100000000000001" hidden="1" customHeight="1" outlineLevel="1">
      <c r="A73" s="952"/>
      <c r="B73" s="1870"/>
      <c r="C73" s="1922"/>
      <c r="D73" s="961" t="s">
        <v>4441</v>
      </c>
      <c r="E73" s="958"/>
      <c r="F73" s="875"/>
      <c r="G73" s="891" t="s">
        <v>4685</v>
      </c>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c r="AP73" s="959"/>
      <c r="AQ73" s="959"/>
      <c r="AR73" s="959"/>
      <c r="AS73" s="959"/>
      <c r="AT73" s="959"/>
      <c r="AU73" s="959"/>
      <c r="AV73" s="959"/>
      <c r="AW73" s="959"/>
      <c r="AX73" s="959"/>
      <c r="AY73" s="959"/>
      <c r="AZ73" s="959"/>
      <c r="BA73" s="959"/>
      <c r="BB73" s="959"/>
      <c r="BC73" s="959"/>
      <c r="BD73" s="959"/>
      <c r="BE73" s="959"/>
      <c r="BF73" s="959"/>
      <c r="BG73" s="959"/>
      <c r="BH73" s="959"/>
      <c r="BI73" s="959"/>
      <c r="BJ73" s="959"/>
      <c r="BK73" s="959"/>
      <c r="BL73" s="959"/>
      <c r="BM73" s="959"/>
      <c r="BN73" s="959"/>
      <c r="BO73" s="959"/>
      <c r="BP73" s="841"/>
    </row>
    <row r="74" spans="1:68" ht="20.100000000000001" hidden="1" customHeight="1" outlineLevel="1">
      <c r="A74" s="952"/>
      <c r="B74" s="1870"/>
      <c r="C74" s="1922"/>
      <c r="D74" s="961" t="s">
        <v>4442</v>
      </c>
      <c r="E74" s="958"/>
      <c r="F74" s="875"/>
      <c r="G74" s="891" t="s">
        <v>4685</v>
      </c>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c r="AU74" s="959"/>
      <c r="AV74" s="959"/>
      <c r="AW74" s="959"/>
      <c r="AX74" s="959"/>
      <c r="AY74" s="959"/>
      <c r="AZ74" s="959"/>
      <c r="BA74" s="959"/>
      <c r="BB74" s="959"/>
      <c r="BC74" s="959"/>
      <c r="BD74" s="959"/>
      <c r="BE74" s="959"/>
      <c r="BF74" s="959"/>
      <c r="BG74" s="959"/>
      <c r="BH74" s="959"/>
      <c r="BI74" s="959"/>
      <c r="BJ74" s="959"/>
      <c r="BK74" s="959"/>
      <c r="BL74" s="959"/>
      <c r="BM74" s="959"/>
      <c r="BN74" s="959"/>
      <c r="BO74" s="959"/>
      <c r="BP74" s="841"/>
    </row>
    <row r="75" spans="1:68" ht="20.100000000000001" hidden="1" customHeight="1" outlineLevel="1">
      <c r="A75" s="952"/>
      <c r="B75" s="1870"/>
      <c r="C75" s="1922"/>
      <c r="D75" s="961" t="s">
        <v>4443</v>
      </c>
      <c r="E75" s="958"/>
      <c r="F75" s="875"/>
      <c r="G75" s="891" t="s">
        <v>4685</v>
      </c>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c r="AU75" s="959"/>
      <c r="AV75" s="959"/>
      <c r="AW75" s="959"/>
      <c r="AX75" s="959"/>
      <c r="AY75" s="959"/>
      <c r="AZ75" s="959"/>
      <c r="BA75" s="959"/>
      <c r="BB75" s="959"/>
      <c r="BC75" s="959"/>
      <c r="BD75" s="959"/>
      <c r="BE75" s="959"/>
      <c r="BF75" s="959"/>
      <c r="BG75" s="959"/>
      <c r="BH75" s="959"/>
      <c r="BI75" s="959"/>
      <c r="BJ75" s="959"/>
      <c r="BK75" s="959"/>
      <c r="BL75" s="959"/>
      <c r="BM75" s="959"/>
      <c r="BN75" s="959"/>
      <c r="BO75" s="959"/>
      <c r="BP75" s="841"/>
    </row>
    <row r="76" spans="1:68" ht="20.100000000000001" hidden="1" customHeight="1" outlineLevel="1">
      <c r="A76" s="952"/>
      <c r="B76" s="1870"/>
      <c r="C76" s="1922"/>
      <c r="D76" s="961" t="s">
        <v>4444</v>
      </c>
      <c r="E76" s="958"/>
      <c r="F76" s="875"/>
      <c r="G76" s="891" t="s">
        <v>4685</v>
      </c>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841"/>
    </row>
    <row r="77" spans="1:68" ht="20.100000000000001" hidden="1" customHeight="1" outlineLevel="1">
      <c r="A77" s="952"/>
      <c r="B77" s="1870"/>
      <c r="C77" s="1922"/>
      <c r="D77" s="961" t="s">
        <v>4445</v>
      </c>
      <c r="E77" s="958"/>
      <c r="F77" s="875"/>
      <c r="G77" s="891" t="s">
        <v>4685</v>
      </c>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59"/>
      <c r="BN77" s="959"/>
      <c r="BO77" s="959"/>
      <c r="BP77" s="841"/>
    </row>
    <row r="78" spans="1:68" ht="20.100000000000001" hidden="1" customHeight="1" outlineLevel="1">
      <c r="A78" s="952"/>
      <c r="B78" s="1870"/>
      <c r="C78" s="1922"/>
      <c r="D78" s="961" t="s">
        <v>4446</v>
      </c>
      <c r="E78" s="958"/>
      <c r="F78" s="875"/>
      <c r="G78" s="891" t="s">
        <v>4685</v>
      </c>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59"/>
      <c r="AG78" s="959"/>
      <c r="AH78" s="959"/>
      <c r="AI78" s="959"/>
      <c r="AJ78" s="959"/>
      <c r="AK78" s="959"/>
      <c r="AL78" s="959"/>
      <c r="AM78" s="959"/>
      <c r="AN78" s="959"/>
      <c r="AO78" s="959"/>
      <c r="AP78" s="959"/>
      <c r="AQ78" s="959"/>
      <c r="AR78" s="959"/>
      <c r="AS78" s="959"/>
      <c r="AT78" s="959"/>
      <c r="AU78" s="959"/>
      <c r="AV78" s="959"/>
      <c r="AW78" s="959"/>
      <c r="AX78" s="959"/>
      <c r="AY78" s="959"/>
      <c r="AZ78" s="959"/>
      <c r="BA78" s="959"/>
      <c r="BB78" s="959"/>
      <c r="BC78" s="959"/>
      <c r="BD78" s="959"/>
      <c r="BE78" s="959"/>
      <c r="BF78" s="959"/>
      <c r="BG78" s="959"/>
      <c r="BH78" s="959"/>
      <c r="BI78" s="959"/>
      <c r="BJ78" s="959"/>
      <c r="BK78" s="959"/>
      <c r="BL78" s="959"/>
      <c r="BM78" s="959"/>
      <c r="BN78" s="959"/>
      <c r="BO78" s="959"/>
      <c r="BP78" s="841"/>
    </row>
    <row r="79" spans="1:68" ht="20.100000000000001" hidden="1" customHeight="1" outlineLevel="1">
      <c r="A79" s="952"/>
      <c r="B79" s="1870"/>
      <c r="C79" s="1922"/>
      <c r="D79" s="961" t="s">
        <v>4447</v>
      </c>
      <c r="E79" s="958"/>
      <c r="F79" s="875"/>
      <c r="G79" s="891" t="s">
        <v>4685</v>
      </c>
      <c r="H79" s="959"/>
      <c r="I79" s="959"/>
      <c r="J79" s="959"/>
      <c r="K79" s="959"/>
      <c r="L79" s="959"/>
      <c r="M79" s="959"/>
      <c r="N79" s="959"/>
      <c r="O79" s="959"/>
      <c r="P79" s="959"/>
      <c r="Q79" s="959"/>
      <c r="R79" s="959"/>
      <c r="S79" s="959"/>
      <c r="T79" s="959"/>
      <c r="U79" s="959"/>
      <c r="V79" s="959"/>
      <c r="W79" s="959"/>
      <c r="X79" s="959"/>
      <c r="Y79" s="959"/>
      <c r="Z79" s="959"/>
      <c r="AA79" s="959"/>
      <c r="AB79" s="959"/>
      <c r="AC79" s="959"/>
      <c r="AD79" s="959"/>
      <c r="AE79" s="959"/>
      <c r="AF79" s="959"/>
      <c r="AG79" s="959"/>
      <c r="AH79" s="959"/>
      <c r="AI79" s="959"/>
      <c r="AJ79" s="959"/>
      <c r="AK79" s="959"/>
      <c r="AL79" s="959"/>
      <c r="AM79" s="959"/>
      <c r="AN79" s="959"/>
      <c r="AO79" s="959"/>
      <c r="AP79" s="959"/>
      <c r="AQ79" s="959"/>
      <c r="AR79" s="959"/>
      <c r="AS79" s="959"/>
      <c r="AT79" s="959"/>
      <c r="AU79" s="959"/>
      <c r="AV79" s="959"/>
      <c r="AW79" s="959"/>
      <c r="AX79" s="959"/>
      <c r="AY79" s="959"/>
      <c r="AZ79" s="959"/>
      <c r="BA79" s="959"/>
      <c r="BB79" s="959"/>
      <c r="BC79" s="959"/>
      <c r="BD79" s="959"/>
      <c r="BE79" s="959"/>
      <c r="BF79" s="959"/>
      <c r="BG79" s="959"/>
      <c r="BH79" s="959"/>
      <c r="BI79" s="959"/>
      <c r="BJ79" s="959"/>
      <c r="BK79" s="959"/>
      <c r="BL79" s="959"/>
      <c r="BM79" s="959"/>
      <c r="BN79" s="959"/>
      <c r="BO79" s="959"/>
      <c r="BP79" s="841"/>
    </row>
    <row r="80" spans="1:68" ht="20.100000000000001" hidden="1" customHeight="1" outlineLevel="1">
      <c r="A80" s="952"/>
      <c r="B80" s="1870"/>
      <c r="C80" s="1922"/>
      <c r="D80" s="1907" t="s">
        <v>4448</v>
      </c>
      <c r="E80" s="962"/>
      <c r="F80" s="878"/>
      <c r="G80" s="891" t="s">
        <v>4685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c r="AL80" s="959"/>
      <c r="AM80" s="959"/>
      <c r="AN80" s="959"/>
      <c r="AO80" s="959"/>
      <c r="AP80" s="959"/>
      <c r="AQ80" s="959"/>
      <c r="AR80" s="959"/>
      <c r="AS80" s="959"/>
      <c r="AT80" s="959"/>
      <c r="AU80" s="959"/>
      <c r="AV80" s="959"/>
      <c r="AW80" s="959"/>
      <c r="AX80" s="959"/>
      <c r="AY80" s="959"/>
      <c r="AZ80" s="959"/>
      <c r="BA80" s="959"/>
      <c r="BB80" s="959"/>
      <c r="BC80" s="959"/>
      <c r="BD80" s="959"/>
      <c r="BE80" s="959"/>
      <c r="BF80" s="959"/>
      <c r="BG80" s="959"/>
      <c r="BH80" s="959"/>
      <c r="BI80" s="959"/>
      <c r="BJ80" s="959"/>
      <c r="BK80" s="959"/>
      <c r="BL80" s="959"/>
      <c r="BM80" s="959"/>
      <c r="BN80" s="959"/>
      <c r="BO80" s="959"/>
      <c r="BP80" s="841"/>
    </row>
    <row r="81" spans="1:68" ht="20.100000000000001" hidden="1" customHeight="1" outlineLevel="1">
      <c r="A81" s="952"/>
      <c r="B81" s="1870"/>
      <c r="C81" s="1922"/>
      <c r="D81" s="1908"/>
      <c r="E81" s="963"/>
      <c r="F81" s="880"/>
      <c r="G81" s="891" t="s">
        <v>4685</v>
      </c>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c r="AL81" s="959"/>
      <c r="AM81" s="959"/>
      <c r="AN81" s="959"/>
      <c r="AO81" s="959"/>
      <c r="AP81" s="959"/>
      <c r="AQ81" s="959"/>
      <c r="AR81" s="959"/>
      <c r="AS81" s="959"/>
      <c r="AT81" s="959"/>
      <c r="AU81" s="959"/>
      <c r="AV81" s="959"/>
      <c r="AW81" s="959"/>
      <c r="AX81" s="959"/>
      <c r="AY81" s="959"/>
      <c r="AZ81" s="959"/>
      <c r="BA81" s="959"/>
      <c r="BB81" s="959"/>
      <c r="BC81" s="959"/>
      <c r="BD81" s="959"/>
      <c r="BE81" s="959"/>
      <c r="BF81" s="959"/>
      <c r="BG81" s="959"/>
      <c r="BH81" s="959"/>
      <c r="BI81" s="959"/>
      <c r="BJ81" s="959"/>
      <c r="BK81" s="959"/>
      <c r="BL81" s="959"/>
      <c r="BM81" s="959"/>
      <c r="BN81" s="959"/>
      <c r="BO81" s="959"/>
      <c r="BP81" s="841"/>
    </row>
    <row r="82" spans="1:68" ht="20.100000000000001" hidden="1" customHeight="1" outlineLevel="1">
      <c r="A82" s="952"/>
      <c r="B82" s="1870"/>
      <c r="C82" s="1922"/>
      <c r="D82" s="1907" t="s">
        <v>4449</v>
      </c>
      <c r="E82" s="962"/>
      <c r="F82" s="878"/>
      <c r="G82" s="891" t="s">
        <v>4685</v>
      </c>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c r="AL82" s="959"/>
      <c r="AM82" s="959"/>
      <c r="AN82" s="959"/>
      <c r="AO82" s="959"/>
      <c r="AP82" s="959"/>
      <c r="AQ82" s="959"/>
      <c r="AR82" s="959"/>
      <c r="AS82" s="959"/>
      <c r="AT82" s="959"/>
      <c r="AU82" s="959"/>
      <c r="AV82" s="959"/>
      <c r="AW82" s="959"/>
      <c r="AX82" s="959"/>
      <c r="AY82" s="959"/>
      <c r="AZ82" s="959"/>
      <c r="BA82" s="959"/>
      <c r="BB82" s="959"/>
      <c r="BC82" s="959"/>
      <c r="BD82" s="959"/>
      <c r="BE82" s="959"/>
      <c r="BF82" s="959"/>
      <c r="BG82" s="959"/>
      <c r="BH82" s="959"/>
      <c r="BI82" s="959"/>
      <c r="BJ82" s="959"/>
      <c r="BK82" s="959"/>
      <c r="BL82" s="959"/>
      <c r="BM82" s="959"/>
      <c r="BN82" s="959"/>
      <c r="BO82" s="959"/>
      <c r="BP82" s="841"/>
    </row>
    <row r="83" spans="1:68" ht="20.100000000000001" hidden="1" customHeight="1" outlineLevel="1">
      <c r="A83" s="952"/>
      <c r="B83" s="1870"/>
      <c r="C83" s="1922"/>
      <c r="D83" s="1908"/>
      <c r="E83" s="963"/>
      <c r="F83" s="880"/>
      <c r="G83" s="891" t="s">
        <v>4685</v>
      </c>
      <c r="H83" s="959"/>
      <c r="I83" s="959"/>
      <c r="J83" s="959"/>
      <c r="K83" s="959"/>
      <c r="L83" s="959"/>
      <c r="M83" s="959"/>
      <c r="N83" s="959"/>
      <c r="O83" s="959"/>
      <c r="P83" s="959"/>
      <c r="Q83" s="959"/>
      <c r="R83" s="959"/>
      <c r="S83" s="959"/>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59"/>
      <c r="BH83" s="959"/>
      <c r="BI83" s="959"/>
      <c r="BJ83" s="959"/>
      <c r="BK83" s="959"/>
      <c r="BL83" s="959"/>
      <c r="BM83" s="959"/>
      <c r="BN83" s="959"/>
      <c r="BO83" s="959"/>
      <c r="BP83" s="841"/>
    </row>
    <row r="84" spans="1:68" ht="20.100000000000001" hidden="1" customHeight="1" outlineLevel="1">
      <c r="A84" s="952"/>
      <c r="B84" s="1870"/>
      <c r="C84" s="1922"/>
      <c r="D84" s="961" t="s">
        <v>4254</v>
      </c>
      <c r="E84" s="963"/>
      <c r="F84" s="825"/>
      <c r="G84" s="891" t="s">
        <v>4685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c r="AL84" s="959"/>
      <c r="AM84" s="959"/>
      <c r="AN84" s="959"/>
      <c r="AO84" s="959"/>
      <c r="AP84" s="959"/>
      <c r="AQ84" s="959"/>
      <c r="AR84" s="959"/>
      <c r="AS84" s="959"/>
      <c r="AT84" s="959"/>
      <c r="AU84" s="959"/>
      <c r="AV84" s="959"/>
      <c r="AW84" s="959"/>
      <c r="AX84" s="959"/>
      <c r="AY84" s="959"/>
      <c r="AZ84" s="959"/>
      <c r="BA84" s="959"/>
      <c r="BB84" s="959"/>
      <c r="BC84" s="959"/>
      <c r="BD84" s="959"/>
      <c r="BE84" s="959"/>
      <c r="BF84" s="959"/>
      <c r="BG84" s="959"/>
      <c r="BH84" s="959"/>
      <c r="BI84" s="959"/>
      <c r="BJ84" s="959"/>
      <c r="BK84" s="959"/>
      <c r="BL84" s="959"/>
      <c r="BM84" s="959"/>
      <c r="BN84" s="959"/>
      <c r="BO84" s="959"/>
      <c r="BP84" s="841"/>
    </row>
    <row r="85" spans="1:68" ht="20.100000000000001" hidden="1" customHeight="1" outlineLevel="1">
      <c r="A85" s="952"/>
      <c r="B85" s="1870"/>
      <c r="C85" s="1922"/>
      <c r="D85" s="961" t="s">
        <v>4255</v>
      </c>
      <c r="E85" s="963"/>
      <c r="F85" s="881"/>
      <c r="G85" s="891" t="s">
        <v>4685</v>
      </c>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c r="AU85" s="959"/>
      <c r="AV85" s="959"/>
      <c r="AW85" s="959"/>
      <c r="AX85" s="959"/>
      <c r="AY85" s="959"/>
      <c r="AZ85" s="959"/>
      <c r="BA85" s="959"/>
      <c r="BB85" s="959"/>
      <c r="BC85" s="959"/>
      <c r="BD85" s="959"/>
      <c r="BE85" s="959"/>
      <c r="BF85" s="959"/>
      <c r="BG85" s="959"/>
      <c r="BH85" s="959"/>
      <c r="BI85" s="959"/>
      <c r="BJ85" s="959"/>
      <c r="BK85" s="959"/>
      <c r="BL85" s="959"/>
      <c r="BM85" s="959"/>
      <c r="BN85" s="959"/>
      <c r="BO85" s="959"/>
      <c r="BP85" s="841"/>
    </row>
    <row r="86" spans="1:68" ht="20.100000000000001" hidden="1" customHeight="1" outlineLevel="1">
      <c r="A86" s="952"/>
      <c r="B86" s="1870"/>
      <c r="C86" s="1922"/>
      <c r="D86" s="961" t="s">
        <v>4256</v>
      </c>
      <c r="E86" s="963"/>
      <c r="F86" s="881"/>
      <c r="G86" s="891" t="s">
        <v>4685</v>
      </c>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c r="AU86" s="959"/>
      <c r="AV86" s="959"/>
      <c r="AW86" s="959"/>
      <c r="AX86" s="959"/>
      <c r="AY86" s="959"/>
      <c r="AZ86" s="959"/>
      <c r="BA86" s="959"/>
      <c r="BB86" s="959"/>
      <c r="BC86" s="959"/>
      <c r="BD86" s="959"/>
      <c r="BE86" s="959"/>
      <c r="BF86" s="959"/>
      <c r="BG86" s="959"/>
      <c r="BH86" s="959"/>
      <c r="BI86" s="959"/>
      <c r="BJ86" s="959"/>
      <c r="BK86" s="959"/>
      <c r="BL86" s="959"/>
      <c r="BM86" s="959"/>
      <c r="BN86" s="959"/>
      <c r="BO86" s="959"/>
      <c r="BP86" s="841"/>
    </row>
    <row r="87" spans="1:68" ht="20.100000000000001" hidden="1" customHeight="1" outlineLevel="1">
      <c r="A87" s="952"/>
      <c r="B87" s="1870"/>
      <c r="C87" s="1922"/>
      <c r="D87" s="961" t="s">
        <v>4257</v>
      </c>
      <c r="E87" s="963"/>
      <c r="F87" s="881"/>
      <c r="G87" s="891" t="s">
        <v>4685</v>
      </c>
      <c r="H87" s="959"/>
      <c r="I87" s="959"/>
      <c r="J87" s="959"/>
      <c r="K87" s="959"/>
      <c r="L87" s="959"/>
      <c r="M87" s="959"/>
      <c r="N87" s="959"/>
      <c r="O87" s="959"/>
      <c r="P87" s="959"/>
      <c r="Q87" s="959"/>
      <c r="R87" s="959"/>
      <c r="S87" s="959"/>
      <c r="T87" s="959"/>
      <c r="U87" s="959"/>
      <c r="V87" s="959"/>
      <c r="W87" s="959"/>
      <c r="X87" s="959"/>
      <c r="Y87" s="959"/>
      <c r="Z87" s="959"/>
      <c r="AA87" s="959"/>
      <c r="AB87" s="959"/>
      <c r="AC87" s="959"/>
      <c r="AD87" s="959"/>
      <c r="AE87" s="959"/>
      <c r="AF87" s="959"/>
      <c r="AG87" s="959"/>
      <c r="AH87" s="959"/>
      <c r="AI87" s="959"/>
      <c r="AJ87" s="959"/>
      <c r="AK87" s="959"/>
      <c r="AL87" s="959"/>
      <c r="AM87" s="959"/>
      <c r="AN87" s="959"/>
      <c r="AO87" s="959"/>
      <c r="AP87" s="959"/>
      <c r="AQ87" s="959"/>
      <c r="AR87" s="959"/>
      <c r="AS87" s="959"/>
      <c r="AT87" s="959"/>
      <c r="AU87" s="959"/>
      <c r="AV87" s="959"/>
      <c r="AW87" s="959"/>
      <c r="AX87" s="959"/>
      <c r="AY87" s="959"/>
      <c r="AZ87" s="959"/>
      <c r="BA87" s="959"/>
      <c r="BB87" s="959"/>
      <c r="BC87" s="959"/>
      <c r="BD87" s="959"/>
      <c r="BE87" s="959"/>
      <c r="BF87" s="959"/>
      <c r="BG87" s="959"/>
      <c r="BH87" s="959"/>
      <c r="BI87" s="959"/>
      <c r="BJ87" s="959"/>
      <c r="BK87" s="959"/>
      <c r="BL87" s="959"/>
      <c r="BM87" s="959"/>
      <c r="BN87" s="959"/>
      <c r="BO87" s="959"/>
      <c r="BP87" s="841"/>
    </row>
    <row r="88" spans="1:68" ht="19.5" customHeight="1" collapsed="1">
      <c r="B88" s="964" t="s">
        <v>4494</v>
      </c>
      <c r="C88" s="878"/>
      <c r="D88" s="913" t="s">
        <v>4495</v>
      </c>
      <c r="E88" s="965"/>
      <c r="F88" s="901" t="s">
        <v>3732</v>
      </c>
      <c r="G88" s="891" t="s">
        <v>4685</v>
      </c>
      <c r="H88" s="959"/>
      <c r="I88" s="959"/>
      <c r="J88" s="959"/>
      <c r="K88" s="959"/>
      <c r="L88" s="966">
        <f ca="1">SUM(L8:L55)-L89</f>
        <v>0</v>
      </c>
      <c r="M88" s="966">
        <f t="shared" ref="M88:O88" ca="1" si="8">SUM(M8:M55)-M89</f>
        <v>0</v>
      </c>
      <c r="N88" s="966">
        <f t="shared" ca="1" si="8"/>
        <v>0</v>
      </c>
      <c r="O88" s="966">
        <f t="shared" ca="1" si="8"/>
        <v>0</v>
      </c>
      <c r="P88" s="967">
        <f ca="1">SUM(P8:P55)-P89</f>
        <v>0</v>
      </c>
      <c r="Q88" s="967">
        <f t="shared" ref="Q88:S88" ca="1" si="9">SUM(Q8:Q55)-Q89</f>
        <v>0</v>
      </c>
      <c r="R88" s="967">
        <f t="shared" ca="1" si="9"/>
        <v>0</v>
      </c>
      <c r="S88" s="967">
        <f t="shared" ca="1" si="9"/>
        <v>0</v>
      </c>
      <c r="T88" s="967">
        <f t="shared" ref="T88" ca="1" si="10">SUM(T8:T55)-T89</f>
        <v>0</v>
      </c>
      <c r="U88" s="967">
        <f t="shared" ref="U88:BO88" ca="1" si="11">SUM(U8:U55)-U89</f>
        <v>0</v>
      </c>
      <c r="V88" s="967">
        <f t="shared" ca="1" si="11"/>
        <v>0</v>
      </c>
      <c r="W88" s="967">
        <f t="shared" ca="1" si="11"/>
        <v>0</v>
      </c>
      <c r="X88" s="967">
        <f t="shared" ca="1" si="11"/>
        <v>0</v>
      </c>
      <c r="Y88" s="967">
        <f t="shared" ca="1" si="11"/>
        <v>0</v>
      </c>
      <c r="Z88" s="967">
        <f t="shared" ca="1" si="11"/>
        <v>0</v>
      </c>
      <c r="AA88" s="967">
        <f t="shared" ca="1" si="11"/>
        <v>0</v>
      </c>
      <c r="AB88" s="967">
        <f t="shared" ca="1" si="11"/>
        <v>0</v>
      </c>
      <c r="AC88" s="967">
        <f t="shared" ca="1" si="11"/>
        <v>0</v>
      </c>
      <c r="AD88" s="967">
        <f t="shared" ca="1" si="11"/>
        <v>0</v>
      </c>
      <c r="AE88" s="967">
        <f t="shared" ca="1" si="11"/>
        <v>0</v>
      </c>
      <c r="AF88" s="967">
        <f t="shared" ca="1" si="11"/>
        <v>0</v>
      </c>
      <c r="AG88" s="967">
        <f t="shared" ca="1" si="11"/>
        <v>0</v>
      </c>
      <c r="AH88" s="967">
        <f t="shared" ca="1" si="11"/>
        <v>0</v>
      </c>
      <c r="AI88" s="967">
        <f t="shared" ca="1" si="11"/>
        <v>0</v>
      </c>
      <c r="AJ88" s="967">
        <f t="shared" ca="1" si="11"/>
        <v>0</v>
      </c>
      <c r="AK88" s="967">
        <f t="shared" ca="1" si="11"/>
        <v>0</v>
      </c>
      <c r="AL88" s="967">
        <f t="shared" ca="1" si="11"/>
        <v>0</v>
      </c>
      <c r="AM88" s="967">
        <f t="shared" ca="1" si="11"/>
        <v>0</v>
      </c>
      <c r="AN88" s="967">
        <f t="shared" ca="1" si="11"/>
        <v>0</v>
      </c>
      <c r="AO88" s="967">
        <f t="shared" ca="1" si="11"/>
        <v>0</v>
      </c>
      <c r="AP88" s="967">
        <f t="shared" ca="1" si="11"/>
        <v>0</v>
      </c>
      <c r="AQ88" s="967">
        <f t="shared" ca="1" si="11"/>
        <v>0</v>
      </c>
      <c r="AR88" s="967">
        <f t="shared" ca="1" si="11"/>
        <v>0</v>
      </c>
      <c r="AS88" s="967">
        <f t="shared" ca="1" si="11"/>
        <v>0</v>
      </c>
      <c r="AT88" s="967">
        <f t="shared" ca="1" si="11"/>
        <v>0</v>
      </c>
      <c r="AU88" s="967">
        <f t="shared" ca="1" si="11"/>
        <v>0</v>
      </c>
      <c r="AV88" s="967">
        <f t="shared" ca="1" si="11"/>
        <v>0</v>
      </c>
      <c r="AW88" s="967">
        <f t="shared" ca="1" si="11"/>
        <v>0</v>
      </c>
      <c r="AX88" s="967">
        <f t="shared" ca="1" si="11"/>
        <v>0</v>
      </c>
      <c r="AY88" s="967">
        <f t="shared" ca="1" si="11"/>
        <v>0</v>
      </c>
      <c r="AZ88" s="967">
        <f t="shared" ca="1" si="11"/>
        <v>0</v>
      </c>
      <c r="BA88" s="967">
        <f t="shared" ca="1" si="11"/>
        <v>0</v>
      </c>
      <c r="BB88" s="967">
        <f t="shared" ca="1" si="11"/>
        <v>0</v>
      </c>
      <c r="BC88" s="967">
        <f t="shared" ca="1" si="11"/>
        <v>0</v>
      </c>
      <c r="BD88" s="967">
        <f t="shared" ca="1" si="11"/>
        <v>0</v>
      </c>
      <c r="BE88" s="967">
        <f t="shared" ca="1" si="11"/>
        <v>0</v>
      </c>
      <c r="BF88" s="967">
        <f t="shared" ca="1" si="11"/>
        <v>0</v>
      </c>
      <c r="BG88" s="967">
        <f t="shared" ca="1" si="11"/>
        <v>0</v>
      </c>
      <c r="BH88" s="967">
        <f t="shared" ca="1" si="11"/>
        <v>0</v>
      </c>
      <c r="BI88" s="967">
        <f t="shared" ca="1" si="11"/>
        <v>0</v>
      </c>
      <c r="BJ88" s="967">
        <f t="shared" ca="1" si="11"/>
        <v>0</v>
      </c>
      <c r="BK88" s="967">
        <f t="shared" ca="1" si="11"/>
        <v>0</v>
      </c>
      <c r="BL88" s="967">
        <f t="shared" ca="1" si="11"/>
        <v>0</v>
      </c>
      <c r="BM88" s="967">
        <f t="shared" ca="1" si="11"/>
        <v>0</v>
      </c>
      <c r="BN88" s="967">
        <f t="shared" ca="1" si="11"/>
        <v>0</v>
      </c>
      <c r="BO88" s="967">
        <f t="shared" ca="1" si="11"/>
        <v>0</v>
      </c>
      <c r="BP88" s="841"/>
    </row>
    <row r="89" spans="1:68" ht="21">
      <c r="B89" s="968" t="s">
        <v>4496</v>
      </c>
      <c r="C89" s="880"/>
      <c r="D89" s="913" t="s">
        <v>4497</v>
      </c>
      <c r="E89" s="965"/>
      <c r="F89" s="969" t="s">
        <v>3733</v>
      </c>
      <c r="G89" s="891" t="s">
        <v>4685</v>
      </c>
      <c r="H89" s="959"/>
      <c r="I89" s="959"/>
      <c r="J89" s="959"/>
      <c r="K89" s="959"/>
      <c r="L89" s="966">
        <f ca="1">SUM(L44:L49)</f>
        <v>0</v>
      </c>
      <c r="M89" s="966">
        <f t="shared" ref="M89:O89" ca="1" si="12">SUM(M44:M49)</f>
        <v>0</v>
      </c>
      <c r="N89" s="966">
        <f t="shared" ca="1" si="12"/>
        <v>0</v>
      </c>
      <c r="O89" s="966">
        <f t="shared" ca="1" si="12"/>
        <v>0</v>
      </c>
      <c r="P89" s="967">
        <f ca="1">SUM(P44:P49)</f>
        <v>0</v>
      </c>
      <c r="Q89" s="967">
        <f t="shared" ref="Q89:BO89" ca="1" si="13">SUM(Q44:Q49)</f>
        <v>0</v>
      </c>
      <c r="R89" s="967">
        <f t="shared" ca="1" si="13"/>
        <v>0</v>
      </c>
      <c r="S89" s="967">
        <f t="shared" ca="1" si="13"/>
        <v>0</v>
      </c>
      <c r="T89" s="967">
        <f t="shared" ca="1" si="13"/>
        <v>0</v>
      </c>
      <c r="U89" s="967">
        <f t="shared" ca="1" si="13"/>
        <v>0</v>
      </c>
      <c r="V89" s="967">
        <f t="shared" ca="1" si="13"/>
        <v>0</v>
      </c>
      <c r="W89" s="967">
        <f t="shared" ca="1" si="13"/>
        <v>0</v>
      </c>
      <c r="X89" s="967">
        <f t="shared" ca="1" si="13"/>
        <v>0</v>
      </c>
      <c r="Y89" s="967">
        <f t="shared" ca="1" si="13"/>
        <v>0</v>
      </c>
      <c r="Z89" s="967">
        <f t="shared" ca="1" si="13"/>
        <v>0</v>
      </c>
      <c r="AA89" s="967">
        <f t="shared" ca="1" si="13"/>
        <v>0</v>
      </c>
      <c r="AB89" s="967">
        <f t="shared" ca="1" si="13"/>
        <v>0</v>
      </c>
      <c r="AC89" s="967">
        <f t="shared" ca="1" si="13"/>
        <v>0</v>
      </c>
      <c r="AD89" s="967">
        <f t="shared" ca="1" si="13"/>
        <v>0</v>
      </c>
      <c r="AE89" s="967">
        <f t="shared" ca="1" si="13"/>
        <v>0</v>
      </c>
      <c r="AF89" s="967">
        <f t="shared" ca="1" si="13"/>
        <v>0</v>
      </c>
      <c r="AG89" s="967">
        <f t="shared" ca="1" si="13"/>
        <v>0</v>
      </c>
      <c r="AH89" s="967">
        <f t="shared" ca="1" si="13"/>
        <v>0</v>
      </c>
      <c r="AI89" s="967">
        <f t="shared" ca="1" si="13"/>
        <v>0</v>
      </c>
      <c r="AJ89" s="967">
        <f t="shared" ca="1" si="13"/>
        <v>0</v>
      </c>
      <c r="AK89" s="967">
        <f t="shared" ca="1" si="13"/>
        <v>0</v>
      </c>
      <c r="AL89" s="967">
        <f t="shared" ca="1" si="13"/>
        <v>0</v>
      </c>
      <c r="AM89" s="967">
        <f t="shared" ca="1" si="13"/>
        <v>0</v>
      </c>
      <c r="AN89" s="967">
        <f t="shared" ca="1" si="13"/>
        <v>0</v>
      </c>
      <c r="AO89" s="967">
        <f t="shared" ca="1" si="13"/>
        <v>0</v>
      </c>
      <c r="AP89" s="967">
        <f t="shared" ca="1" si="13"/>
        <v>0</v>
      </c>
      <c r="AQ89" s="967">
        <f t="shared" ca="1" si="13"/>
        <v>0</v>
      </c>
      <c r="AR89" s="967">
        <f t="shared" ca="1" si="13"/>
        <v>0</v>
      </c>
      <c r="AS89" s="967">
        <f t="shared" ca="1" si="13"/>
        <v>0</v>
      </c>
      <c r="AT89" s="967">
        <f t="shared" ca="1" si="13"/>
        <v>0</v>
      </c>
      <c r="AU89" s="967">
        <f t="shared" ca="1" si="13"/>
        <v>0</v>
      </c>
      <c r="AV89" s="967">
        <f t="shared" ca="1" si="13"/>
        <v>0</v>
      </c>
      <c r="AW89" s="967">
        <f t="shared" ca="1" si="13"/>
        <v>0</v>
      </c>
      <c r="AX89" s="967">
        <f t="shared" ca="1" si="13"/>
        <v>0</v>
      </c>
      <c r="AY89" s="967">
        <f t="shared" ca="1" si="13"/>
        <v>0</v>
      </c>
      <c r="AZ89" s="967">
        <f t="shared" ca="1" si="13"/>
        <v>0</v>
      </c>
      <c r="BA89" s="967">
        <f t="shared" ca="1" si="13"/>
        <v>0</v>
      </c>
      <c r="BB89" s="967">
        <f t="shared" ca="1" si="13"/>
        <v>0</v>
      </c>
      <c r="BC89" s="967">
        <f t="shared" ca="1" si="13"/>
        <v>0</v>
      </c>
      <c r="BD89" s="967">
        <f t="shared" ca="1" si="13"/>
        <v>0</v>
      </c>
      <c r="BE89" s="967">
        <f t="shared" ca="1" si="13"/>
        <v>0</v>
      </c>
      <c r="BF89" s="967">
        <f t="shared" ca="1" si="13"/>
        <v>0</v>
      </c>
      <c r="BG89" s="967">
        <f t="shared" ca="1" si="13"/>
        <v>0</v>
      </c>
      <c r="BH89" s="967">
        <f t="shared" ca="1" si="13"/>
        <v>0</v>
      </c>
      <c r="BI89" s="967">
        <f t="shared" ca="1" si="13"/>
        <v>0</v>
      </c>
      <c r="BJ89" s="967">
        <f t="shared" ca="1" si="13"/>
        <v>0</v>
      </c>
      <c r="BK89" s="967">
        <f t="shared" ca="1" si="13"/>
        <v>0</v>
      </c>
      <c r="BL89" s="967">
        <f t="shared" ca="1" si="13"/>
        <v>0</v>
      </c>
      <c r="BM89" s="967">
        <f t="shared" ca="1" si="13"/>
        <v>0</v>
      </c>
      <c r="BN89" s="967">
        <f t="shared" ca="1" si="13"/>
        <v>0</v>
      </c>
      <c r="BO89" s="967">
        <f t="shared" ca="1" si="13"/>
        <v>0</v>
      </c>
      <c r="BP89" s="841"/>
    </row>
    <row r="90" spans="1:68" ht="21">
      <c r="B90" s="964" t="s">
        <v>4498</v>
      </c>
      <c r="C90" s="878"/>
      <c r="D90" s="913" t="s">
        <v>4499</v>
      </c>
      <c r="E90" s="970"/>
      <c r="F90" s="901" t="s">
        <v>3734</v>
      </c>
      <c r="G90" s="891" t="s">
        <v>4685</v>
      </c>
      <c r="H90" s="959"/>
      <c r="I90" s="959"/>
      <c r="J90" s="959"/>
      <c r="K90" s="959"/>
      <c r="L90" s="966">
        <f t="shared" ref="L90:O90" ca="1" si="14">SUM(L56:L66)</f>
        <v>0</v>
      </c>
      <c r="M90" s="966">
        <f t="shared" ca="1" si="14"/>
        <v>0</v>
      </c>
      <c r="N90" s="966">
        <f t="shared" ca="1" si="14"/>
        <v>0</v>
      </c>
      <c r="O90" s="966">
        <f t="shared" ca="1" si="14"/>
        <v>0</v>
      </c>
      <c r="P90" s="967">
        <f ca="1">SUM(P56:P66)</f>
        <v>0</v>
      </c>
      <c r="Q90" s="967">
        <f t="shared" ref="Q90:BO90" ca="1" si="15">SUM(Q56:Q66)</f>
        <v>0</v>
      </c>
      <c r="R90" s="967">
        <f t="shared" ca="1" si="15"/>
        <v>0</v>
      </c>
      <c r="S90" s="967">
        <f t="shared" ca="1" si="15"/>
        <v>0</v>
      </c>
      <c r="T90" s="967">
        <f t="shared" ca="1" si="15"/>
        <v>0</v>
      </c>
      <c r="U90" s="967">
        <f t="shared" ca="1" si="15"/>
        <v>0</v>
      </c>
      <c r="V90" s="967">
        <f t="shared" ca="1" si="15"/>
        <v>0</v>
      </c>
      <c r="W90" s="967">
        <f t="shared" ca="1" si="15"/>
        <v>0</v>
      </c>
      <c r="X90" s="967">
        <f t="shared" ca="1" si="15"/>
        <v>0</v>
      </c>
      <c r="Y90" s="967">
        <f t="shared" ca="1" si="15"/>
        <v>0</v>
      </c>
      <c r="Z90" s="967">
        <f t="shared" ca="1" si="15"/>
        <v>0</v>
      </c>
      <c r="AA90" s="967">
        <f t="shared" ca="1" si="15"/>
        <v>0</v>
      </c>
      <c r="AB90" s="967">
        <f t="shared" ca="1" si="15"/>
        <v>0</v>
      </c>
      <c r="AC90" s="967">
        <f t="shared" ca="1" si="15"/>
        <v>0</v>
      </c>
      <c r="AD90" s="967">
        <f t="shared" ca="1" si="15"/>
        <v>0</v>
      </c>
      <c r="AE90" s="967">
        <f t="shared" ca="1" si="15"/>
        <v>0</v>
      </c>
      <c r="AF90" s="967">
        <f t="shared" ca="1" si="15"/>
        <v>0</v>
      </c>
      <c r="AG90" s="967">
        <f t="shared" ca="1" si="15"/>
        <v>0</v>
      </c>
      <c r="AH90" s="967">
        <f t="shared" ca="1" si="15"/>
        <v>0</v>
      </c>
      <c r="AI90" s="967">
        <f t="shared" ca="1" si="15"/>
        <v>0</v>
      </c>
      <c r="AJ90" s="967">
        <f t="shared" ca="1" si="15"/>
        <v>0</v>
      </c>
      <c r="AK90" s="967">
        <f t="shared" ca="1" si="15"/>
        <v>0</v>
      </c>
      <c r="AL90" s="967">
        <f t="shared" ca="1" si="15"/>
        <v>0</v>
      </c>
      <c r="AM90" s="967">
        <f t="shared" ca="1" si="15"/>
        <v>0</v>
      </c>
      <c r="AN90" s="967">
        <f t="shared" ca="1" si="15"/>
        <v>0</v>
      </c>
      <c r="AO90" s="967">
        <f t="shared" ca="1" si="15"/>
        <v>0</v>
      </c>
      <c r="AP90" s="967">
        <f t="shared" ca="1" si="15"/>
        <v>0</v>
      </c>
      <c r="AQ90" s="967">
        <f t="shared" ca="1" si="15"/>
        <v>0</v>
      </c>
      <c r="AR90" s="967">
        <f t="shared" ca="1" si="15"/>
        <v>0</v>
      </c>
      <c r="AS90" s="967">
        <f t="shared" ca="1" si="15"/>
        <v>0</v>
      </c>
      <c r="AT90" s="967">
        <f t="shared" ca="1" si="15"/>
        <v>0</v>
      </c>
      <c r="AU90" s="967">
        <f t="shared" ca="1" si="15"/>
        <v>0</v>
      </c>
      <c r="AV90" s="967">
        <f t="shared" ca="1" si="15"/>
        <v>0</v>
      </c>
      <c r="AW90" s="967">
        <f t="shared" ca="1" si="15"/>
        <v>0</v>
      </c>
      <c r="AX90" s="967">
        <f t="shared" ca="1" si="15"/>
        <v>0</v>
      </c>
      <c r="AY90" s="967">
        <f t="shared" ca="1" si="15"/>
        <v>0</v>
      </c>
      <c r="AZ90" s="967">
        <f t="shared" ca="1" si="15"/>
        <v>0</v>
      </c>
      <c r="BA90" s="967">
        <f t="shared" ca="1" si="15"/>
        <v>0</v>
      </c>
      <c r="BB90" s="967">
        <f t="shared" ca="1" si="15"/>
        <v>0</v>
      </c>
      <c r="BC90" s="967">
        <f t="shared" ca="1" si="15"/>
        <v>0</v>
      </c>
      <c r="BD90" s="967">
        <f t="shared" ca="1" si="15"/>
        <v>0</v>
      </c>
      <c r="BE90" s="967">
        <f t="shared" ca="1" si="15"/>
        <v>0</v>
      </c>
      <c r="BF90" s="967">
        <f t="shared" ca="1" si="15"/>
        <v>0</v>
      </c>
      <c r="BG90" s="967">
        <f t="shared" ca="1" si="15"/>
        <v>0</v>
      </c>
      <c r="BH90" s="967">
        <f t="shared" ca="1" si="15"/>
        <v>0</v>
      </c>
      <c r="BI90" s="967">
        <f t="shared" ca="1" si="15"/>
        <v>0</v>
      </c>
      <c r="BJ90" s="967">
        <f t="shared" ca="1" si="15"/>
        <v>0</v>
      </c>
      <c r="BK90" s="967">
        <f t="shared" ca="1" si="15"/>
        <v>0</v>
      </c>
      <c r="BL90" s="967">
        <f t="shared" ca="1" si="15"/>
        <v>0</v>
      </c>
      <c r="BM90" s="967">
        <f t="shared" ca="1" si="15"/>
        <v>0</v>
      </c>
      <c r="BN90" s="967">
        <f t="shared" ca="1" si="15"/>
        <v>0</v>
      </c>
      <c r="BO90" s="967">
        <f t="shared" ca="1" si="15"/>
        <v>0</v>
      </c>
      <c r="BP90" s="841"/>
    </row>
    <row r="91" spans="1:68" ht="21">
      <c r="B91" s="968" t="s">
        <v>4496</v>
      </c>
      <c r="C91" s="971"/>
      <c r="D91" s="913" t="s">
        <v>4500</v>
      </c>
      <c r="E91" s="970"/>
      <c r="F91" s="901" t="s">
        <v>3735</v>
      </c>
      <c r="G91" s="891" t="s">
        <v>4685</v>
      </c>
      <c r="H91" s="959"/>
      <c r="I91" s="959"/>
      <c r="J91" s="959"/>
      <c r="K91" s="959"/>
      <c r="L91" s="966">
        <f t="shared" ref="L91:O91" ca="1" si="16">SUM(L67:L71)</f>
        <v>0</v>
      </c>
      <c r="M91" s="966">
        <f t="shared" ca="1" si="16"/>
        <v>0</v>
      </c>
      <c r="N91" s="966">
        <f t="shared" ca="1" si="16"/>
        <v>0</v>
      </c>
      <c r="O91" s="966">
        <f t="shared" ca="1" si="16"/>
        <v>0</v>
      </c>
      <c r="P91" s="967">
        <f ca="1">SUM(P67:P71)</f>
        <v>0</v>
      </c>
      <c r="Q91" s="967">
        <f t="shared" ref="Q91:BO91" ca="1" si="17">SUM(Q67:Q71)</f>
        <v>0</v>
      </c>
      <c r="R91" s="967">
        <f t="shared" ca="1" si="17"/>
        <v>0</v>
      </c>
      <c r="S91" s="967">
        <f t="shared" ca="1" si="17"/>
        <v>0</v>
      </c>
      <c r="T91" s="967">
        <f t="shared" ca="1" si="17"/>
        <v>0</v>
      </c>
      <c r="U91" s="967">
        <f t="shared" ca="1" si="17"/>
        <v>0</v>
      </c>
      <c r="V91" s="967">
        <f t="shared" ca="1" si="17"/>
        <v>0</v>
      </c>
      <c r="W91" s="967">
        <f t="shared" ca="1" si="17"/>
        <v>0</v>
      </c>
      <c r="X91" s="967">
        <f t="shared" ca="1" si="17"/>
        <v>0</v>
      </c>
      <c r="Y91" s="967">
        <f t="shared" ca="1" si="17"/>
        <v>0</v>
      </c>
      <c r="Z91" s="967">
        <f t="shared" ca="1" si="17"/>
        <v>0</v>
      </c>
      <c r="AA91" s="967">
        <f t="shared" ca="1" si="17"/>
        <v>0</v>
      </c>
      <c r="AB91" s="967">
        <f t="shared" ca="1" si="17"/>
        <v>0</v>
      </c>
      <c r="AC91" s="967">
        <f t="shared" ca="1" si="17"/>
        <v>0</v>
      </c>
      <c r="AD91" s="967">
        <f t="shared" ca="1" si="17"/>
        <v>0</v>
      </c>
      <c r="AE91" s="967">
        <f t="shared" ca="1" si="17"/>
        <v>0</v>
      </c>
      <c r="AF91" s="967">
        <f t="shared" ca="1" si="17"/>
        <v>0</v>
      </c>
      <c r="AG91" s="967">
        <f t="shared" ca="1" si="17"/>
        <v>0</v>
      </c>
      <c r="AH91" s="967">
        <f t="shared" ca="1" si="17"/>
        <v>0</v>
      </c>
      <c r="AI91" s="967">
        <f t="shared" ca="1" si="17"/>
        <v>0</v>
      </c>
      <c r="AJ91" s="967">
        <f t="shared" ca="1" si="17"/>
        <v>0</v>
      </c>
      <c r="AK91" s="967">
        <f t="shared" ca="1" si="17"/>
        <v>0</v>
      </c>
      <c r="AL91" s="967">
        <f t="shared" ca="1" si="17"/>
        <v>0</v>
      </c>
      <c r="AM91" s="967">
        <f t="shared" ca="1" si="17"/>
        <v>0</v>
      </c>
      <c r="AN91" s="967">
        <f t="shared" ca="1" si="17"/>
        <v>0</v>
      </c>
      <c r="AO91" s="967">
        <f t="shared" ca="1" si="17"/>
        <v>0</v>
      </c>
      <c r="AP91" s="967">
        <f t="shared" ca="1" si="17"/>
        <v>0</v>
      </c>
      <c r="AQ91" s="967">
        <f t="shared" ca="1" si="17"/>
        <v>0</v>
      </c>
      <c r="AR91" s="967">
        <f t="shared" ca="1" si="17"/>
        <v>0</v>
      </c>
      <c r="AS91" s="967">
        <f t="shared" ca="1" si="17"/>
        <v>0</v>
      </c>
      <c r="AT91" s="967">
        <f t="shared" ca="1" si="17"/>
        <v>0</v>
      </c>
      <c r="AU91" s="967">
        <f t="shared" ca="1" si="17"/>
        <v>0</v>
      </c>
      <c r="AV91" s="967">
        <f t="shared" ca="1" si="17"/>
        <v>0</v>
      </c>
      <c r="AW91" s="967">
        <f t="shared" ca="1" si="17"/>
        <v>0</v>
      </c>
      <c r="AX91" s="967">
        <f t="shared" ca="1" si="17"/>
        <v>0</v>
      </c>
      <c r="AY91" s="967">
        <f t="shared" ca="1" si="17"/>
        <v>0</v>
      </c>
      <c r="AZ91" s="967">
        <f t="shared" ca="1" si="17"/>
        <v>0</v>
      </c>
      <c r="BA91" s="967">
        <f t="shared" ca="1" si="17"/>
        <v>0</v>
      </c>
      <c r="BB91" s="967">
        <f t="shared" ca="1" si="17"/>
        <v>0</v>
      </c>
      <c r="BC91" s="967">
        <f t="shared" ca="1" si="17"/>
        <v>0</v>
      </c>
      <c r="BD91" s="967">
        <f t="shared" ca="1" si="17"/>
        <v>0</v>
      </c>
      <c r="BE91" s="967">
        <f t="shared" ca="1" si="17"/>
        <v>0</v>
      </c>
      <c r="BF91" s="967">
        <f t="shared" ca="1" si="17"/>
        <v>0</v>
      </c>
      <c r="BG91" s="967">
        <f t="shared" ca="1" si="17"/>
        <v>0</v>
      </c>
      <c r="BH91" s="967">
        <f t="shared" ca="1" si="17"/>
        <v>0</v>
      </c>
      <c r="BI91" s="967">
        <f t="shared" ca="1" si="17"/>
        <v>0</v>
      </c>
      <c r="BJ91" s="967">
        <f t="shared" ca="1" si="17"/>
        <v>0</v>
      </c>
      <c r="BK91" s="967">
        <f t="shared" ca="1" si="17"/>
        <v>0</v>
      </c>
      <c r="BL91" s="967">
        <f t="shared" ca="1" si="17"/>
        <v>0</v>
      </c>
      <c r="BM91" s="967">
        <f t="shared" ca="1" si="17"/>
        <v>0</v>
      </c>
      <c r="BN91" s="967">
        <f t="shared" ca="1" si="17"/>
        <v>0</v>
      </c>
      <c r="BO91" s="967">
        <f t="shared" ca="1" si="17"/>
        <v>0</v>
      </c>
      <c r="BP91" s="841"/>
    </row>
    <row r="92" spans="1:68" ht="21">
      <c r="B92" s="972" t="s">
        <v>4501</v>
      </c>
      <c r="C92" s="824"/>
      <c r="D92" s="892"/>
      <c r="E92" s="973"/>
      <c r="F92" s="901" t="s">
        <v>4450</v>
      </c>
      <c r="G92" s="891" t="s">
        <v>4685</v>
      </c>
      <c r="H92" s="959"/>
      <c r="I92" s="959"/>
      <c r="J92" s="959"/>
      <c r="K92" s="959"/>
      <c r="L92" s="966">
        <f t="shared" ref="L92:O92" ca="1" si="18">L401</f>
        <v>0</v>
      </c>
      <c r="M92" s="966">
        <f t="shared" ca="1" si="18"/>
        <v>0</v>
      </c>
      <c r="N92" s="966">
        <f t="shared" ca="1" si="18"/>
        <v>0</v>
      </c>
      <c r="O92" s="966">
        <f t="shared" ca="1" si="18"/>
        <v>0</v>
      </c>
      <c r="P92" s="967">
        <f ca="1">P401</f>
        <v>0</v>
      </c>
      <c r="Q92" s="967">
        <f t="shared" ref="Q92:BO92" ca="1" si="19">Q401</f>
        <v>0</v>
      </c>
      <c r="R92" s="967">
        <f t="shared" ca="1" si="19"/>
        <v>0</v>
      </c>
      <c r="S92" s="967">
        <f t="shared" ca="1" si="19"/>
        <v>0</v>
      </c>
      <c r="T92" s="967">
        <f t="shared" ca="1" si="19"/>
        <v>0</v>
      </c>
      <c r="U92" s="967">
        <f t="shared" ca="1" si="19"/>
        <v>0</v>
      </c>
      <c r="V92" s="967">
        <f t="shared" ca="1" si="19"/>
        <v>0</v>
      </c>
      <c r="W92" s="967">
        <f t="shared" ca="1" si="19"/>
        <v>0</v>
      </c>
      <c r="X92" s="967">
        <f t="shared" ca="1" si="19"/>
        <v>0</v>
      </c>
      <c r="Y92" s="967">
        <f t="shared" ca="1" si="19"/>
        <v>0</v>
      </c>
      <c r="Z92" s="967">
        <f t="shared" ca="1" si="19"/>
        <v>0</v>
      </c>
      <c r="AA92" s="967">
        <f t="shared" ca="1" si="19"/>
        <v>0</v>
      </c>
      <c r="AB92" s="967">
        <f t="shared" ca="1" si="19"/>
        <v>0</v>
      </c>
      <c r="AC92" s="967">
        <f t="shared" ca="1" si="19"/>
        <v>0</v>
      </c>
      <c r="AD92" s="967">
        <f t="shared" ca="1" si="19"/>
        <v>0</v>
      </c>
      <c r="AE92" s="967">
        <f t="shared" ca="1" si="19"/>
        <v>0</v>
      </c>
      <c r="AF92" s="967">
        <f t="shared" ca="1" si="19"/>
        <v>0</v>
      </c>
      <c r="AG92" s="967">
        <f t="shared" ca="1" si="19"/>
        <v>0</v>
      </c>
      <c r="AH92" s="967">
        <f t="shared" ca="1" si="19"/>
        <v>0</v>
      </c>
      <c r="AI92" s="967">
        <f t="shared" ca="1" si="19"/>
        <v>0</v>
      </c>
      <c r="AJ92" s="967">
        <f t="shared" ca="1" si="19"/>
        <v>0</v>
      </c>
      <c r="AK92" s="967">
        <f t="shared" ca="1" si="19"/>
        <v>0</v>
      </c>
      <c r="AL92" s="967">
        <f t="shared" ca="1" si="19"/>
        <v>0</v>
      </c>
      <c r="AM92" s="967">
        <f t="shared" ca="1" si="19"/>
        <v>0</v>
      </c>
      <c r="AN92" s="967">
        <f t="shared" ca="1" si="19"/>
        <v>0</v>
      </c>
      <c r="AO92" s="967">
        <f t="shared" ca="1" si="19"/>
        <v>0</v>
      </c>
      <c r="AP92" s="967">
        <f t="shared" ca="1" si="19"/>
        <v>0</v>
      </c>
      <c r="AQ92" s="967">
        <f t="shared" ca="1" si="19"/>
        <v>0</v>
      </c>
      <c r="AR92" s="967">
        <f t="shared" ca="1" si="19"/>
        <v>0</v>
      </c>
      <c r="AS92" s="967">
        <f t="shared" ca="1" si="19"/>
        <v>0</v>
      </c>
      <c r="AT92" s="967">
        <f t="shared" ca="1" si="19"/>
        <v>0</v>
      </c>
      <c r="AU92" s="967">
        <f t="shared" ca="1" si="19"/>
        <v>0</v>
      </c>
      <c r="AV92" s="967">
        <f t="shared" ca="1" si="19"/>
        <v>0</v>
      </c>
      <c r="AW92" s="967">
        <f t="shared" ca="1" si="19"/>
        <v>0</v>
      </c>
      <c r="AX92" s="967">
        <f t="shared" ca="1" si="19"/>
        <v>0</v>
      </c>
      <c r="AY92" s="967">
        <f t="shared" ca="1" si="19"/>
        <v>0</v>
      </c>
      <c r="AZ92" s="967">
        <f t="shared" ca="1" si="19"/>
        <v>0</v>
      </c>
      <c r="BA92" s="967">
        <f t="shared" ca="1" si="19"/>
        <v>0</v>
      </c>
      <c r="BB92" s="967">
        <f t="shared" ca="1" si="19"/>
        <v>0</v>
      </c>
      <c r="BC92" s="967">
        <f t="shared" ca="1" si="19"/>
        <v>0</v>
      </c>
      <c r="BD92" s="967">
        <f t="shared" ca="1" si="19"/>
        <v>0</v>
      </c>
      <c r="BE92" s="967">
        <f t="shared" ca="1" si="19"/>
        <v>0</v>
      </c>
      <c r="BF92" s="967">
        <f t="shared" ca="1" si="19"/>
        <v>0</v>
      </c>
      <c r="BG92" s="967">
        <f t="shared" ca="1" si="19"/>
        <v>0</v>
      </c>
      <c r="BH92" s="967">
        <f t="shared" ca="1" si="19"/>
        <v>0</v>
      </c>
      <c r="BI92" s="967">
        <f t="shared" ca="1" si="19"/>
        <v>0</v>
      </c>
      <c r="BJ92" s="967">
        <f t="shared" ca="1" si="19"/>
        <v>0</v>
      </c>
      <c r="BK92" s="967">
        <f t="shared" ca="1" si="19"/>
        <v>0</v>
      </c>
      <c r="BL92" s="967">
        <f t="shared" ca="1" si="19"/>
        <v>0</v>
      </c>
      <c r="BM92" s="967">
        <f t="shared" ca="1" si="19"/>
        <v>0</v>
      </c>
      <c r="BN92" s="967">
        <f t="shared" ca="1" si="19"/>
        <v>0</v>
      </c>
      <c r="BO92" s="967">
        <f t="shared" ca="1" si="19"/>
        <v>0</v>
      </c>
      <c r="BP92" s="841"/>
    </row>
    <row r="93" spans="1:68" ht="21" customHeight="1">
      <c r="A93" s="786">
        <v>153</v>
      </c>
      <c r="B93" s="1909" t="s">
        <v>4502</v>
      </c>
      <c r="C93" s="1912" t="s">
        <v>4503</v>
      </c>
      <c r="D93" s="974" t="s">
        <v>4504</v>
      </c>
      <c r="E93" s="975"/>
      <c r="F93" s="976" t="s">
        <v>4452</v>
      </c>
      <c r="G93" s="977" t="s">
        <v>4686</v>
      </c>
      <c r="H93" s="978"/>
      <c r="I93" s="978"/>
      <c r="J93" s="978"/>
      <c r="K93" s="978"/>
      <c r="L93" s="979">
        <f t="shared" ref="L93:O110" ca="1" si="20">SUM(P93,T93)</f>
        <v>0</v>
      </c>
      <c r="M93" s="979">
        <f t="shared" ca="1" si="20"/>
        <v>0</v>
      </c>
      <c r="N93" s="979">
        <f t="shared" ca="1" si="20"/>
        <v>0</v>
      </c>
      <c r="O93" s="979">
        <f t="shared" ca="1" si="20"/>
        <v>0</v>
      </c>
      <c r="P93" s="980">
        <f t="shared" ref="P93:P106" ca="1" si="21">IFERROR(OFFSET(貼付け_2024実績,$A93,8)+OFFSET(貼付け_2024実績,$A93,9),"")</f>
        <v>0</v>
      </c>
      <c r="Q93" s="980">
        <f t="shared" ref="Q93:Q106" ca="1" si="22">IFERROR(OFFSET(貼付け_2025実績,$A93,8)+OFFSET(貼付け_2025実績,$A93,9),"")</f>
        <v>0</v>
      </c>
      <c r="R93" s="980">
        <f t="shared" ref="R93:R106" ca="1" si="23">IFERROR(OFFSET(貼付け_2026実績,$A93,8)+OFFSET(貼付け_2026実績,$A93,9),"")</f>
        <v>0</v>
      </c>
      <c r="S93" s="980">
        <f t="shared" ref="S93:S106" ca="1" si="24">IFERROR(OFFSET(貼付け_2027実績,$A93,8)+OFFSET(貼付け_2027実績,$A93,9),"")</f>
        <v>0</v>
      </c>
      <c r="T93" s="981">
        <f t="shared" ref="T93:T106" ca="1" si="25">IFERROR(OFFSET(貼付け_2024実績,$A93,7),"")</f>
        <v>0</v>
      </c>
      <c r="U93" s="981">
        <f t="shared" ref="U93:U106" ca="1" si="26">IFERROR(OFFSET(貼付け_2025実績,$A93,7),"")</f>
        <v>0</v>
      </c>
      <c r="V93" s="981">
        <f t="shared" ref="V93:V106" ca="1" si="27">IFERROR(OFFSET(貼付け_2026実績,$A93,7,),"")</f>
        <v>0</v>
      </c>
      <c r="W93" s="981">
        <f t="shared" ref="W93:W106" ca="1" si="28">IFERROR(OFFSET(貼付け_2027実績,$A93,7),"")</f>
        <v>0</v>
      </c>
      <c r="X93" s="959"/>
      <c r="Y93" s="959"/>
      <c r="Z93" s="959"/>
      <c r="AA93" s="959"/>
      <c r="AB93" s="959"/>
      <c r="AC93" s="959"/>
      <c r="AD93" s="959"/>
      <c r="AE93" s="959"/>
      <c r="AF93" s="959"/>
      <c r="AG93" s="959"/>
      <c r="AH93" s="959"/>
      <c r="AI93" s="959"/>
      <c r="AJ93" s="959"/>
      <c r="AK93" s="959"/>
      <c r="AL93" s="959"/>
      <c r="AM93" s="959"/>
      <c r="AN93" s="959"/>
      <c r="AO93" s="959"/>
      <c r="AP93" s="959"/>
      <c r="AQ93" s="959"/>
      <c r="AR93" s="959"/>
      <c r="AS93" s="959"/>
      <c r="AT93" s="959"/>
      <c r="AU93" s="959"/>
      <c r="AV93" s="959"/>
      <c r="AW93" s="959"/>
      <c r="AX93" s="959"/>
      <c r="AY93" s="959"/>
      <c r="AZ93" s="959"/>
      <c r="BA93" s="959"/>
      <c r="BB93" s="959"/>
      <c r="BC93" s="959"/>
      <c r="BD93" s="959"/>
      <c r="BE93" s="959"/>
      <c r="BF93" s="959"/>
      <c r="BG93" s="959"/>
      <c r="BH93" s="959"/>
      <c r="BI93" s="959"/>
      <c r="BJ93" s="959"/>
      <c r="BK93" s="959"/>
      <c r="BL93" s="959"/>
      <c r="BM93" s="959"/>
      <c r="BN93" s="959"/>
      <c r="BO93" s="959"/>
      <c r="BP93" s="841"/>
    </row>
    <row r="94" spans="1:68" ht="21" customHeight="1">
      <c r="A94" s="786">
        <v>154</v>
      </c>
      <c r="B94" s="1910"/>
      <c r="C94" s="1913"/>
      <c r="D94" s="974" t="s">
        <v>4505</v>
      </c>
      <c r="E94" s="975"/>
      <c r="F94" s="976" t="s">
        <v>4453</v>
      </c>
      <c r="G94" s="977" t="s">
        <v>4686</v>
      </c>
      <c r="H94" s="978"/>
      <c r="I94" s="978"/>
      <c r="J94" s="978"/>
      <c r="K94" s="978"/>
      <c r="L94" s="979">
        <f t="shared" ca="1" si="20"/>
        <v>0</v>
      </c>
      <c r="M94" s="979">
        <f t="shared" ca="1" si="20"/>
        <v>0</v>
      </c>
      <c r="N94" s="979">
        <f t="shared" ca="1" si="20"/>
        <v>0</v>
      </c>
      <c r="O94" s="979">
        <f t="shared" ca="1" si="20"/>
        <v>0</v>
      </c>
      <c r="P94" s="980">
        <f t="shared" ca="1" si="21"/>
        <v>0</v>
      </c>
      <c r="Q94" s="980">
        <f t="shared" ca="1" si="22"/>
        <v>0</v>
      </c>
      <c r="R94" s="980">
        <f t="shared" ca="1" si="23"/>
        <v>0</v>
      </c>
      <c r="S94" s="980">
        <f t="shared" ca="1" si="24"/>
        <v>0</v>
      </c>
      <c r="T94" s="979">
        <f t="shared" ca="1" si="25"/>
        <v>0</v>
      </c>
      <c r="U94" s="979">
        <f t="shared" ca="1" si="26"/>
        <v>0</v>
      </c>
      <c r="V94" s="979">
        <f t="shared" ca="1" si="27"/>
        <v>0</v>
      </c>
      <c r="W94" s="979">
        <f t="shared" ca="1" si="28"/>
        <v>0</v>
      </c>
      <c r="X94" s="959"/>
      <c r="Y94" s="959"/>
      <c r="Z94" s="959"/>
      <c r="AA94" s="959"/>
      <c r="AB94" s="959"/>
      <c r="AC94" s="959"/>
      <c r="AD94" s="959"/>
      <c r="AE94" s="959"/>
      <c r="AF94" s="959"/>
      <c r="AG94" s="959"/>
      <c r="AH94" s="959"/>
      <c r="AI94" s="959"/>
      <c r="AJ94" s="959"/>
      <c r="AK94" s="959"/>
      <c r="AL94" s="959"/>
      <c r="AM94" s="959"/>
      <c r="AN94" s="959"/>
      <c r="AO94" s="959"/>
      <c r="AP94" s="959"/>
      <c r="AQ94" s="959"/>
      <c r="AR94" s="959"/>
      <c r="AS94" s="959"/>
      <c r="AT94" s="959"/>
      <c r="AU94" s="959"/>
      <c r="AV94" s="959"/>
      <c r="AW94" s="959"/>
      <c r="AX94" s="959"/>
      <c r="AY94" s="959"/>
      <c r="AZ94" s="959"/>
      <c r="BA94" s="959"/>
      <c r="BB94" s="959"/>
      <c r="BC94" s="959"/>
      <c r="BD94" s="959"/>
      <c r="BE94" s="959"/>
      <c r="BF94" s="959"/>
      <c r="BG94" s="959"/>
      <c r="BH94" s="959"/>
      <c r="BI94" s="959"/>
      <c r="BJ94" s="959"/>
      <c r="BK94" s="959"/>
      <c r="BL94" s="959"/>
      <c r="BM94" s="959"/>
      <c r="BN94" s="959"/>
      <c r="BO94" s="959"/>
      <c r="BP94" s="841"/>
    </row>
    <row r="95" spans="1:68" ht="21">
      <c r="A95" s="786">
        <v>155</v>
      </c>
      <c r="B95" s="1910"/>
      <c r="C95" s="1913"/>
      <c r="D95" s="1915" t="s">
        <v>4506</v>
      </c>
      <c r="E95" s="982" t="s">
        <v>4507</v>
      </c>
      <c r="F95" s="983" t="s">
        <v>4455</v>
      </c>
      <c r="G95" s="977" t="s">
        <v>4686</v>
      </c>
      <c r="H95" s="978"/>
      <c r="I95" s="978"/>
      <c r="J95" s="978"/>
      <c r="K95" s="978"/>
      <c r="L95" s="979">
        <f t="shared" ca="1" si="20"/>
        <v>0</v>
      </c>
      <c r="M95" s="979">
        <f t="shared" ca="1" si="20"/>
        <v>0</v>
      </c>
      <c r="N95" s="979">
        <f t="shared" ca="1" si="20"/>
        <v>0</v>
      </c>
      <c r="O95" s="979">
        <f t="shared" ca="1" si="20"/>
        <v>0</v>
      </c>
      <c r="P95" s="980">
        <f t="shared" ca="1" si="21"/>
        <v>0</v>
      </c>
      <c r="Q95" s="980">
        <f t="shared" ca="1" si="22"/>
        <v>0</v>
      </c>
      <c r="R95" s="980">
        <f t="shared" ca="1" si="23"/>
        <v>0</v>
      </c>
      <c r="S95" s="980">
        <f t="shared" ca="1" si="24"/>
        <v>0</v>
      </c>
      <c r="T95" s="979">
        <f t="shared" ca="1" si="25"/>
        <v>0</v>
      </c>
      <c r="U95" s="979">
        <f t="shared" ca="1" si="26"/>
        <v>0</v>
      </c>
      <c r="V95" s="979">
        <f t="shared" ca="1" si="27"/>
        <v>0</v>
      </c>
      <c r="W95" s="979">
        <f t="shared" ca="1" si="28"/>
        <v>0</v>
      </c>
      <c r="X95" s="959"/>
      <c r="Y95" s="959"/>
      <c r="Z95" s="959"/>
      <c r="AA95" s="959"/>
      <c r="AB95" s="959"/>
      <c r="AC95" s="959"/>
      <c r="AD95" s="959"/>
      <c r="AE95" s="959"/>
      <c r="AF95" s="959"/>
      <c r="AG95" s="959"/>
      <c r="AH95" s="959"/>
      <c r="AI95" s="959"/>
      <c r="AJ95" s="959"/>
      <c r="AK95" s="959"/>
      <c r="AL95" s="959"/>
      <c r="AM95" s="959"/>
      <c r="AN95" s="959"/>
      <c r="AO95" s="959"/>
      <c r="AP95" s="959"/>
      <c r="AQ95" s="959"/>
      <c r="AR95" s="959"/>
      <c r="AS95" s="959"/>
      <c r="AT95" s="959"/>
      <c r="AU95" s="959"/>
      <c r="AV95" s="959"/>
      <c r="AW95" s="959"/>
      <c r="AX95" s="959"/>
      <c r="AY95" s="959"/>
      <c r="AZ95" s="959"/>
      <c r="BA95" s="959"/>
      <c r="BB95" s="959"/>
      <c r="BC95" s="959"/>
      <c r="BD95" s="959"/>
      <c r="BE95" s="959"/>
      <c r="BF95" s="959"/>
      <c r="BG95" s="959"/>
      <c r="BH95" s="959"/>
      <c r="BI95" s="959"/>
      <c r="BJ95" s="959"/>
      <c r="BK95" s="959"/>
      <c r="BL95" s="959"/>
      <c r="BM95" s="959"/>
      <c r="BN95" s="959"/>
      <c r="BO95" s="959"/>
      <c r="BP95" s="841"/>
    </row>
    <row r="96" spans="1:68">
      <c r="A96" s="786">
        <v>156</v>
      </c>
      <c r="B96" s="1910"/>
      <c r="C96" s="1913"/>
      <c r="D96" s="1916"/>
      <c r="E96" s="984"/>
      <c r="F96" s="985"/>
      <c r="G96" s="977" t="s">
        <v>4508</v>
      </c>
      <c r="H96" s="978"/>
      <c r="I96" s="978"/>
      <c r="J96" s="978"/>
      <c r="K96" s="978"/>
      <c r="L96" s="979">
        <f t="shared" ca="1" si="20"/>
        <v>0</v>
      </c>
      <c r="M96" s="979">
        <f t="shared" ca="1" si="20"/>
        <v>0</v>
      </c>
      <c r="N96" s="979">
        <f t="shared" ca="1" si="20"/>
        <v>0</v>
      </c>
      <c r="O96" s="979">
        <f t="shared" ca="1" si="20"/>
        <v>0</v>
      </c>
      <c r="P96" s="980">
        <f t="shared" ca="1" si="21"/>
        <v>0</v>
      </c>
      <c r="Q96" s="980">
        <f t="shared" ca="1" si="22"/>
        <v>0</v>
      </c>
      <c r="R96" s="980">
        <f t="shared" ca="1" si="23"/>
        <v>0</v>
      </c>
      <c r="S96" s="980">
        <f t="shared" ca="1" si="24"/>
        <v>0</v>
      </c>
      <c r="T96" s="979">
        <f t="shared" ca="1" si="25"/>
        <v>0</v>
      </c>
      <c r="U96" s="979">
        <f t="shared" ca="1" si="26"/>
        <v>0</v>
      </c>
      <c r="V96" s="979">
        <f t="shared" ca="1" si="27"/>
        <v>0</v>
      </c>
      <c r="W96" s="979">
        <f t="shared" ca="1" si="28"/>
        <v>0</v>
      </c>
      <c r="X96" s="959"/>
      <c r="Y96" s="959"/>
      <c r="Z96" s="959"/>
      <c r="AA96" s="959"/>
      <c r="AB96" s="959"/>
      <c r="AC96" s="959"/>
      <c r="AD96" s="959"/>
      <c r="AE96" s="959"/>
      <c r="AF96" s="959"/>
      <c r="AG96" s="959"/>
      <c r="AH96" s="959"/>
      <c r="AI96" s="959"/>
      <c r="AJ96" s="959"/>
      <c r="AK96" s="959"/>
      <c r="AL96" s="959"/>
      <c r="AM96" s="959"/>
      <c r="AN96" s="959"/>
      <c r="AO96" s="959"/>
      <c r="AP96" s="959"/>
      <c r="AQ96" s="959"/>
      <c r="AR96" s="959"/>
      <c r="AS96" s="959"/>
      <c r="AT96" s="959"/>
      <c r="AU96" s="959"/>
      <c r="AV96" s="959"/>
      <c r="AW96" s="959"/>
      <c r="AX96" s="959"/>
      <c r="AY96" s="959"/>
      <c r="AZ96" s="959"/>
      <c r="BA96" s="959"/>
      <c r="BB96" s="959"/>
      <c r="BC96" s="959"/>
      <c r="BD96" s="959"/>
      <c r="BE96" s="959"/>
      <c r="BF96" s="959"/>
      <c r="BG96" s="959"/>
      <c r="BH96" s="959"/>
      <c r="BI96" s="959"/>
      <c r="BJ96" s="959"/>
      <c r="BK96" s="959"/>
      <c r="BL96" s="959"/>
      <c r="BM96" s="959"/>
      <c r="BN96" s="959"/>
      <c r="BO96" s="959"/>
      <c r="BP96" s="841"/>
    </row>
    <row r="97" spans="1:68" ht="21" customHeight="1">
      <c r="A97" s="786">
        <v>157</v>
      </c>
      <c r="B97" s="1910"/>
      <c r="C97" s="1913"/>
      <c r="D97" s="1916"/>
      <c r="E97" s="986" t="s">
        <v>4509</v>
      </c>
      <c r="F97" s="987" t="s">
        <v>4456</v>
      </c>
      <c r="G97" s="891" t="s">
        <v>4685</v>
      </c>
      <c r="H97" s="959"/>
      <c r="I97" s="959"/>
      <c r="J97" s="959"/>
      <c r="K97" s="959"/>
      <c r="L97" s="979">
        <f t="shared" ca="1" si="20"/>
        <v>0</v>
      </c>
      <c r="M97" s="979">
        <f t="shared" ca="1" si="20"/>
        <v>0</v>
      </c>
      <c r="N97" s="979">
        <f t="shared" ca="1" si="20"/>
        <v>0</v>
      </c>
      <c r="O97" s="979">
        <f t="shared" ca="1" si="20"/>
        <v>0</v>
      </c>
      <c r="P97" s="980">
        <f t="shared" ca="1" si="21"/>
        <v>0</v>
      </c>
      <c r="Q97" s="980">
        <f t="shared" ca="1" si="22"/>
        <v>0</v>
      </c>
      <c r="R97" s="980">
        <f t="shared" ca="1" si="23"/>
        <v>0</v>
      </c>
      <c r="S97" s="980">
        <f t="shared" ca="1" si="24"/>
        <v>0</v>
      </c>
      <c r="T97" s="979">
        <f t="shared" ca="1" si="25"/>
        <v>0</v>
      </c>
      <c r="U97" s="979">
        <f t="shared" ca="1" si="26"/>
        <v>0</v>
      </c>
      <c r="V97" s="979">
        <f t="shared" ca="1" si="27"/>
        <v>0</v>
      </c>
      <c r="W97" s="979">
        <f t="shared" ca="1" si="28"/>
        <v>0</v>
      </c>
      <c r="X97" s="959"/>
      <c r="Y97" s="959"/>
      <c r="Z97" s="959"/>
      <c r="AA97" s="959"/>
      <c r="AB97" s="959"/>
      <c r="AC97" s="959"/>
      <c r="AD97" s="959"/>
      <c r="AE97" s="959"/>
      <c r="AF97" s="959"/>
      <c r="AG97" s="959"/>
      <c r="AH97" s="959"/>
      <c r="AI97" s="959"/>
      <c r="AJ97" s="959"/>
      <c r="AK97" s="959"/>
      <c r="AL97" s="959"/>
      <c r="AM97" s="959"/>
      <c r="AN97" s="959"/>
      <c r="AO97" s="959"/>
      <c r="AP97" s="959"/>
      <c r="AQ97" s="959"/>
      <c r="AR97" s="959"/>
      <c r="AS97" s="959"/>
      <c r="AT97" s="959"/>
      <c r="AU97" s="959"/>
      <c r="AV97" s="959"/>
      <c r="AW97" s="959"/>
      <c r="AX97" s="959"/>
      <c r="AY97" s="959"/>
      <c r="AZ97" s="959"/>
      <c r="BA97" s="959"/>
      <c r="BB97" s="959"/>
      <c r="BC97" s="959"/>
      <c r="BD97" s="959"/>
      <c r="BE97" s="959"/>
      <c r="BF97" s="959"/>
      <c r="BG97" s="959"/>
      <c r="BH97" s="959"/>
      <c r="BI97" s="959"/>
      <c r="BJ97" s="959"/>
      <c r="BK97" s="959"/>
      <c r="BL97" s="959"/>
      <c r="BM97" s="959"/>
      <c r="BN97" s="959"/>
      <c r="BO97" s="959"/>
      <c r="BP97" s="841"/>
    </row>
    <row r="98" spans="1:68" ht="21" customHeight="1">
      <c r="A98" s="786">
        <v>158</v>
      </c>
      <c r="B98" s="1910"/>
      <c r="C98" s="1913"/>
      <c r="D98" s="1916"/>
      <c r="E98" s="988"/>
      <c r="F98" s="864"/>
      <c r="G98" s="891" t="s">
        <v>4451</v>
      </c>
      <c r="H98" s="959"/>
      <c r="I98" s="959"/>
      <c r="J98" s="959"/>
      <c r="K98" s="959"/>
      <c r="L98" s="979">
        <f t="shared" ca="1" si="20"/>
        <v>0</v>
      </c>
      <c r="M98" s="979">
        <f t="shared" ca="1" si="20"/>
        <v>0</v>
      </c>
      <c r="N98" s="979">
        <f t="shared" ca="1" si="20"/>
        <v>0</v>
      </c>
      <c r="O98" s="979">
        <f t="shared" ca="1" si="20"/>
        <v>0</v>
      </c>
      <c r="P98" s="980">
        <f t="shared" ca="1" si="21"/>
        <v>0</v>
      </c>
      <c r="Q98" s="980">
        <f t="shared" ca="1" si="22"/>
        <v>0</v>
      </c>
      <c r="R98" s="980">
        <f t="shared" ca="1" si="23"/>
        <v>0</v>
      </c>
      <c r="S98" s="980">
        <f t="shared" ca="1" si="24"/>
        <v>0</v>
      </c>
      <c r="T98" s="979">
        <f t="shared" ca="1" si="25"/>
        <v>0</v>
      </c>
      <c r="U98" s="979">
        <f t="shared" ca="1" si="26"/>
        <v>0</v>
      </c>
      <c r="V98" s="979">
        <f t="shared" ca="1" si="27"/>
        <v>0</v>
      </c>
      <c r="W98" s="979">
        <f t="shared" ca="1" si="28"/>
        <v>0</v>
      </c>
      <c r="X98" s="959"/>
      <c r="Y98" s="959"/>
      <c r="Z98" s="959"/>
      <c r="AA98" s="959"/>
      <c r="AB98" s="959"/>
      <c r="AC98" s="959"/>
      <c r="AD98" s="959"/>
      <c r="AE98" s="959"/>
      <c r="AF98" s="959"/>
      <c r="AG98" s="959"/>
      <c r="AH98" s="959"/>
      <c r="AI98" s="959"/>
      <c r="AJ98" s="959"/>
      <c r="AK98" s="959"/>
      <c r="AL98" s="959"/>
      <c r="AM98" s="959"/>
      <c r="AN98" s="959"/>
      <c r="AO98" s="959"/>
      <c r="AP98" s="959"/>
      <c r="AQ98" s="959"/>
      <c r="AR98" s="959"/>
      <c r="AS98" s="959"/>
      <c r="AT98" s="959"/>
      <c r="AU98" s="959"/>
      <c r="AV98" s="959"/>
      <c r="AW98" s="959"/>
      <c r="AX98" s="959"/>
      <c r="AY98" s="959"/>
      <c r="AZ98" s="959"/>
      <c r="BA98" s="959"/>
      <c r="BB98" s="959"/>
      <c r="BC98" s="959"/>
      <c r="BD98" s="959"/>
      <c r="BE98" s="959"/>
      <c r="BF98" s="959"/>
      <c r="BG98" s="959"/>
      <c r="BH98" s="959"/>
      <c r="BI98" s="959"/>
      <c r="BJ98" s="959"/>
      <c r="BK98" s="959"/>
      <c r="BL98" s="959"/>
      <c r="BM98" s="959"/>
      <c r="BN98" s="959"/>
      <c r="BO98" s="959"/>
      <c r="BP98" s="841"/>
    </row>
    <row r="99" spans="1:68" ht="21">
      <c r="A99" s="786">
        <v>159</v>
      </c>
      <c r="B99" s="1910"/>
      <c r="C99" s="1913"/>
      <c r="D99" s="1917"/>
      <c r="E99" s="989" t="s">
        <v>4510</v>
      </c>
      <c r="F99" s="849" t="s">
        <v>4458</v>
      </c>
      <c r="G99" s="891" t="s">
        <v>4685</v>
      </c>
      <c r="H99" s="959"/>
      <c r="I99" s="959"/>
      <c r="J99" s="959"/>
      <c r="K99" s="959"/>
      <c r="L99" s="990">
        <f t="shared" ca="1" si="20"/>
        <v>0</v>
      </c>
      <c r="M99" s="990">
        <f t="shared" ca="1" si="20"/>
        <v>0</v>
      </c>
      <c r="N99" s="990">
        <f t="shared" ca="1" si="20"/>
        <v>0</v>
      </c>
      <c r="O99" s="990">
        <f t="shared" ca="1" si="20"/>
        <v>0</v>
      </c>
      <c r="P99" s="980">
        <f t="shared" ca="1" si="21"/>
        <v>0</v>
      </c>
      <c r="Q99" s="980">
        <f t="shared" ca="1" si="22"/>
        <v>0</v>
      </c>
      <c r="R99" s="980">
        <f t="shared" ca="1" si="23"/>
        <v>0</v>
      </c>
      <c r="S99" s="980">
        <f t="shared" ca="1" si="24"/>
        <v>0</v>
      </c>
      <c r="T99" s="990">
        <f t="shared" ca="1" si="25"/>
        <v>0</v>
      </c>
      <c r="U99" s="990">
        <f t="shared" ca="1" si="26"/>
        <v>0</v>
      </c>
      <c r="V99" s="990">
        <f t="shared" ca="1" si="27"/>
        <v>0</v>
      </c>
      <c r="W99" s="990">
        <f t="shared" ca="1" si="28"/>
        <v>0</v>
      </c>
      <c r="X99" s="959"/>
      <c r="Y99" s="959"/>
      <c r="Z99" s="959"/>
      <c r="AA99" s="959"/>
      <c r="AB99" s="959"/>
      <c r="AC99" s="959"/>
      <c r="AD99" s="959"/>
      <c r="AE99" s="959"/>
      <c r="AF99" s="959"/>
      <c r="AG99" s="959"/>
      <c r="AH99" s="959"/>
      <c r="AI99" s="959"/>
      <c r="AJ99" s="959"/>
      <c r="AK99" s="959"/>
      <c r="AL99" s="959"/>
      <c r="AM99" s="959"/>
      <c r="AN99" s="959"/>
      <c r="AO99" s="959"/>
      <c r="AP99" s="959"/>
      <c r="AQ99" s="959"/>
      <c r="AR99" s="959"/>
      <c r="AS99" s="959"/>
      <c r="AT99" s="959"/>
      <c r="AU99" s="959"/>
      <c r="AV99" s="959"/>
      <c r="AW99" s="959"/>
      <c r="AX99" s="959"/>
      <c r="AY99" s="959"/>
      <c r="AZ99" s="959"/>
      <c r="BA99" s="959"/>
      <c r="BB99" s="959"/>
      <c r="BC99" s="959"/>
      <c r="BD99" s="959"/>
      <c r="BE99" s="959"/>
      <c r="BF99" s="959"/>
      <c r="BG99" s="959"/>
      <c r="BH99" s="959"/>
      <c r="BI99" s="959"/>
      <c r="BJ99" s="959"/>
      <c r="BK99" s="959"/>
      <c r="BL99" s="959"/>
      <c r="BM99" s="959"/>
      <c r="BN99" s="959"/>
      <c r="BO99" s="959"/>
      <c r="BP99" s="841"/>
    </row>
    <row r="100" spans="1:68" ht="21">
      <c r="A100" s="786">
        <v>160</v>
      </c>
      <c r="B100" s="1910"/>
      <c r="C100" s="1913"/>
      <c r="D100" s="1918" t="s">
        <v>4511</v>
      </c>
      <c r="E100" s="991" t="s">
        <v>4512</v>
      </c>
      <c r="F100" s="987" t="s">
        <v>4460</v>
      </c>
      <c r="G100" s="891" t="s">
        <v>4685</v>
      </c>
      <c r="H100" s="959"/>
      <c r="I100" s="959"/>
      <c r="J100" s="959"/>
      <c r="K100" s="959"/>
      <c r="L100" s="990">
        <f t="shared" ca="1" si="20"/>
        <v>0</v>
      </c>
      <c r="M100" s="990">
        <f t="shared" ca="1" si="20"/>
        <v>0</v>
      </c>
      <c r="N100" s="990">
        <f t="shared" ca="1" si="20"/>
        <v>0</v>
      </c>
      <c r="O100" s="990">
        <f t="shared" ca="1" si="20"/>
        <v>0</v>
      </c>
      <c r="P100" s="980">
        <f t="shared" ca="1" si="21"/>
        <v>0</v>
      </c>
      <c r="Q100" s="980">
        <f t="shared" ca="1" si="22"/>
        <v>0</v>
      </c>
      <c r="R100" s="980">
        <f t="shared" ca="1" si="23"/>
        <v>0</v>
      </c>
      <c r="S100" s="980">
        <f t="shared" ca="1" si="24"/>
        <v>0</v>
      </c>
      <c r="T100" s="990">
        <f t="shared" ca="1" si="25"/>
        <v>0</v>
      </c>
      <c r="U100" s="990">
        <f t="shared" ca="1" si="26"/>
        <v>0</v>
      </c>
      <c r="V100" s="990">
        <f t="shared" ca="1" si="27"/>
        <v>0</v>
      </c>
      <c r="W100" s="990">
        <f t="shared" ca="1" si="28"/>
        <v>0</v>
      </c>
      <c r="X100" s="959"/>
      <c r="Y100" s="959"/>
      <c r="Z100" s="959"/>
      <c r="AA100" s="959"/>
      <c r="AB100" s="959"/>
      <c r="AC100" s="959"/>
      <c r="AD100" s="959"/>
      <c r="AE100" s="959"/>
      <c r="AF100" s="959"/>
      <c r="AG100" s="959"/>
      <c r="AH100" s="959"/>
      <c r="AI100" s="959"/>
      <c r="AJ100" s="959"/>
      <c r="AK100" s="959"/>
      <c r="AL100" s="959"/>
      <c r="AM100" s="959"/>
      <c r="AN100" s="959"/>
      <c r="AO100" s="959"/>
      <c r="AP100" s="959"/>
      <c r="AQ100" s="959"/>
      <c r="AR100" s="959"/>
      <c r="AS100" s="959"/>
      <c r="AT100" s="959"/>
      <c r="AU100" s="959"/>
      <c r="AV100" s="959"/>
      <c r="AW100" s="959"/>
      <c r="AX100" s="959"/>
      <c r="AY100" s="959"/>
      <c r="AZ100" s="959"/>
      <c r="BA100" s="959"/>
      <c r="BB100" s="959"/>
      <c r="BC100" s="959"/>
      <c r="BD100" s="959"/>
      <c r="BE100" s="959"/>
      <c r="BF100" s="959"/>
      <c r="BG100" s="959"/>
      <c r="BH100" s="959"/>
      <c r="BI100" s="959"/>
      <c r="BJ100" s="959"/>
      <c r="BK100" s="959"/>
      <c r="BL100" s="959"/>
      <c r="BM100" s="959"/>
      <c r="BN100" s="959"/>
      <c r="BO100" s="959"/>
      <c r="BP100" s="841"/>
    </row>
    <row r="101" spans="1:68">
      <c r="A101" s="786">
        <v>161</v>
      </c>
      <c r="B101" s="1910"/>
      <c r="C101" s="1913"/>
      <c r="D101" s="1919"/>
      <c r="E101" s="992"/>
      <c r="F101" s="864"/>
      <c r="G101" s="977" t="s">
        <v>4508</v>
      </c>
      <c r="H101" s="959"/>
      <c r="I101" s="959"/>
      <c r="J101" s="959"/>
      <c r="K101" s="959"/>
      <c r="L101" s="990">
        <f t="shared" ca="1" si="20"/>
        <v>0</v>
      </c>
      <c r="M101" s="990">
        <f t="shared" ca="1" si="20"/>
        <v>0</v>
      </c>
      <c r="N101" s="990">
        <f t="shared" ca="1" si="20"/>
        <v>0</v>
      </c>
      <c r="O101" s="990">
        <f t="shared" ca="1" si="20"/>
        <v>0</v>
      </c>
      <c r="P101" s="980">
        <f t="shared" ca="1" si="21"/>
        <v>0</v>
      </c>
      <c r="Q101" s="980">
        <f t="shared" ca="1" si="22"/>
        <v>0</v>
      </c>
      <c r="R101" s="980">
        <f t="shared" ca="1" si="23"/>
        <v>0</v>
      </c>
      <c r="S101" s="980">
        <f t="shared" ca="1" si="24"/>
        <v>0</v>
      </c>
      <c r="T101" s="990">
        <f t="shared" ca="1" si="25"/>
        <v>0</v>
      </c>
      <c r="U101" s="990">
        <f t="shared" ca="1" si="26"/>
        <v>0</v>
      </c>
      <c r="V101" s="990">
        <f t="shared" ca="1" si="27"/>
        <v>0</v>
      </c>
      <c r="W101" s="990">
        <f t="shared" ca="1" si="28"/>
        <v>0</v>
      </c>
      <c r="X101" s="959"/>
      <c r="Y101" s="959"/>
      <c r="Z101" s="959"/>
      <c r="AA101" s="959"/>
      <c r="AB101" s="959"/>
      <c r="AC101" s="959"/>
      <c r="AD101" s="959"/>
      <c r="AE101" s="959"/>
      <c r="AF101" s="959"/>
      <c r="AG101" s="959"/>
      <c r="AH101" s="959"/>
      <c r="AI101" s="959"/>
      <c r="AJ101" s="959"/>
      <c r="AK101" s="959"/>
      <c r="AL101" s="959"/>
      <c r="AM101" s="959"/>
      <c r="AN101" s="959"/>
      <c r="AO101" s="959"/>
      <c r="AP101" s="959"/>
      <c r="AQ101" s="959"/>
      <c r="AR101" s="959"/>
      <c r="AS101" s="959"/>
      <c r="AT101" s="959"/>
      <c r="AU101" s="959"/>
      <c r="AV101" s="959"/>
      <c r="AW101" s="959"/>
      <c r="AX101" s="959"/>
      <c r="AY101" s="959"/>
      <c r="AZ101" s="959"/>
      <c r="BA101" s="959"/>
      <c r="BB101" s="959"/>
      <c r="BC101" s="959"/>
      <c r="BD101" s="959"/>
      <c r="BE101" s="959"/>
      <c r="BF101" s="959"/>
      <c r="BG101" s="959"/>
      <c r="BH101" s="959"/>
      <c r="BI101" s="959"/>
      <c r="BJ101" s="959"/>
      <c r="BK101" s="959"/>
      <c r="BL101" s="959"/>
      <c r="BM101" s="959"/>
      <c r="BN101" s="959"/>
      <c r="BO101" s="959"/>
      <c r="BP101" s="841"/>
    </row>
    <row r="102" spans="1:68" ht="21" customHeight="1">
      <c r="A102" s="786">
        <v>162</v>
      </c>
      <c r="B102" s="1910"/>
      <c r="C102" s="1913"/>
      <c r="D102" s="1919"/>
      <c r="E102" s="993" t="s">
        <v>4513</v>
      </c>
      <c r="F102" s="987" t="s">
        <v>4461</v>
      </c>
      <c r="G102" s="891" t="s">
        <v>4685</v>
      </c>
      <c r="H102" s="959"/>
      <c r="I102" s="959"/>
      <c r="J102" s="959"/>
      <c r="K102" s="959"/>
      <c r="L102" s="990">
        <f t="shared" ca="1" si="20"/>
        <v>0</v>
      </c>
      <c r="M102" s="990">
        <f t="shared" ca="1" si="20"/>
        <v>0</v>
      </c>
      <c r="N102" s="990">
        <f t="shared" ca="1" si="20"/>
        <v>0</v>
      </c>
      <c r="O102" s="990">
        <f t="shared" ca="1" si="20"/>
        <v>0</v>
      </c>
      <c r="P102" s="980">
        <f t="shared" ca="1" si="21"/>
        <v>0</v>
      </c>
      <c r="Q102" s="980">
        <f t="shared" ca="1" si="22"/>
        <v>0</v>
      </c>
      <c r="R102" s="980">
        <f t="shared" ca="1" si="23"/>
        <v>0</v>
      </c>
      <c r="S102" s="980">
        <f t="shared" ca="1" si="24"/>
        <v>0</v>
      </c>
      <c r="T102" s="990">
        <f t="shared" ca="1" si="25"/>
        <v>0</v>
      </c>
      <c r="U102" s="990">
        <f t="shared" ca="1" si="26"/>
        <v>0</v>
      </c>
      <c r="V102" s="990">
        <f t="shared" ca="1" si="27"/>
        <v>0</v>
      </c>
      <c r="W102" s="990">
        <f t="shared" ca="1" si="28"/>
        <v>0</v>
      </c>
      <c r="X102" s="959"/>
      <c r="Y102" s="959"/>
      <c r="Z102" s="959"/>
      <c r="AA102" s="959"/>
      <c r="AB102" s="959"/>
      <c r="AC102" s="959"/>
      <c r="AD102" s="959"/>
      <c r="AE102" s="959"/>
      <c r="AF102" s="959"/>
      <c r="AG102" s="959"/>
      <c r="AH102" s="959"/>
      <c r="AI102" s="959"/>
      <c r="AJ102" s="959"/>
      <c r="AK102" s="959"/>
      <c r="AL102" s="959"/>
      <c r="AM102" s="959"/>
      <c r="AN102" s="959"/>
      <c r="AO102" s="959"/>
      <c r="AP102" s="959"/>
      <c r="AQ102" s="959"/>
      <c r="AR102" s="959"/>
      <c r="AS102" s="959"/>
      <c r="AT102" s="959"/>
      <c r="AU102" s="959"/>
      <c r="AV102" s="959"/>
      <c r="AW102" s="959"/>
      <c r="AX102" s="959"/>
      <c r="AY102" s="959"/>
      <c r="AZ102" s="959"/>
      <c r="BA102" s="959"/>
      <c r="BB102" s="959"/>
      <c r="BC102" s="959"/>
      <c r="BD102" s="959"/>
      <c r="BE102" s="959"/>
      <c r="BF102" s="959"/>
      <c r="BG102" s="959"/>
      <c r="BH102" s="959"/>
      <c r="BI102" s="959"/>
      <c r="BJ102" s="959"/>
      <c r="BK102" s="959"/>
      <c r="BL102" s="959"/>
      <c r="BM102" s="959"/>
      <c r="BN102" s="959"/>
      <c r="BO102" s="959"/>
      <c r="BP102" s="841"/>
    </row>
    <row r="103" spans="1:68">
      <c r="A103" s="786">
        <v>163</v>
      </c>
      <c r="B103" s="1910"/>
      <c r="C103" s="1913"/>
      <c r="D103" s="1920"/>
      <c r="E103" s="994"/>
      <c r="F103" s="864"/>
      <c r="G103" s="891" t="s">
        <v>4451</v>
      </c>
      <c r="H103" s="959"/>
      <c r="I103" s="959"/>
      <c r="J103" s="959"/>
      <c r="K103" s="959"/>
      <c r="L103" s="990">
        <f t="shared" ca="1" si="20"/>
        <v>0</v>
      </c>
      <c r="M103" s="990">
        <f t="shared" ca="1" si="20"/>
        <v>0</v>
      </c>
      <c r="N103" s="990">
        <f t="shared" ca="1" si="20"/>
        <v>0</v>
      </c>
      <c r="O103" s="990">
        <f t="shared" ca="1" si="20"/>
        <v>0</v>
      </c>
      <c r="P103" s="980">
        <f t="shared" ca="1" si="21"/>
        <v>0</v>
      </c>
      <c r="Q103" s="980">
        <f t="shared" ca="1" si="22"/>
        <v>0</v>
      </c>
      <c r="R103" s="980">
        <f t="shared" ca="1" si="23"/>
        <v>0</v>
      </c>
      <c r="S103" s="980">
        <f t="shared" ca="1" si="24"/>
        <v>0</v>
      </c>
      <c r="T103" s="990">
        <f t="shared" ca="1" si="25"/>
        <v>0</v>
      </c>
      <c r="U103" s="990">
        <f t="shared" ca="1" si="26"/>
        <v>0</v>
      </c>
      <c r="V103" s="990">
        <f t="shared" ca="1" si="27"/>
        <v>0</v>
      </c>
      <c r="W103" s="990">
        <f t="shared" ca="1" si="28"/>
        <v>0</v>
      </c>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841"/>
    </row>
    <row r="104" spans="1:68" ht="19.5" customHeight="1">
      <c r="A104" s="786">
        <v>164</v>
      </c>
      <c r="B104" s="1910"/>
      <c r="C104" s="1914"/>
      <c r="D104" s="995" t="s">
        <v>4514</v>
      </c>
      <c r="E104" s="996" t="str">
        <f ca="1">OFFSET(A1_その他欄集計,20,14)</f>
        <v/>
      </c>
      <c r="F104" s="849" t="s">
        <v>4463</v>
      </c>
      <c r="G104" s="891" t="s">
        <v>4685</v>
      </c>
      <c r="H104" s="959"/>
      <c r="I104" s="959"/>
      <c r="J104" s="959"/>
      <c r="K104" s="959"/>
      <c r="L104" s="990">
        <f t="shared" ca="1" si="20"/>
        <v>0</v>
      </c>
      <c r="M104" s="990">
        <f t="shared" ca="1" si="20"/>
        <v>0</v>
      </c>
      <c r="N104" s="990">
        <f t="shared" ca="1" si="20"/>
        <v>0</v>
      </c>
      <c r="O104" s="990">
        <f t="shared" ca="1" si="20"/>
        <v>0</v>
      </c>
      <c r="P104" s="980">
        <f t="shared" ca="1" si="21"/>
        <v>0</v>
      </c>
      <c r="Q104" s="980">
        <f t="shared" ca="1" si="22"/>
        <v>0</v>
      </c>
      <c r="R104" s="980">
        <f t="shared" ca="1" si="23"/>
        <v>0</v>
      </c>
      <c r="S104" s="980">
        <f t="shared" ca="1" si="24"/>
        <v>0</v>
      </c>
      <c r="T104" s="990">
        <f t="shared" ca="1" si="25"/>
        <v>0</v>
      </c>
      <c r="U104" s="990">
        <f t="shared" ca="1" si="26"/>
        <v>0</v>
      </c>
      <c r="V104" s="990">
        <f t="shared" ca="1" si="27"/>
        <v>0</v>
      </c>
      <c r="W104" s="990">
        <f t="shared" ca="1" si="28"/>
        <v>0</v>
      </c>
      <c r="X104" s="959"/>
      <c r="Y104" s="959"/>
      <c r="Z104" s="959"/>
      <c r="AA104" s="959"/>
      <c r="AB104" s="959"/>
      <c r="AC104" s="959"/>
      <c r="AD104" s="959"/>
      <c r="AE104" s="959"/>
      <c r="AF104" s="959"/>
      <c r="AG104" s="959"/>
      <c r="AH104" s="959"/>
      <c r="AI104" s="959"/>
      <c r="AJ104" s="959"/>
      <c r="AK104" s="959"/>
      <c r="AL104" s="959"/>
      <c r="AM104" s="959"/>
      <c r="AN104" s="959"/>
      <c r="AO104" s="959"/>
      <c r="AP104" s="959"/>
      <c r="AQ104" s="959"/>
      <c r="AR104" s="959"/>
      <c r="AS104" s="959"/>
      <c r="AT104" s="959"/>
      <c r="AU104" s="959"/>
      <c r="AV104" s="959"/>
      <c r="AW104" s="959"/>
      <c r="AX104" s="959"/>
      <c r="AY104" s="959"/>
      <c r="AZ104" s="959"/>
      <c r="BA104" s="959"/>
      <c r="BB104" s="959"/>
      <c r="BC104" s="959"/>
      <c r="BD104" s="959"/>
      <c r="BE104" s="959"/>
      <c r="BF104" s="959"/>
      <c r="BG104" s="959"/>
      <c r="BH104" s="959"/>
      <c r="BI104" s="959"/>
      <c r="BJ104" s="959"/>
      <c r="BK104" s="959"/>
      <c r="BL104" s="959"/>
      <c r="BM104" s="959"/>
      <c r="BN104" s="959"/>
      <c r="BO104" s="959"/>
      <c r="BP104" s="841"/>
    </row>
    <row r="105" spans="1:68" ht="21">
      <c r="A105" s="786">
        <v>165</v>
      </c>
      <c r="B105" s="1910"/>
      <c r="C105" s="997" t="s">
        <v>4515</v>
      </c>
      <c r="D105" s="998"/>
      <c r="E105" s="998"/>
      <c r="F105" s="849" t="s">
        <v>4464</v>
      </c>
      <c r="G105" s="891" t="s">
        <v>4685</v>
      </c>
      <c r="H105" s="1926" t="s">
        <v>4516</v>
      </c>
      <c r="I105" s="1927"/>
      <c r="J105" s="1927"/>
      <c r="K105" s="1928"/>
      <c r="L105" s="990">
        <f t="shared" ca="1" si="20"/>
        <v>0</v>
      </c>
      <c r="M105" s="990">
        <f t="shared" ca="1" si="20"/>
        <v>0</v>
      </c>
      <c r="N105" s="990">
        <f t="shared" ca="1" si="20"/>
        <v>0</v>
      </c>
      <c r="O105" s="990">
        <f t="shared" ca="1" si="20"/>
        <v>0</v>
      </c>
      <c r="P105" s="980">
        <f t="shared" ca="1" si="21"/>
        <v>0</v>
      </c>
      <c r="Q105" s="980">
        <f t="shared" ca="1" si="22"/>
        <v>0</v>
      </c>
      <c r="R105" s="980">
        <f t="shared" ca="1" si="23"/>
        <v>0</v>
      </c>
      <c r="S105" s="980">
        <f t="shared" ca="1" si="24"/>
        <v>0</v>
      </c>
      <c r="T105" s="990">
        <f t="shared" ca="1" si="25"/>
        <v>0</v>
      </c>
      <c r="U105" s="990">
        <f t="shared" ca="1" si="26"/>
        <v>0</v>
      </c>
      <c r="V105" s="990">
        <f t="shared" ca="1" si="27"/>
        <v>0</v>
      </c>
      <c r="W105" s="990">
        <f t="shared" ca="1" si="28"/>
        <v>0</v>
      </c>
      <c r="X105" s="959"/>
      <c r="Y105" s="959"/>
      <c r="Z105" s="959"/>
      <c r="AA105" s="959"/>
      <c r="AB105" s="959"/>
      <c r="AC105" s="959"/>
      <c r="AD105" s="959"/>
      <c r="AE105" s="959"/>
      <c r="AF105" s="959"/>
      <c r="AG105" s="959"/>
      <c r="AH105" s="959"/>
      <c r="AI105" s="959"/>
      <c r="AJ105" s="959"/>
      <c r="AK105" s="959"/>
      <c r="AL105" s="959"/>
      <c r="AM105" s="959"/>
      <c r="AN105" s="959"/>
      <c r="AO105" s="959"/>
      <c r="AP105" s="959"/>
      <c r="AQ105" s="959"/>
      <c r="AR105" s="959"/>
      <c r="AS105" s="959"/>
      <c r="AT105" s="959"/>
      <c r="AU105" s="959"/>
      <c r="AV105" s="959"/>
      <c r="AW105" s="959"/>
      <c r="AX105" s="959"/>
      <c r="AY105" s="959"/>
      <c r="AZ105" s="959"/>
      <c r="BA105" s="959"/>
      <c r="BB105" s="959"/>
      <c r="BC105" s="959"/>
      <c r="BD105" s="959"/>
      <c r="BE105" s="959"/>
      <c r="BF105" s="959"/>
      <c r="BG105" s="959"/>
      <c r="BH105" s="959"/>
      <c r="BI105" s="959"/>
      <c r="BJ105" s="959"/>
      <c r="BK105" s="959"/>
      <c r="BL105" s="959"/>
      <c r="BM105" s="959"/>
      <c r="BN105" s="959"/>
      <c r="BO105" s="959"/>
      <c r="BP105" s="841"/>
    </row>
    <row r="106" spans="1:68" ht="19.5" customHeight="1">
      <c r="A106" s="786">
        <v>166</v>
      </c>
      <c r="B106" s="1910"/>
      <c r="C106" s="1929" t="s">
        <v>4517</v>
      </c>
      <c r="D106" s="1918" t="s">
        <v>4518</v>
      </c>
      <c r="E106" s="974" t="s">
        <v>4519</v>
      </c>
      <c r="F106" s="849"/>
      <c r="G106" s="891" t="s">
        <v>4508</v>
      </c>
      <c r="H106" s="897">
        <f ca="1">OFFSET(貼付け_2024実績,$A106,14)</f>
        <v>0</v>
      </c>
      <c r="I106" s="897">
        <f ca="1">OFFSET(貼付け_2025実績,$A106,14)</f>
        <v>0</v>
      </c>
      <c r="J106" s="897">
        <f ca="1">OFFSET(貼付け_2026実績,$A106,14)</f>
        <v>0</v>
      </c>
      <c r="K106" s="897">
        <f ca="1">OFFSET(貼付け_2027実績,$A106,14)</f>
        <v>0</v>
      </c>
      <c r="L106" s="990">
        <f t="shared" ca="1" si="20"/>
        <v>0</v>
      </c>
      <c r="M106" s="990">
        <f t="shared" ca="1" si="20"/>
        <v>0</v>
      </c>
      <c r="N106" s="990">
        <f t="shared" ca="1" si="20"/>
        <v>0</v>
      </c>
      <c r="O106" s="990">
        <f t="shared" ca="1" si="20"/>
        <v>0</v>
      </c>
      <c r="P106" s="980">
        <f t="shared" ca="1" si="21"/>
        <v>0</v>
      </c>
      <c r="Q106" s="980">
        <f t="shared" ca="1" si="22"/>
        <v>0</v>
      </c>
      <c r="R106" s="980">
        <f t="shared" ca="1" si="23"/>
        <v>0</v>
      </c>
      <c r="S106" s="980">
        <f t="shared" ca="1" si="24"/>
        <v>0</v>
      </c>
      <c r="T106" s="990">
        <f t="shared" ca="1" si="25"/>
        <v>0</v>
      </c>
      <c r="U106" s="990">
        <f t="shared" ca="1" si="26"/>
        <v>0</v>
      </c>
      <c r="V106" s="990">
        <f t="shared" ca="1" si="27"/>
        <v>0</v>
      </c>
      <c r="W106" s="990">
        <f t="shared" ca="1" si="28"/>
        <v>0</v>
      </c>
      <c r="X106" s="959"/>
      <c r="Y106" s="959"/>
      <c r="Z106" s="959"/>
      <c r="AA106" s="959"/>
      <c r="AB106" s="959"/>
      <c r="AC106" s="959"/>
      <c r="AD106" s="959"/>
      <c r="AE106" s="959"/>
      <c r="AF106" s="959"/>
      <c r="AG106" s="959"/>
      <c r="AH106" s="959"/>
      <c r="AI106" s="959"/>
      <c r="AJ106" s="959"/>
      <c r="AK106" s="959"/>
      <c r="AL106" s="959"/>
      <c r="AM106" s="959"/>
      <c r="AN106" s="959"/>
      <c r="AO106" s="959"/>
      <c r="AP106" s="959"/>
      <c r="AQ106" s="959"/>
      <c r="AR106" s="959"/>
      <c r="AS106" s="959"/>
      <c r="AT106" s="959"/>
      <c r="AU106" s="959"/>
      <c r="AV106" s="959"/>
      <c r="AW106" s="959"/>
      <c r="AX106" s="959"/>
      <c r="AY106" s="959"/>
      <c r="AZ106" s="959"/>
      <c r="BA106" s="959"/>
      <c r="BB106" s="959"/>
      <c r="BC106" s="959"/>
      <c r="BD106" s="959"/>
      <c r="BE106" s="959"/>
      <c r="BF106" s="959"/>
      <c r="BG106" s="959"/>
      <c r="BH106" s="959"/>
      <c r="BI106" s="959"/>
      <c r="BJ106" s="959"/>
      <c r="BK106" s="959"/>
      <c r="BL106" s="959"/>
      <c r="BM106" s="959"/>
      <c r="BN106" s="959"/>
      <c r="BO106" s="959"/>
      <c r="BP106" s="841"/>
    </row>
    <row r="107" spans="1:68" ht="21">
      <c r="B107" s="1910"/>
      <c r="C107" s="1930"/>
      <c r="D107" s="1920"/>
      <c r="E107" s="974" t="s">
        <v>4520</v>
      </c>
      <c r="F107" s="849"/>
      <c r="G107" s="891" t="s">
        <v>4685</v>
      </c>
      <c r="H107" s="1926" t="s">
        <v>4521</v>
      </c>
      <c r="I107" s="1927"/>
      <c r="J107" s="1927"/>
      <c r="K107" s="1928"/>
      <c r="L107" s="954">
        <f ca="1">L106*$H$106*$H$108</f>
        <v>0</v>
      </c>
      <c r="M107" s="954">
        <f ca="1">M106*$I$106*$I$108</f>
        <v>0</v>
      </c>
      <c r="N107" s="954">
        <f ca="1">N106*$J$106*$J$108</f>
        <v>0</v>
      </c>
      <c r="O107" s="954">
        <f ca="1">O106*$K$106*$K$108</f>
        <v>0</v>
      </c>
      <c r="P107" s="954">
        <f ca="1">P106*$H$106*$H$108</f>
        <v>0</v>
      </c>
      <c r="Q107" s="954">
        <f ca="1">Q106*$I$106*$I$108</f>
        <v>0</v>
      </c>
      <c r="R107" s="954">
        <f ca="1">R106*$J$106*$J$108</f>
        <v>0</v>
      </c>
      <c r="S107" s="954">
        <f ca="1">S106*$K$106*$K$108</f>
        <v>0</v>
      </c>
      <c r="T107" s="954">
        <f ca="1">T106*$H$106*$H$108</f>
        <v>0</v>
      </c>
      <c r="U107" s="954">
        <f ca="1">U106*$I$106*$I$108</f>
        <v>0</v>
      </c>
      <c r="V107" s="954">
        <f ca="1">V106*$J$106*$J$108</f>
        <v>0</v>
      </c>
      <c r="W107" s="954">
        <f ca="1">W106*$K$106*$K$108</f>
        <v>0</v>
      </c>
      <c r="X107" s="959"/>
      <c r="Y107" s="959"/>
      <c r="Z107" s="959"/>
      <c r="AA107" s="959"/>
      <c r="AB107" s="959"/>
      <c r="AC107" s="959"/>
      <c r="AD107" s="959"/>
      <c r="AE107" s="959"/>
      <c r="AF107" s="959"/>
      <c r="AG107" s="959"/>
      <c r="AH107" s="959"/>
      <c r="AI107" s="959"/>
      <c r="AJ107" s="959"/>
      <c r="AK107" s="959"/>
      <c r="AL107" s="959"/>
      <c r="AM107" s="959"/>
      <c r="AN107" s="959"/>
      <c r="AO107" s="959"/>
      <c r="AP107" s="959"/>
      <c r="AQ107" s="959"/>
      <c r="AR107" s="959"/>
      <c r="AS107" s="959"/>
      <c r="AT107" s="959"/>
      <c r="AU107" s="959"/>
      <c r="AV107" s="959"/>
      <c r="AW107" s="959"/>
      <c r="AX107" s="959"/>
      <c r="AY107" s="959"/>
      <c r="AZ107" s="959"/>
      <c r="BA107" s="959"/>
      <c r="BB107" s="959"/>
      <c r="BC107" s="959"/>
      <c r="BD107" s="959"/>
      <c r="BE107" s="959"/>
      <c r="BF107" s="959"/>
      <c r="BG107" s="959"/>
      <c r="BH107" s="959"/>
      <c r="BI107" s="959"/>
      <c r="BJ107" s="959"/>
      <c r="BK107" s="959"/>
      <c r="BL107" s="959"/>
      <c r="BM107" s="959"/>
      <c r="BN107" s="959"/>
      <c r="BO107" s="959"/>
      <c r="BP107" s="841"/>
    </row>
    <row r="108" spans="1:68">
      <c r="A108" s="786">
        <v>167</v>
      </c>
      <c r="B108" s="1910"/>
      <c r="C108" s="1930"/>
      <c r="D108" s="1918" t="s">
        <v>4522</v>
      </c>
      <c r="E108" s="974" t="s">
        <v>4519</v>
      </c>
      <c r="F108" s="849"/>
      <c r="G108" s="891" t="s">
        <v>4508</v>
      </c>
      <c r="H108" s="897">
        <f ca="1">OFFSET(貼付け_2024実績,$A108,14)</f>
        <v>0</v>
      </c>
      <c r="I108" s="897">
        <f ca="1">OFFSET(貼付け_2025実績,$A108,14)</f>
        <v>0</v>
      </c>
      <c r="J108" s="897">
        <f ca="1">OFFSET(貼付け_2026実績,$A108,14)</f>
        <v>0</v>
      </c>
      <c r="K108" s="897">
        <f ca="1">OFFSET(貼付け_2027実績,$A108,14)</f>
        <v>0</v>
      </c>
      <c r="L108" s="990">
        <f t="shared" ca="1" si="20"/>
        <v>0</v>
      </c>
      <c r="M108" s="990">
        <f t="shared" ca="1" si="20"/>
        <v>0</v>
      </c>
      <c r="N108" s="990">
        <f t="shared" ca="1" si="20"/>
        <v>0</v>
      </c>
      <c r="O108" s="990">
        <f t="shared" ca="1" si="20"/>
        <v>0</v>
      </c>
      <c r="P108" s="980">
        <f ca="1">IFERROR(OFFSET(貼付け_2024実績,$A108,8)+OFFSET(貼付け_2024実績,$A108,9),"")</f>
        <v>0</v>
      </c>
      <c r="Q108" s="980">
        <f ca="1">IFERROR(OFFSET(貼付け_2025実績,$A108,8)+OFFSET(貼付け_2025実績,$A108,9),"")</f>
        <v>0</v>
      </c>
      <c r="R108" s="980">
        <f ca="1">IFERROR(OFFSET(貼付け_2026実績,$A108,8)+OFFSET(貼付け_2026実績,$A108,9),"")</f>
        <v>0</v>
      </c>
      <c r="S108" s="980">
        <f ca="1">IFERROR(OFFSET(貼付け_2027実績,$A108,8)+OFFSET(貼付け_2027実績,$A108,9),"")</f>
        <v>0</v>
      </c>
      <c r="T108" s="990">
        <f ca="1">IFERROR(OFFSET(貼付け_2024実績,$A108,7),"")</f>
        <v>0</v>
      </c>
      <c r="U108" s="990">
        <f ca="1">IFERROR(OFFSET(貼付け_2025実績,$A108,7),"")</f>
        <v>0</v>
      </c>
      <c r="V108" s="990">
        <f ca="1">IFERROR(OFFSET(貼付け_2026実績,$A108,7,),"")</f>
        <v>0</v>
      </c>
      <c r="W108" s="990">
        <f ca="1">IFERROR(OFFSET(貼付け_2027実績,$A108,7),"")</f>
        <v>0</v>
      </c>
      <c r="X108" s="959"/>
      <c r="Y108" s="959"/>
      <c r="Z108" s="959"/>
      <c r="AA108" s="959"/>
      <c r="AB108" s="959"/>
      <c r="AC108" s="959"/>
      <c r="AD108" s="959"/>
      <c r="AE108" s="959"/>
      <c r="AF108" s="959"/>
      <c r="AG108" s="959"/>
      <c r="AH108" s="959"/>
      <c r="AI108" s="959"/>
      <c r="AJ108" s="959"/>
      <c r="AK108" s="959"/>
      <c r="AL108" s="959"/>
      <c r="AM108" s="959"/>
      <c r="AN108" s="959"/>
      <c r="AO108" s="959"/>
      <c r="AP108" s="959"/>
      <c r="AQ108" s="959"/>
      <c r="AR108" s="959"/>
      <c r="AS108" s="959"/>
      <c r="AT108" s="959"/>
      <c r="AU108" s="959"/>
      <c r="AV108" s="959"/>
      <c r="AW108" s="959"/>
      <c r="AX108" s="959"/>
      <c r="AY108" s="959"/>
      <c r="AZ108" s="959"/>
      <c r="BA108" s="959"/>
      <c r="BB108" s="959"/>
      <c r="BC108" s="959"/>
      <c r="BD108" s="959"/>
      <c r="BE108" s="959"/>
      <c r="BF108" s="959"/>
      <c r="BG108" s="959"/>
      <c r="BH108" s="959"/>
      <c r="BI108" s="959"/>
      <c r="BJ108" s="959"/>
      <c r="BK108" s="959"/>
      <c r="BL108" s="959"/>
      <c r="BM108" s="959"/>
      <c r="BN108" s="959"/>
      <c r="BO108" s="959"/>
      <c r="BP108" s="841"/>
    </row>
    <row r="109" spans="1:68" ht="21">
      <c r="B109" s="1910"/>
      <c r="C109" s="1930"/>
      <c r="D109" s="1920"/>
      <c r="E109" s="974" t="s">
        <v>4520</v>
      </c>
      <c r="F109" s="849"/>
      <c r="G109" s="891" t="s">
        <v>4685</v>
      </c>
      <c r="H109" s="1926" t="s">
        <v>4523</v>
      </c>
      <c r="I109" s="1927"/>
      <c r="J109" s="1927"/>
      <c r="K109" s="1928"/>
      <c r="L109" s="954">
        <f ca="1">L108*$H$106*$H$110</f>
        <v>0</v>
      </c>
      <c r="M109" s="954">
        <f ca="1">M108*$I$106*$I$110</f>
        <v>0</v>
      </c>
      <c r="N109" s="954">
        <f ca="1">N108*$J$106*$J$110</f>
        <v>0</v>
      </c>
      <c r="O109" s="954">
        <f ca="1">O108*$K$106*$K$110</f>
        <v>0</v>
      </c>
      <c r="P109" s="954">
        <f ca="1">P108*$H$106*$H$110</f>
        <v>0</v>
      </c>
      <c r="Q109" s="954">
        <f ca="1">Q108*$I$106*$I$110</f>
        <v>0</v>
      </c>
      <c r="R109" s="954">
        <f ca="1">R108*$J$106*$J$110</f>
        <v>0</v>
      </c>
      <c r="S109" s="954">
        <f ca="1">S108*$K$106*$K$110</f>
        <v>0</v>
      </c>
      <c r="T109" s="954">
        <f ca="1">T108*$H$106*$H$110</f>
        <v>0</v>
      </c>
      <c r="U109" s="954">
        <f ca="1">U108*$I$106*$I$110</f>
        <v>0</v>
      </c>
      <c r="V109" s="954">
        <f ca="1">V108*$J$106*$J$110</f>
        <v>0</v>
      </c>
      <c r="W109" s="954">
        <f ca="1">W108*$K$106*$K$110</f>
        <v>0</v>
      </c>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59"/>
      <c r="AV109" s="959"/>
      <c r="AW109" s="959"/>
      <c r="AX109" s="959"/>
      <c r="AY109" s="959"/>
      <c r="AZ109" s="959"/>
      <c r="BA109" s="959"/>
      <c r="BB109" s="959"/>
      <c r="BC109" s="959"/>
      <c r="BD109" s="959"/>
      <c r="BE109" s="959"/>
      <c r="BF109" s="959"/>
      <c r="BG109" s="959"/>
      <c r="BH109" s="959"/>
      <c r="BI109" s="959"/>
      <c r="BJ109" s="959"/>
      <c r="BK109" s="959"/>
      <c r="BL109" s="959"/>
      <c r="BM109" s="959"/>
      <c r="BN109" s="959"/>
      <c r="BO109" s="959"/>
      <c r="BP109" s="841"/>
    </row>
    <row r="110" spans="1:68">
      <c r="A110" s="786">
        <v>168</v>
      </c>
      <c r="B110" s="1910"/>
      <c r="C110" s="1930"/>
      <c r="D110" s="1918" t="s">
        <v>4524</v>
      </c>
      <c r="E110" s="974" t="s">
        <v>4519</v>
      </c>
      <c r="F110" s="849"/>
      <c r="G110" s="891" t="s">
        <v>4508</v>
      </c>
      <c r="H110" s="897">
        <f ca="1">OFFSET(貼付け_2024実績,$A110,14)</f>
        <v>0</v>
      </c>
      <c r="I110" s="897">
        <f ca="1">OFFSET(貼付け_2025実績,$A110,14)</f>
        <v>0</v>
      </c>
      <c r="J110" s="897">
        <f ca="1">OFFSET(貼付け_2026実績,$A110,14)</f>
        <v>0</v>
      </c>
      <c r="K110" s="897">
        <f ca="1">OFFSET(貼付け_2027実績,$A110,14)</f>
        <v>0</v>
      </c>
      <c r="L110" s="990">
        <f t="shared" ca="1" si="20"/>
        <v>0</v>
      </c>
      <c r="M110" s="990">
        <f t="shared" ca="1" si="20"/>
        <v>0</v>
      </c>
      <c r="N110" s="990">
        <f t="shared" ca="1" si="20"/>
        <v>0</v>
      </c>
      <c r="O110" s="990">
        <f t="shared" ca="1" si="20"/>
        <v>0</v>
      </c>
      <c r="P110" s="980">
        <f ca="1">IFERROR(OFFSET(貼付け_2024実績,$A110,8)+OFFSET(貼付け_2024実績,$A110,9),"")</f>
        <v>0</v>
      </c>
      <c r="Q110" s="980">
        <f ca="1">IFERROR(OFFSET(貼付け_2025実績,$A110,8)+OFFSET(貼付け_2025実績,$A110,9),"")</f>
        <v>0</v>
      </c>
      <c r="R110" s="980">
        <f ca="1">IFERROR(OFFSET(貼付け_2026実績,$A110,8)+OFFSET(貼付け_2026実績,$A110,9),"")</f>
        <v>0</v>
      </c>
      <c r="S110" s="980">
        <f ca="1">IFERROR(OFFSET(貼付け_2027実績,$A110,8)+OFFSET(貼付け_2027実績,$A110,9),"")</f>
        <v>0</v>
      </c>
      <c r="T110" s="990">
        <f ca="1">IFERROR(OFFSET(貼付け_2024実績,$A110,7),"")</f>
        <v>0</v>
      </c>
      <c r="U110" s="990">
        <f ca="1">IFERROR(OFFSET(貼付け_2025実績,$A110,7),"")</f>
        <v>0</v>
      </c>
      <c r="V110" s="990">
        <f ca="1">IFERROR(OFFSET(貼付け_2026実績,$A110,7,),"")</f>
        <v>0</v>
      </c>
      <c r="W110" s="990">
        <f ca="1">IFERROR(OFFSET(貼付け_2027実績,$A110,7),"")</f>
        <v>0</v>
      </c>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841"/>
    </row>
    <row r="111" spans="1:68" ht="21">
      <c r="B111" s="1910"/>
      <c r="C111" s="1930"/>
      <c r="D111" s="1920"/>
      <c r="E111" s="974" t="s">
        <v>4520</v>
      </c>
      <c r="F111" s="849"/>
      <c r="G111" s="891" t="s">
        <v>4685</v>
      </c>
      <c r="H111" s="959"/>
      <c r="I111" s="959"/>
      <c r="J111" s="959"/>
      <c r="K111" s="959"/>
      <c r="L111" s="954">
        <f ca="1">L110*$H$106*$H$110</f>
        <v>0</v>
      </c>
      <c r="M111" s="954">
        <f ca="1">M110*$I$106*$I$110</f>
        <v>0</v>
      </c>
      <c r="N111" s="954">
        <f ca="1">N110*$J$106*$J$110</f>
        <v>0</v>
      </c>
      <c r="O111" s="954">
        <f ca="1">O110*$K$106*$K$110</f>
        <v>0</v>
      </c>
      <c r="P111" s="954">
        <f ca="1">P110*$H$106*$H$110</f>
        <v>0</v>
      </c>
      <c r="Q111" s="954">
        <f ca="1">Q110*$I$106*$I$110</f>
        <v>0</v>
      </c>
      <c r="R111" s="954">
        <f ca="1">R110*$J$106*$J$110</f>
        <v>0</v>
      </c>
      <c r="S111" s="954">
        <f ca="1">S110*$K$106*$K$110</f>
        <v>0</v>
      </c>
      <c r="T111" s="954">
        <f ca="1">T110*$H$106*$H$110</f>
        <v>0</v>
      </c>
      <c r="U111" s="954">
        <f ca="1">U110*$I$106*$I$110</f>
        <v>0</v>
      </c>
      <c r="V111" s="954">
        <f ca="1">V110*$J$106*$J$110</f>
        <v>0</v>
      </c>
      <c r="W111" s="954">
        <f ca="1">W110*$K$106*$K$110</f>
        <v>0</v>
      </c>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841"/>
    </row>
    <row r="112" spans="1:68">
      <c r="B112" s="1910"/>
      <c r="C112" s="1930"/>
      <c r="D112" s="1932" t="s">
        <v>4454</v>
      </c>
      <c r="E112" s="974" t="s">
        <v>4519</v>
      </c>
      <c r="F112" s="849" t="s">
        <v>4465</v>
      </c>
      <c r="G112" s="891" t="s">
        <v>4508</v>
      </c>
      <c r="H112" s="959"/>
      <c r="I112" s="959"/>
      <c r="J112" s="959"/>
      <c r="K112" s="959"/>
      <c r="L112" s="966">
        <f t="shared" ref="L112:O113" ca="1" si="29">SUM(L106,L108,L110)</f>
        <v>0</v>
      </c>
      <c r="M112" s="966">
        <f t="shared" ca="1" si="29"/>
        <v>0</v>
      </c>
      <c r="N112" s="966">
        <f t="shared" ca="1" si="29"/>
        <v>0</v>
      </c>
      <c r="O112" s="966">
        <f t="shared" ca="1" si="29"/>
        <v>0</v>
      </c>
      <c r="P112" s="967">
        <f ca="1">SUM(P106,P108,P110)</f>
        <v>0</v>
      </c>
      <c r="Q112" s="967">
        <f t="shared" ref="Q112:W113" ca="1" si="30">SUM(Q106,Q108,Q110)</f>
        <v>0</v>
      </c>
      <c r="R112" s="967">
        <f t="shared" ca="1" si="30"/>
        <v>0</v>
      </c>
      <c r="S112" s="967">
        <f t="shared" ca="1" si="30"/>
        <v>0</v>
      </c>
      <c r="T112" s="967">
        <f ca="1">SUM(T106,T108,T110)</f>
        <v>0</v>
      </c>
      <c r="U112" s="967">
        <f t="shared" ref="U112:W112" ca="1" si="31">SUM(U106,U108,U110)</f>
        <v>0</v>
      </c>
      <c r="V112" s="967">
        <f t="shared" ca="1" si="31"/>
        <v>0</v>
      </c>
      <c r="W112" s="967">
        <f t="shared" ca="1" si="31"/>
        <v>0</v>
      </c>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841"/>
    </row>
    <row r="113" spans="2:68" ht="21">
      <c r="B113" s="1910"/>
      <c r="C113" s="1931"/>
      <c r="D113" s="1933"/>
      <c r="E113" s="974" t="s">
        <v>4520</v>
      </c>
      <c r="F113" s="849" t="s">
        <v>4466</v>
      </c>
      <c r="G113" s="891" t="s">
        <v>4685</v>
      </c>
      <c r="H113" s="959"/>
      <c r="I113" s="959"/>
      <c r="J113" s="959"/>
      <c r="K113" s="959"/>
      <c r="L113" s="966">
        <f t="shared" ca="1" si="29"/>
        <v>0</v>
      </c>
      <c r="M113" s="966">
        <f t="shared" ca="1" si="29"/>
        <v>0</v>
      </c>
      <c r="N113" s="966">
        <f t="shared" ca="1" si="29"/>
        <v>0</v>
      </c>
      <c r="O113" s="966">
        <f t="shared" ca="1" si="29"/>
        <v>0</v>
      </c>
      <c r="P113" s="967">
        <f ca="1">SUM(P107,P109,P111)</f>
        <v>0</v>
      </c>
      <c r="Q113" s="967">
        <f t="shared" ca="1" si="30"/>
        <v>0</v>
      </c>
      <c r="R113" s="967">
        <f t="shared" ca="1" si="30"/>
        <v>0</v>
      </c>
      <c r="S113" s="967">
        <f t="shared" ca="1" si="30"/>
        <v>0</v>
      </c>
      <c r="T113" s="967">
        <f t="shared" ca="1" si="30"/>
        <v>0</v>
      </c>
      <c r="U113" s="967">
        <f t="shared" ca="1" si="30"/>
        <v>0</v>
      </c>
      <c r="V113" s="967">
        <f t="shared" ca="1" si="30"/>
        <v>0</v>
      </c>
      <c r="W113" s="967">
        <f t="shared" ca="1" si="30"/>
        <v>0</v>
      </c>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841"/>
    </row>
    <row r="114" spans="2:68" ht="21">
      <c r="B114" s="1910"/>
      <c r="C114" s="997" t="s">
        <v>4525</v>
      </c>
      <c r="D114" s="999"/>
      <c r="E114" s="975"/>
      <c r="F114" s="849"/>
      <c r="G114" s="891" t="s">
        <v>4685</v>
      </c>
      <c r="H114" s="959"/>
      <c r="I114" s="959"/>
      <c r="J114" s="959"/>
      <c r="K114" s="959"/>
      <c r="L114" s="954">
        <f ca="1">ROUNDDOWN(IF(L95+L100+L113&gt;=L91,L91,L95+L100+L113),0)</f>
        <v>0</v>
      </c>
      <c r="M114" s="954">
        <f t="shared" ref="M114:W114" ca="1" si="32">ROUNDDOWN(IF(M95+M100+M113&gt;=M91,M91,M95+M100+M113),0)</f>
        <v>0</v>
      </c>
      <c r="N114" s="954">
        <f t="shared" ca="1" si="32"/>
        <v>0</v>
      </c>
      <c r="O114" s="954">
        <f t="shared" ca="1" si="32"/>
        <v>0</v>
      </c>
      <c r="P114" s="954">
        <f t="shared" ca="1" si="32"/>
        <v>0</v>
      </c>
      <c r="Q114" s="954">
        <f t="shared" ca="1" si="32"/>
        <v>0</v>
      </c>
      <c r="R114" s="954">
        <f t="shared" ca="1" si="32"/>
        <v>0</v>
      </c>
      <c r="S114" s="954">
        <f t="shared" ca="1" si="32"/>
        <v>0</v>
      </c>
      <c r="T114" s="954">
        <f t="shared" ca="1" si="32"/>
        <v>0</v>
      </c>
      <c r="U114" s="954">
        <f t="shared" ca="1" si="32"/>
        <v>0</v>
      </c>
      <c r="V114" s="954">
        <f t="shared" ca="1" si="32"/>
        <v>0</v>
      </c>
      <c r="W114" s="954">
        <f t="shared" ca="1" si="32"/>
        <v>0</v>
      </c>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841"/>
    </row>
    <row r="115" spans="2:68" ht="21">
      <c r="B115" s="1911"/>
      <c r="C115" s="1000" t="s">
        <v>4526</v>
      </c>
      <c r="D115" s="999"/>
      <c r="E115" s="975"/>
      <c r="F115" s="849"/>
      <c r="G115" s="891" t="s">
        <v>4685</v>
      </c>
      <c r="H115" s="959"/>
      <c r="I115" s="959"/>
      <c r="J115" s="959"/>
      <c r="K115" s="959"/>
      <c r="L115" s="954">
        <f ca="1">ROUNDDOWN(IF(L97+L102&gt;=L90,L90,L97+L102),0)</f>
        <v>0</v>
      </c>
      <c r="M115" s="954">
        <f t="shared" ref="M115:W115" ca="1" si="33">ROUNDDOWN(IF(M97+M102&gt;=M90,M90,M97+M102),0)</f>
        <v>0</v>
      </c>
      <c r="N115" s="954">
        <f t="shared" ca="1" si="33"/>
        <v>0</v>
      </c>
      <c r="O115" s="954">
        <f t="shared" ca="1" si="33"/>
        <v>0</v>
      </c>
      <c r="P115" s="954">
        <f t="shared" ca="1" si="33"/>
        <v>0</v>
      </c>
      <c r="Q115" s="954">
        <f t="shared" ca="1" si="33"/>
        <v>0</v>
      </c>
      <c r="R115" s="954">
        <f t="shared" ca="1" si="33"/>
        <v>0</v>
      </c>
      <c r="S115" s="954">
        <f t="shared" ca="1" si="33"/>
        <v>0</v>
      </c>
      <c r="T115" s="954">
        <f t="shared" ca="1" si="33"/>
        <v>0</v>
      </c>
      <c r="U115" s="954">
        <f t="shared" ca="1" si="33"/>
        <v>0</v>
      </c>
      <c r="V115" s="954">
        <f t="shared" ca="1" si="33"/>
        <v>0</v>
      </c>
      <c r="W115" s="954">
        <f t="shared" ca="1" si="33"/>
        <v>0</v>
      </c>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841"/>
    </row>
    <row r="116" spans="2:68" ht="21">
      <c r="B116" s="968" t="s">
        <v>4479</v>
      </c>
      <c r="C116" s="910"/>
      <c r="D116" s="892"/>
      <c r="E116" s="1001" t="s">
        <v>4527</v>
      </c>
      <c r="F116" s="901"/>
      <c r="G116" s="891" t="s">
        <v>4685</v>
      </c>
      <c r="H116" s="959"/>
      <c r="I116" s="959"/>
      <c r="J116" s="959"/>
      <c r="K116" s="959"/>
      <c r="L116" s="954">
        <f ca="1">IF(L88+L89+L90+L91-L92-L104-L114-L115&gt;0,ROUND(ROUNDDOWN(L88+L89+L90+L91-L92-L104-L114-L115,0),2-INT(LOG(ROUNDDOWN(L88+L89+L90+L91-L92-L104-L114-L115,0)))),0)</f>
        <v>0</v>
      </c>
      <c r="M116" s="954">
        <f t="shared" ref="M116:BO116" ca="1" si="34">IF(M88+M89+M90+M91-M92-M104-M114-M115&gt;0,ROUND(ROUNDDOWN(M88+M89+M90+M91-M92-M104-M114-M115,0),2-INT(LOG(ROUNDDOWN(M88+M89+M90+M91-M92-M104-M114-M115,0)))),0)</f>
        <v>0</v>
      </c>
      <c r="N116" s="954">
        <f t="shared" ca="1" si="34"/>
        <v>0</v>
      </c>
      <c r="O116" s="954">
        <f t="shared" ca="1" si="34"/>
        <v>0</v>
      </c>
      <c r="P116" s="954">
        <f t="shared" ca="1" si="34"/>
        <v>0</v>
      </c>
      <c r="Q116" s="954">
        <f t="shared" ca="1" si="34"/>
        <v>0</v>
      </c>
      <c r="R116" s="954">
        <f t="shared" ca="1" si="34"/>
        <v>0</v>
      </c>
      <c r="S116" s="954">
        <f t="shared" ca="1" si="34"/>
        <v>0</v>
      </c>
      <c r="T116" s="954">
        <f t="shared" ca="1" si="34"/>
        <v>0</v>
      </c>
      <c r="U116" s="954">
        <f t="shared" ca="1" si="34"/>
        <v>0</v>
      </c>
      <c r="V116" s="954">
        <f t="shared" ca="1" si="34"/>
        <v>0</v>
      </c>
      <c r="W116" s="954">
        <f t="shared" ca="1" si="34"/>
        <v>0</v>
      </c>
      <c r="X116" s="954">
        <f t="shared" ca="1" si="34"/>
        <v>0</v>
      </c>
      <c r="Y116" s="954">
        <f t="shared" ca="1" si="34"/>
        <v>0</v>
      </c>
      <c r="Z116" s="954">
        <f t="shared" ca="1" si="34"/>
        <v>0</v>
      </c>
      <c r="AA116" s="954">
        <f t="shared" ca="1" si="34"/>
        <v>0</v>
      </c>
      <c r="AB116" s="954">
        <f t="shared" ca="1" si="34"/>
        <v>0</v>
      </c>
      <c r="AC116" s="954">
        <f t="shared" ca="1" si="34"/>
        <v>0</v>
      </c>
      <c r="AD116" s="954">
        <f t="shared" ca="1" si="34"/>
        <v>0</v>
      </c>
      <c r="AE116" s="954">
        <f t="shared" ca="1" si="34"/>
        <v>0</v>
      </c>
      <c r="AF116" s="954">
        <f t="shared" ca="1" si="34"/>
        <v>0</v>
      </c>
      <c r="AG116" s="954">
        <f t="shared" ca="1" si="34"/>
        <v>0</v>
      </c>
      <c r="AH116" s="954">
        <f t="shared" ca="1" si="34"/>
        <v>0</v>
      </c>
      <c r="AI116" s="954">
        <f t="shared" ca="1" si="34"/>
        <v>0</v>
      </c>
      <c r="AJ116" s="954">
        <f t="shared" ca="1" si="34"/>
        <v>0</v>
      </c>
      <c r="AK116" s="954">
        <f t="shared" ca="1" si="34"/>
        <v>0</v>
      </c>
      <c r="AL116" s="954">
        <f t="shared" ca="1" si="34"/>
        <v>0</v>
      </c>
      <c r="AM116" s="954">
        <f t="shared" ca="1" si="34"/>
        <v>0</v>
      </c>
      <c r="AN116" s="954">
        <f t="shared" ca="1" si="34"/>
        <v>0</v>
      </c>
      <c r="AO116" s="954">
        <f t="shared" ca="1" si="34"/>
        <v>0</v>
      </c>
      <c r="AP116" s="954">
        <f t="shared" ca="1" si="34"/>
        <v>0</v>
      </c>
      <c r="AQ116" s="954">
        <f t="shared" ca="1" si="34"/>
        <v>0</v>
      </c>
      <c r="AR116" s="954">
        <f t="shared" ca="1" si="34"/>
        <v>0</v>
      </c>
      <c r="AS116" s="954">
        <f t="shared" ca="1" si="34"/>
        <v>0</v>
      </c>
      <c r="AT116" s="954">
        <f t="shared" ca="1" si="34"/>
        <v>0</v>
      </c>
      <c r="AU116" s="954">
        <f t="shared" ca="1" si="34"/>
        <v>0</v>
      </c>
      <c r="AV116" s="954">
        <f t="shared" ca="1" si="34"/>
        <v>0</v>
      </c>
      <c r="AW116" s="954">
        <f t="shared" ca="1" si="34"/>
        <v>0</v>
      </c>
      <c r="AX116" s="954">
        <f t="shared" ca="1" si="34"/>
        <v>0</v>
      </c>
      <c r="AY116" s="954">
        <f t="shared" ca="1" si="34"/>
        <v>0</v>
      </c>
      <c r="AZ116" s="954">
        <f t="shared" ca="1" si="34"/>
        <v>0</v>
      </c>
      <c r="BA116" s="954">
        <f t="shared" ca="1" si="34"/>
        <v>0</v>
      </c>
      <c r="BB116" s="954">
        <f t="shared" ca="1" si="34"/>
        <v>0</v>
      </c>
      <c r="BC116" s="954">
        <f t="shared" ca="1" si="34"/>
        <v>0</v>
      </c>
      <c r="BD116" s="954">
        <f t="shared" ca="1" si="34"/>
        <v>0</v>
      </c>
      <c r="BE116" s="954">
        <f t="shared" ca="1" si="34"/>
        <v>0</v>
      </c>
      <c r="BF116" s="954">
        <f t="shared" ca="1" si="34"/>
        <v>0</v>
      </c>
      <c r="BG116" s="954">
        <f t="shared" ca="1" si="34"/>
        <v>0</v>
      </c>
      <c r="BH116" s="954">
        <f t="shared" ca="1" si="34"/>
        <v>0</v>
      </c>
      <c r="BI116" s="954">
        <f t="shared" ca="1" si="34"/>
        <v>0</v>
      </c>
      <c r="BJ116" s="954">
        <f t="shared" ca="1" si="34"/>
        <v>0</v>
      </c>
      <c r="BK116" s="954">
        <f t="shared" ca="1" si="34"/>
        <v>0</v>
      </c>
      <c r="BL116" s="954">
        <f t="shared" ca="1" si="34"/>
        <v>0</v>
      </c>
      <c r="BM116" s="954">
        <f t="shared" ca="1" si="34"/>
        <v>0</v>
      </c>
      <c r="BN116" s="954">
        <f t="shared" ca="1" si="34"/>
        <v>0</v>
      </c>
      <c r="BO116" s="954">
        <f t="shared" ca="1" si="34"/>
        <v>0</v>
      </c>
      <c r="BP116" s="841"/>
    </row>
    <row r="117" spans="2:68" ht="20.100000000000001" customHeight="1">
      <c r="B117" s="950">
        <v>2</v>
      </c>
      <c r="C117" s="951" t="s">
        <v>4480</v>
      </c>
      <c r="D117" s="820"/>
      <c r="E117" s="820"/>
      <c r="F117" s="820"/>
      <c r="G117" s="820"/>
      <c r="H117" s="821"/>
      <c r="I117" s="821"/>
      <c r="J117" s="821"/>
      <c r="K117" s="821"/>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2:68" ht="20.100000000000001" hidden="1" customHeight="1" outlineLevel="1">
      <c r="B118" s="1923" t="s">
        <v>4389</v>
      </c>
      <c r="C118" s="1921" t="s">
        <v>4390</v>
      </c>
      <c r="D118" s="958" t="s">
        <v>4143</v>
      </c>
      <c r="E118" s="958"/>
      <c r="F118" s="1002"/>
      <c r="G118" s="1003" t="s">
        <v>4685</v>
      </c>
      <c r="H118" s="1004"/>
      <c r="I118" s="1004"/>
      <c r="J118" s="1004"/>
      <c r="K118" s="1004"/>
      <c r="L118" s="1004">
        <f ca="1">L8</f>
        <v>0</v>
      </c>
      <c r="M118" s="1004">
        <f t="shared" ref="M118:BO122" ca="1" si="35">M8</f>
        <v>0</v>
      </c>
      <c r="N118" s="1004">
        <f t="shared" ca="1" si="35"/>
        <v>0</v>
      </c>
      <c r="O118" s="1004">
        <f t="shared" ca="1" si="35"/>
        <v>0</v>
      </c>
      <c r="P118" s="1004">
        <f t="shared" ca="1" si="35"/>
        <v>0</v>
      </c>
      <c r="Q118" s="1004">
        <f t="shared" ca="1" si="35"/>
        <v>0</v>
      </c>
      <c r="R118" s="1004">
        <f t="shared" ca="1" si="35"/>
        <v>0</v>
      </c>
      <c r="S118" s="1004">
        <f t="shared" ca="1" si="35"/>
        <v>0</v>
      </c>
      <c r="T118" s="1004">
        <f t="shared" ca="1" si="35"/>
        <v>0</v>
      </c>
      <c r="U118" s="1004">
        <f t="shared" ca="1" si="35"/>
        <v>0</v>
      </c>
      <c r="V118" s="1004">
        <f t="shared" ca="1" si="35"/>
        <v>0</v>
      </c>
      <c r="W118" s="1004">
        <f t="shared" ca="1" si="35"/>
        <v>0</v>
      </c>
      <c r="X118" s="1004">
        <f t="shared" ca="1" si="35"/>
        <v>0</v>
      </c>
      <c r="Y118" s="1004">
        <f t="shared" ca="1" si="35"/>
        <v>0</v>
      </c>
      <c r="Z118" s="1004">
        <f t="shared" ca="1" si="35"/>
        <v>0</v>
      </c>
      <c r="AA118" s="1004">
        <f t="shared" ca="1" si="35"/>
        <v>0</v>
      </c>
      <c r="AB118" s="1004" t="str">
        <f t="shared" ca="1" si="35"/>
        <v/>
      </c>
      <c r="AC118" s="1004" t="str">
        <f t="shared" ca="1" si="35"/>
        <v/>
      </c>
      <c r="AD118" s="1004" t="str">
        <f t="shared" ca="1" si="35"/>
        <v/>
      </c>
      <c r="AE118" s="1004" t="str">
        <f t="shared" ca="1" si="35"/>
        <v/>
      </c>
      <c r="AF118" s="1004" t="str">
        <f t="shared" ca="1" si="35"/>
        <v/>
      </c>
      <c r="AG118" s="1004" t="str">
        <f t="shared" ca="1" si="35"/>
        <v/>
      </c>
      <c r="AH118" s="1004" t="str">
        <f t="shared" ca="1" si="35"/>
        <v/>
      </c>
      <c r="AI118" s="1004" t="str">
        <f t="shared" ca="1" si="35"/>
        <v/>
      </c>
      <c r="AJ118" s="1004" t="str">
        <f t="shared" ca="1" si="35"/>
        <v/>
      </c>
      <c r="AK118" s="1004" t="str">
        <f t="shared" ca="1" si="35"/>
        <v/>
      </c>
      <c r="AL118" s="1004" t="str">
        <f t="shared" ca="1" si="35"/>
        <v/>
      </c>
      <c r="AM118" s="1004" t="str">
        <f t="shared" ca="1" si="35"/>
        <v/>
      </c>
      <c r="AN118" s="1004" t="str">
        <f t="shared" ca="1" si="35"/>
        <v/>
      </c>
      <c r="AO118" s="1004" t="str">
        <f t="shared" ca="1" si="35"/>
        <v/>
      </c>
      <c r="AP118" s="1004" t="str">
        <f t="shared" ca="1" si="35"/>
        <v/>
      </c>
      <c r="AQ118" s="1004" t="str">
        <f t="shared" ca="1" si="35"/>
        <v/>
      </c>
      <c r="AR118" s="1004" t="str">
        <f t="shared" ca="1" si="35"/>
        <v/>
      </c>
      <c r="AS118" s="1004" t="str">
        <f t="shared" ca="1" si="35"/>
        <v/>
      </c>
      <c r="AT118" s="1004" t="str">
        <f t="shared" ca="1" si="35"/>
        <v/>
      </c>
      <c r="AU118" s="1004" t="str">
        <f t="shared" ca="1" si="35"/>
        <v/>
      </c>
      <c r="AV118" s="1004" t="str">
        <f t="shared" ca="1" si="35"/>
        <v/>
      </c>
      <c r="AW118" s="1004" t="str">
        <f t="shared" ca="1" si="35"/>
        <v/>
      </c>
      <c r="AX118" s="1004" t="str">
        <f t="shared" ca="1" si="35"/>
        <v/>
      </c>
      <c r="AY118" s="1004" t="str">
        <f t="shared" ca="1" si="35"/>
        <v/>
      </c>
      <c r="AZ118" s="1004" t="str">
        <f t="shared" ca="1" si="35"/>
        <v/>
      </c>
      <c r="BA118" s="1004" t="str">
        <f t="shared" ca="1" si="35"/>
        <v/>
      </c>
      <c r="BB118" s="1004" t="str">
        <f t="shared" ca="1" si="35"/>
        <v/>
      </c>
      <c r="BC118" s="1004" t="str">
        <f t="shared" ca="1" si="35"/>
        <v/>
      </c>
      <c r="BD118" s="1004" t="str">
        <f t="shared" ca="1" si="35"/>
        <v/>
      </c>
      <c r="BE118" s="1004" t="str">
        <f t="shared" ca="1" si="35"/>
        <v/>
      </c>
      <c r="BF118" s="1004" t="str">
        <f t="shared" ca="1" si="35"/>
        <v/>
      </c>
      <c r="BG118" s="1004" t="str">
        <f t="shared" ca="1" si="35"/>
        <v/>
      </c>
      <c r="BH118" s="1004" t="str">
        <f t="shared" ca="1" si="35"/>
        <v/>
      </c>
      <c r="BI118" s="1004" t="str">
        <f t="shared" ca="1" si="35"/>
        <v/>
      </c>
      <c r="BJ118" s="1004" t="str">
        <f t="shared" ca="1" si="35"/>
        <v/>
      </c>
      <c r="BK118" s="1004" t="str">
        <f t="shared" ca="1" si="35"/>
        <v/>
      </c>
      <c r="BL118" s="1004" t="str">
        <f t="shared" ca="1" si="35"/>
        <v/>
      </c>
      <c r="BM118" s="1004" t="str">
        <f t="shared" ca="1" si="35"/>
        <v/>
      </c>
      <c r="BN118" s="1004" t="str">
        <f t="shared" ca="1" si="35"/>
        <v/>
      </c>
      <c r="BO118" s="1004" t="str">
        <f t="shared" ca="1" si="35"/>
        <v/>
      </c>
    </row>
    <row r="119" spans="2:68" ht="20.100000000000001" hidden="1" customHeight="1" outlineLevel="1">
      <c r="B119" s="1924"/>
      <c r="C119" s="1922"/>
      <c r="D119" s="958" t="s">
        <v>4391</v>
      </c>
      <c r="E119" s="958"/>
      <c r="F119" s="1002"/>
      <c r="G119" s="1003" t="s">
        <v>4685</v>
      </c>
      <c r="H119" s="1004"/>
      <c r="I119" s="1004"/>
      <c r="J119" s="1004"/>
      <c r="K119" s="1004"/>
      <c r="L119" s="1004">
        <f t="shared" ref="L119:AA134" ca="1" si="36">L9</f>
        <v>0</v>
      </c>
      <c r="M119" s="1004">
        <f t="shared" ca="1" si="36"/>
        <v>0</v>
      </c>
      <c r="N119" s="1004">
        <f t="shared" ca="1" si="36"/>
        <v>0</v>
      </c>
      <c r="O119" s="1004">
        <f t="shared" ca="1" si="36"/>
        <v>0</v>
      </c>
      <c r="P119" s="1004">
        <f t="shared" ca="1" si="36"/>
        <v>0</v>
      </c>
      <c r="Q119" s="1004">
        <f t="shared" ca="1" si="36"/>
        <v>0</v>
      </c>
      <c r="R119" s="1004">
        <f t="shared" ca="1" si="36"/>
        <v>0</v>
      </c>
      <c r="S119" s="1004">
        <f t="shared" ca="1" si="36"/>
        <v>0</v>
      </c>
      <c r="T119" s="1004">
        <f t="shared" ca="1" si="36"/>
        <v>0</v>
      </c>
      <c r="U119" s="1004">
        <f t="shared" ca="1" si="36"/>
        <v>0</v>
      </c>
      <c r="V119" s="1004">
        <f t="shared" ca="1" si="36"/>
        <v>0</v>
      </c>
      <c r="W119" s="1004">
        <f t="shared" ca="1" si="36"/>
        <v>0</v>
      </c>
      <c r="X119" s="1004">
        <f t="shared" ca="1" si="36"/>
        <v>0</v>
      </c>
      <c r="Y119" s="1004">
        <f t="shared" ca="1" si="36"/>
        <v>0</v>
      </c>
      <c r="Z119" s="1004">
        <f t="shared" ca="1" si="36"/>
        <v>0</v>
      </c>
      <c r="AA119" s="1004">
        <f t="shared" ca="1" si="36"/>
        <v>0</v>
      </c>
      <c r="AB119" s="1004" t="str">
        <f t="shared" ca="1" si="35"/>
        <v/>
      </c>
      <c r="AC119" s="1004" t="str">
        <f t="shared" ca="1" si="35"/>
        <v/>
      </c>
      <c r="AD119" s="1004" t="str">
        <f t="shared" ca="1" si="35"/>
        <v/>
      </c>
      <c r="AE119" s="1004" t="str">
        <f t="shared" ca="1" si="35"/>
        <v/>
      </c>
      <c r="AF119" s="1004" t="str">
        <f t="shared" ca="1" si="35"/>
        <v/>
      </c>
      <c r="AG119" s="1004" t="str">
        <f t="shared" ca="1" si="35"/>
        <v/>
      </c>
      <c r="AH119" s="1004" t="str">
        <f t="shared" ca="1" si="35"/>
        <v/>
      </c>
      <c r="AI119" s="1004" t="str">
        <f t="shared" ca="1" si="35"/>
        <v/>
      </c>
      <c r="AJ119" s="1004" t="str">
        <f t="shared" ca="1" si="35"/>
        <v/>
      </c>
      <c r="AK119" s="1004" t="str">
        <f t="shared" ca="1" si="35"/>
        <v/>
      </c>
      <c r="AL119" s="1004" t="str">
        <f t="shared" ca="1" si="35"/>
        <v/>
      </c>
      <c r="AM119" s="1004" t="str">
        <f t="shared" ca="1" si="35"/>
        <v/>
      </c>
      <c r="AN119" s="1004" t="str">
        <f t="shared" ca="1" si="35"/>
        <v/>
      </c>
      <c r="AO119" s="1004" t="str">
        <f t="shared" ca="1" si="35"/>
        <v/>
      </c>
      <c r="AP119" s="1004" t="str">
        <f t="shared" ca="1" si="35"/>
        <v/>
      </c>
      <c r="AQ119" s="1004" t="str">
        <f t="shared" ca="1" si="35"/>
        <v/>
      </c>
      <c r="AR119" s="1004" t="str">
        <f t="shared" ca="1" si="35"/>
        <v/>
      </c>
      <c r="AS119" s="1004" t="str">
        <f t="shared" ca="1" si="35"/>
        <v/>
      </c>
      <c r="AT119" s="1004" t="str">
        <f t="shared" ca="1" si="35"/>
        <v/>
      </c>
      <c r="AU119" s="1004" t="str">
        <f t="shared" ca="1" si="35"/>
        <v/>
      </c>
      <c r="AV119" s="1004" t="str">
        <f t="shared" ca="1" si="35"/>
        <v/>
      </c>
      <c r="AW119" s="1004" t="str">
        <f t="shared" ca="1" si="35"/>
        <v/>
      </c>
      <c r="AX119" s="1004" t="str">
        <f t="shared" ca="1" si="35"/>
        <v/>
      </c>
      <c r="AY119" s="1004" t="str">
        <f t="shared" ca="1" si="35"/>
        <v/>
      </c>
      <c r="AZ119" s="1004" t="str">
        <f t="shared" ca="1" si="35"/>
        <v/>
      </c>
      <c r="BA119" s="1004" t="str">
        <f t="shared" ca="1" si="35"/>
        <v/>
      </c>
      <c r="BB119" s="1004" t="str">
        <f t="shared" ca="1" si="35"/>
        <v/>
      </c>
      <c r="BC119" s="1004" t="str">
        <f t="shared" ca="1" si="35"/>
        <v/>
      </c>
      <c r="BD119" s="1004" t="str">
        <f t="shared" ca="1" si="35"/>
        <v/>
      </c>
      <c r="BE119" s="1004" t="str">
        <f t="shared" ca="1" si="35"/>
        <v/>
      </c>
      <c r="BF119" s="1004" t="str">
        <f t="shared" ca="1" si="35"/>
        <v/>
      </c>
      <c r="BG119" s="1004" t="str">
        <f t="shared" ca="1" si="35"/>
        <v/>
      </c>
      <c r="BH119" s="1004" t="str">
        <f t="shared" ca="1" si="35"/>
        <v/>
      </c>
      <c r="BI119" s="1004" t="str">
        <f t="shared" ca="1" si="35"/>
        <v/>
      </c>
      <c r="BJ119" s="1004" t="str">
        <f t="shared" ca="1" si="35"/>
        <v/>
      </c>
      <c r="BK119" s="1004" t="str">
        <f t="shared" ca="1" si="35"/>
        <v/>
      </c>
      <c r="BL119" s="1004" t="str">
        <f t="shared" ca="1" si="35"/>
        <v/>
      </c>
      <c r="BM119" s="1004" t="str">
        <f t="shared" ca="1" si="35"/>
        <v/>
      </c>
      <c r="BN119" s="1004" t="str">
        <f t="shared" ca="1" si="35"/>
        <v/>
      </c>
      <c r="BO119" s="1004" t="str">
        <f t="shared" ca="1" si="35"/>
        <v/>
      </c>
    </row>
    <row r="120" spans="2:68" ht="20.100000000000001" hidden="1" customHeight="1" outlineLevel="1">
      <c r="B120" s="1925"/>
      <c r="C120" s="1922"/>
      <c r="D120" s="958" t="s">
        <v>4392</v>
      </c>
      <c r="E120" s="958"/>
      <c r="F120" s="1002"/>
      <c r="G120" s="1003" t="s">
        <v>4685</v>
      </c>
      <c r="H120" s="1004"/>
      <c r="I120" s="1004"/>
      <c r="J120" s="1004"/>
      <c r="K120" s="1004"/>
      <c r="L120" s="1004">
        <f t="shared" ca="1" si="36"/>
        <v>0</v>
      </c>
      <c r="M120" s="1004">
        <f t="shared" ca="1" si="35"/>
        <v>0</v>
      </c>
      <c r="N120" s="1004">
        <f t="shared" ca="1" si="35"/>
        <v>0</v>
      </c>
      <c r="O120" s="1004">
        <f t="shared" ca="1" si="35"/>
        <v>0</v>
      </c>
      <c r="P120" s="1004">
        <f t="shared" ca="1" si="35"/>
        <v>0</v>
      </c>
      <c r="Q120" s="1004">
        <f t="shared" ca="1" si="35"/>
        <v>0</v>
      </c>
      <c r="R120" s="1004">
        <f t="shared" ca="1" si="35"/>
        <v>0</v>
      </c>
      <c r="S120" s="1004">
        <f t="shared" ca="1" si="35"/>
        <v>0</v>
      </c>
      <c r="T120" s="1004">
        <f t="shared" ca="1" si="35"/>
        <v>0</v>
      </c>
      <c r="U120" s="1004">
        <f t="shared" ca="1" si="35"/>
        <v>0</v>
      </c>
      <c r="V120" s="1004">
        <f t="shared" ca="1" si="35"/>
        <v>0</v>
      </c>
      <c r="W120" s="1004">
        <f t="shared" ca="1" si="35"/>
        <v>0</v>
      </c>
      <c r="X120" s="1004">
        <f t="shared" ca="1" si="35"/>
        <v>0</v>
      </c>
      <c r="Y120" s="1004">
        <f t="shared" ca="1" si="35"/>
        <v>0</v>
      </c>
      <c r="Z120" s="1004">
        <f t="shared" ca="1" si="35"/>
        <v>0</v>
      </c>
      <c r="AA120" s="1004">
        <f t="shared" ca="1" si="35"/>
        <v>0</v>
      </c>
      <c r="AB120" s="1004" t="str">
        <f t="shared" ca="1" si="35"/>
        <v/>
      </c>
      <c r="AC120" s="1004" t="str">
        <f t="shared" ca="1" si="35"/>
        <v/>
      </c>
      <c r="AD120" s="1004" t="str">
        <f t="shared" ca="1" si="35"/>
        <v/>
      </c>
      <c r="AE120" s="1004" t="str">
        <f t="shared" ca="1" si="35"/>
        <v/>
      </c>
      <c r="AF120" s="1004" t="str">
        <f t="shared" ca="1" si="35"/>
        <v/>
      </c>
      <c r="AG120" s="1004" t="str">
        <f t="shared" ca="1" si="35"/>
        <v/>
      </c>
      <c r="AH120" s="1004" t="str">
        <f t="shared" ca="1" si="35"/>
        <v/>
      </c>
      <c r="AI120" s="1004" t="str">
        <f t="shared" ca="1" si="35"/>
        <v/>
      </c>
      <c r="AJ120" s="1004" t="str">
        <f t="shared" ca="1" si="35"/>
        <v/>
      </c>
      <c r="AK120" s="1004" t="str">
        <f t="shared" ca="1" si="35"/>
        <v/>
      </c>
      <c r="AL120" s="1004" t="str">
        <f t="shared" ca="1" si="35"/>
        <v/>
      </c>
      <c r="AM120" s="1004" t="str">
        <f t="shared" ca="1" si="35"/>
        <v/>
      </c>
      <c r="AN120" s="1004" t="str">
        <f t="shared" ca="1" si="35"/>
        <v/>
      </c>
      <c r="AO120" s="1004" t="str">
        <f t="shared" ca="1" si="35"/>
        <v/>
      </c>
      <c r="AP120" s="1004" t="str">
        <f t="shared" ca="1" si="35"/>
        <v/>
      </c>
      <c r="AQ120" s="1004" t="str">
        <f t="shared" ca="1" si="35"/>
        <v/>
      </c>
      <c r="AR120" s="1004" t="str">
        <f t="shared" ca="1" si="35"/>
        <v/>
      </c>
      <c r="AS120" s="1004" t="str">
        <f t="shared" ca="1" si="35"/>
        <v/>
      </c>
      <c r="AT120" s="1004" t="str">
        <f t="shared" ca="1" si="35"/>
        <v/>
      </c>
      <c r="AU120" s="1004" t="str">
        <f t="shared" ca="1" si="35"/>
        <v/>
      </c>
      <c r="AV120" s="1004" t="str">
        <f t="shared" ca="1" si="35"/>
        <v/>
      </c>
      <c r="AW120" s="1004" t="str">
        <f t="shared" ca="1" si="35"/>
        <v/>
      </c>
      <c r="AX120" s="1004" t="str">
        <f t="shared" ca="1" si="35"/>
        <v/>
      </c>
      <c r="AY120" s="1004" t="str">
        <f t="shared" ca="1" si="35"/>
        <v/>
      </c>
      <c r="AZ120" s="1004" t="str">
        <f t="shared" ca="1" si="35"/>
        <v/>
      </c>
      <c r="BA120" s="1004" t="str">
        <f t="shared" ca="1" si="35"/>
        <v/>
      </c>
      <c r="BB120" s="1004" t="str">
        <f t="shared" ca="1" si="35"/>
        <v/>
      </c>
      <c r="BC120" s="1004" t="str">
        <f t="shared" ca="1" si="35"/>
        <v/>
      </c>
      <c r="BD120" s="1004" t="str">
        <f t="shared" ca="1" si="35"/>
        <v/>
      </c>
      <c r="BE120" s="1004" t="str">
        <f t="shared" ca="1" si="35"/>
        <v/>
      </c>
      <c r="BF120" s="1004" t="str">
        <f t="shared" ca="1" si="35"/>
        <v/>
      </c>
      <c r="BG120" s="1004" t="str">
        <f t="shared" ca="1" si="35"/>
        <v/>
      </c>
      <c r="BH120" s="1004" t="str">
        <f t="shared" ca="1" si="35"/>
        <v/>
      </c>
      <c r="BI120" s="1004" t="str">
        <f t="shared" ca="1" si="35"/>
        <v/>
      </c>
      <c r="BJ120" s="1004" t="str">
        <f t="shared" ca="1" si="35"/>
        <v/>
      </c>
      <c r="BK120" s="1004" t="str">
        <f t="shared" ca="1" si="35"/>
        <v/>
      </c>
      <c r="BL120" s="1004" t="str">
        <f t="shared" ca="1" si="35"/>
        <v/>
      </c>
      <c r="BM120" s="1004" t="str">
        <f t="shared" ca="1" si="35"/>
        <v/>
      </c>
      <c r="BN120" s="1004" t="str">
        <f t="shared" ca="1" si="35"/>
        <v/>
      </c>
      <c r="BO120" s="1004" t="str">
        <f t="shared" ca="1" si="35"/>
        <v/>
      </c>
    </row>
    <row r="121" spans="2:68" ht="20.100000000000001" hidden="1" customHeight="1" outlineLevel="1">
      <c r="B121" s="1924"/>
      <c r="C121" s="1922"/>
      <c r="D121" s="958" t="s">
        <v>4147</v>
      </c>
      <c r="E121" s="958"/>
      <c r="F121" s="1002"/>
      <c r="G121" s="1003" t="s">
        <v>4685</v>
      </c>
      <c r="H121" s="1004"/>
      <c r="I121" s="1004"/>
      <c r="J121" s="1004"/>
      <c r="K121" s="1004"/>
      <c r="L121" s="1004">
        <f t="shared" ca="1" si="36"/>
        <v>0</v>
      </c>
      <c r="M121" s="1004">
        <f t="shared" ca="1" si="35"/>
        <v>0</v>
      </c>
      <c r="N121" s="1004">
        <f t="shared" ca="1" si="35"/>
        <v>0</v>
      </c>
      <c r="O121" s="1004">
        <f t="shared" ca="1" si="35"/>
        <v>0</v>
      </c>
      <c r="P121" s="1004">
        <f t="shared" ca="1" si="35"/>
        <v>0</v>
      </c>
      <c r="Q121" s="1004">
        <f t="shared" ca="1" si="35"/>
        <v>0</v>
      </c>
      <c r="R121" s="1004">
        <f t="shared" ca="1" si="35"/>
        <v>0</v>
      </c>
      <c r="S121" s="1004">
        <f t="shared" ca="1" si="35"/>
        <v>0</v>
      </c>
      <c r="T121" s="1004">
        <f t="shared" ca="1" si="35"/>
        <v>0</v>
      </c>
      <c r="U121" s="1004">
        <f t="shared" ca="1" si="35"/>
        <v>0</v>
      </c>
      <c r="V121" s="1004">
        <f t="shared" ca="1" si="35"/>
        <v>0</v>
      </c>
      <c r="W121" s="1004">
        <f t="shared" ca="1" si="35"/>
        <v>0</v>
      </c>
      <c r="X121" s="1004">
        <f t="shared" ca="1" si="35"/>
        <v>0</v>
      </c>
      <c r="Y121" s="1004">
        <f t="shared" ca="1" si="35"/>
        <v>0</v>
      </c>
      <c r="Z121" s="1004">
        <f t="shared" ca="1" si="35"/>
        <v>0</v>
      </c>
      <c r="AA121" s="1004">
        <f t="shared" ca="1" si="35"/>
        <v>0</v>
      </c>
      <c r="AB121" s="1004" t="str">
        <f t="shared" ca="1" si="35"/>
        <v/>
      </c>
      <c r="AC121" s="1004" t="str">
        <f t="shared" ca="1" si="35"/>
        <v/>
      </c>
      <c r="AD121" s="1004" t="str">
        <f t="shared" ca="1" si="35"/>
        <v/>
      </c>
      <c r="AE121" s="1004" t="str">
        <f t="shared" ca="1" si="35"/>
        <v/>
      </c>
      <c r="AF121" s="1004" t="str">
        <f t="shared" ca="1" si="35"/>
        <v/>
      </c>
      <c r="AG121" s="1004" t="str">
        <f t="shared" ca="1" si="35"/>
        <v/>
      </c>
      <c r="AH121" s="1004" t="str">
        <f t="shared" ca="1" si="35"/>
        <v/>
      </c>
      <c r="AI121" s="1004" t="str">
        <f t="shared" ca="1" si="35"/>
        <v/>
      </c>
      <c r="AJ121" s="1004" t="str">
        <f t="shared" ca="1" si="35"/>
        <v/>
      </c>
      <c r="AK121" s="1004" t="str">
        <f t="shared" ca="1" si="35"/>
        <v/>
      </c>
      <c r="AL121" s="1004" t="str">
        <f t="shared" ca="1" si="35"/>
        <v/>
      </c>
      <c r="AM121" s="1004" t="str">
        <f t="shared" ca="1" si="35"/>
        <v/>
      </c>
      <c r="AN121" s="1004" t="str">
        <f t="shared" ca="1" si="35"/>
        <v/>
      </c>
      <c r="AO121" s="1004" t="str">
        <f t="shared" ca="1" si="35"/>
        <v/>
      </c>
      <c r="AP121" s="1004" t="str">
        <f t="shared" ca="1" si="35"/>
        <v/>
      </c>
      <c r="AQ121" s="1004" t="str">
        <f t="shared" ca="1" si="35"/>
        <v/>
      </c>
      <c r="AR121" s="1004" t="str">
        <f t="shared" ca="1" si="35"/>
        <v/>
      </c>
      <c r="AS121" s="1004" t="str">
        <f t="shared" ca="1" si="35"/>
        <v/>
      </c>
      <c r="AT121" s="1004" t="str">
        <f t="shared" ca="1" si="35"/>
        <v/>
      </c>
      <c r="AU121" s="1004" t="str">
        <f t="shared" ca="1" si="35"/>
        <v/>
      </c>
      <c r="AV121" s="1004" t="str">
        <f t="shared" ca="1" si="35"/>
        <v/>
      </c>
      <c r="AW121" s="1004" t="str">
        <f t="shared" ca="1" si="35"/>
        <v/>
      </c>
      <c r="AX121" s="1004" t="str">
        <f t="shared" ca="1" si="35"/>
        <v/>
      </c>
      <c r="AY121" s="1004" t="str">
        <f t="shared" ca="1" si="35"/>
        <v/>
      </c>
      <c r="AZ121" s="1004" t="str">
        <f t="shared" ca="1" si="35"/>
        <v/>
      </c>
      <c r="BA121" s="1004" t="str">
        <f t="shared" ca="1" si="35"/>
        <v/>
      </c>
      <c r="BB121" s="1004" t="str">
        <f t="shared" ca="1" si="35"/>
        <v/>
      </c>
      <c r="BC121" s="1004" t="str">
        <f t="shared" ca="1" si="35"/>
        <v/>
      </c>
      <c r="BD121" s="1004" t="str">
        <f t="shared" ca="1" si="35"/>
        <v/>
      </c>
      <c r="BE121" s="1004" t="str">
        <f t="shared" ca="1" si="35"/>
        <v/>
      </c>
      <c r="BF121" s="1004" t="str">
        <f t="shared" ca="1" si="35"/>
        <v/>
      </c>
      <c r="BG121" s="1004" t="str">
        <f t="shared" ca="1" si="35"/>
        <v/>
      </c>
      <c r="BH121" s="1004" t="str">
        <f t="shared" ca="1" si="35"/>
        <v/>
      </c>
      <c r="BI121" s="1004" t="str">
        <f t="shared" ca="1" si="35"/>
        <v/>
      </c>
      <c r="BJ121" s="1004" t="str">
        <f t="shared" ca="1" si="35"/>
        <v/>
      </c>
      <c r="BK121" s="1004" t="str">
        <f t="shared" ca="1" si="35"/>
        <v/>
      </c>
      <c r="BL121" s="1004" t="str">
        <f t="shared" ca="1" si="35"/>
        <v/>
      </c>
      <c r="BM121" s="1004" t="str">
        <f t="shared" ca="1" si="35"/>
        <v/>
      </c>
      <c r="BN121" s="1004" t="str">
        <f t="shared" ca="1" si="35"/>
        <v/>
      </c>
      <c r="BO121" s="1004" t="str">
        <f t="shared" ca="1" si="35"/>
        <v/>
      </c>
    </row>
    <row r="122" spans="2:68" ht="20.100000000000001" hidden="1" customHeight="1" outlineLevel="1">
      <c r="B122" s="1924"/>
      <c r="C122" s="1922"/>
      <c r="D122" s="958" t="s">
        <v>4393</v>
      </c>
      <c r="E122" s="958"/>
      <c r="F122" s="1002"/>
      <c r="G122" s="1003" t="s">
        <v>4685</v>
      </c>
      <c r="H122" s="1004"/>
      <c r="I122" s="1004"/>
      <c r="J122" s="1004"/>
      <c r="K122" s="1004"/>
      <c r="L122" s="1004">
        <f t="shared" ca="1" si="36"/>
        <v>0</v>
      </c>
      <c r="M122" s="1004">
        <f t="shared" ca="1" si="35"/>
        <v>0</v>
      </c>
      <c r="N122" s="1004">
        <f t="shared" ca="1" si="35"/>
        <v>0</v>
      </c>
      <c r="O122" s="1004">
        <f t="shared" ca="1" si="35"/>
        <v>0</v>
      </c>
      <c r="P122" s="1004">
        <f t="shared" ca="1" si="35"/>
        <v>0</v>
      </c>
      <c r="Q122" s="1004">
        <f t="shared" ca="1" si="35"/>
        <v>0</v>
      </c>
      <c r="R122" s="1004">
        <f t="shared" ca="1" si="35"/>
        <v>0</v>
      </c>
      <c r="S122" s="1004">
        <f t="shared" ca="1" si="35"/>
        <v>0</v>
      </c>
      <c r="T122" s="1004">
        <f t="shared" ca="1" si="35"/>
        <v>0</v>
      </c>
      <c r="U122" s="1004">
        <f t="shared" ca="1" si="35"/>
        <v>0</v>
      </c>
      <c r="V122" s="1004">
        <f t="shared" ca="1" si="35"/>
        <v>0</v>
      </c>
      <c r="W122" s="1004">
        <f t="shared" ca="1" si="35"/>
        <v>0</v>
      </c>
      <c r="X122" s="1004">
        <f t="shared" ca="1" si="35"/>
        <v>0</v>
      </c>
      <c r="Y122" s="1004">
        <f t="shared" ca="1" si="35"/>
        <v>0</v>
      </c>
      <c r="Z122" s="1004">
        <f t="shared" ca="1" si="35"/>
        <v>0</v>
      </c>
      <c r="AA122" s="1004">
        <f t="shared" ca="1" si="35"/>
        <v>0</v>
      </c>
      <c r="AB122" s="1004" t="str">
        <f t="shared" ca="1" si="35"/>
        <v/>
      </c>
      <c r="AC122" s="1004" t="str">
        <f t="shared" ca="1" si="35"/>
        <v/>
      </c>
      <c r="AD122" s="1004" t="str">
        <f t="shared" ca="1" si="35"/>
        <v/>
      </c>
      <c r="AE122" s="1004" t="str">
        <f t="shared" ca="1" si="35"/>
        <v/>
      </c>
      <c r="AF122" s="1004" t="str">
        <f t="shared" ca="1" si="35"/>
        <v/>
      </c>
      <c r="AG122" s="1004" t="str">
        <f t="shared" ca="1" si="35"/>
        <v/>
      </c>
      <c r="AH122" s="1004" t="str">
        <f t="shared" ca="1" si="35"/>
        <v/>
      </c>
      <c r="AI122" s="1004" t="str">
        <f t="shared" ca="1" si="35"/>
        <v/>
      </c>
      <c r="AJ122" s="1004" t="str">
        <f t="shared" ca="1" si="35"/>
        <v/>
      </c>
      <c r="AK122" s="1004" t="str">
        <f t="shared" ca="1" si="35"/>
        <v/>
      </c>
      <c r="AL122" s="1004" t="str">
        <f t="shared" ca="1" si="35"/>
        <v/>
      </c>
      <c r="AM122" s="1004" t="str">
        <f t="shared" ca="1" si="35"/>
        <v/>
      </c>
      <c r="AN122" s="1004" t="str">
        <f t="shared" ca="1" si="35"/>
        <v/>
      </c>
      <c r="AO122" s="1004" t="str">
        <f t="shared" ca="1" si="35"/>
        <v/>
      </c>
      <c r="AP122" s="1004" t="str">
        <f t="shared" ca="1" si="35"/>
        <v/>
      </c>
      <c r="AQ122" s="1004" t="str">
        <f t="shared" ca="1" si="35"/>
        <v/>
      </c>
      <c r="AR122" s="1004" t="str">
        <f t="shared" ca="1" si="35"/>
        <v/>
      </c>
      <c r="AS122" s="1004" t="str">
        <f t="shared" ca="1" si="35"/>
        <v/>
      </c>
      <c r="AT122" s="1004" t="str">
        <f t="shared" ca="1" si="35"/>
        <v/>
      </c>
      <c r="AU122" s="1004" t="str">
        <f t="shared" ca="1" si="35"/>
        <v/>
      </c>
      <c r="AV122" s="1004" t="str">
        <f t="shared" ca="1" si="35"/>
        <v/>
      </c>
      <c r="AW122" s="1004" t="str">
        <f t="shared" ca="1" si="35"/>
        <v/>
      </c>
      <c r="AX122" s="1004" t="str">
        <f t="shared" ca="1" si="35"/>
        <v/>
      </c>
      <c r="AY122" s="1004" t="str">
        <f t="shared" ca="1" si="35"/>
        <v/>
      </c>
      <c r="AZ122" s="1004" t="str">
        <f t="shared" ca="1" si="35"/>
        <v/>
      </c>
      <c r="BA122" s="1004" t="str">
        <f t="shared" ca="1" si="35"/>
        <v/>
      </c>
      <c r="BB122" s="1004" t="str">
        <f t="shared" ca="1" si="35"/>
        <v/>
      </c>
      <c r="BC122" s="1004" t="str">
        <f t="shared" ca="1" si="35"/>
        <v/>
      </c>
      <c r="BD122" s="1004" t="str">
        <f t="shared" ca="1" si="35"/>
        <v/>
      </c>
      <c r="BE122" s="1004" t="str">
        <f t="shared" ca="1" si="35"/>
        <v/>
      </c>
      <c r="BF122" s="1004" t="str">
        <f t="shared" ca="1" si="35"/>
        <v/>
      </c>
      <c r="BG122" s="1004" t="str">
        <f t="shared" ca="1" si="35"/>
        <v/>
      </c>
      <c r="BH122" s="1004" t="str">
        <f t="shared" ca="1" si="35"/>
        <v/>
      </c>
      <c r="BI122" s="1004" t="str">
        <f t="shared" ca="1" si="35"/>
        <v/>
      </c>
      <c r="BJ122" s="1004" t="str">
        <f t="shared" ca="1" si="35"/>
        <v/>
      </c>
      <c r="BK122" s="1004" t="str">
        <f t="shared" ref="BK122:BO122" ca="1" si="37">BK12</f>
        <v/>
      </c>
      <c r="BL122" s="1004" t="str">
        <f t="shared" ca="1" si="37"/>
        <v/>
      </c>
      <c r="BM122" s="1004" t="str">
        <f t="shared" ca="1" si="37"/>
        <v/>
      </c>
      <c r="BN122" s="1004" t="str">
        <f t="shared" ca="1" si="37"/>
        <v/>
      </c>
      <c r="BO122" s="1004" t="str">
        <f t="shared" ca="1" si="37"/>
        <v/>
      </c>
    </row>
    <row r="123" spans="2:68" ht="20.100000000000001" hidden="1" customHeight="1" outlineLevel="1">
      <c r="B123" s="1925"/>
      <c r="C123" s="1922"/>
      <c r="D123" s="958" t="s">
        <v>4149</v>
      </c>
      <c r="E123" s="958"/>
      <c r="F123" s="1002"/>
      <c r="G123" s="1003" t="s">
        <v>4685</v>
      </c>
      <c r="H123" s="1004"/>
      <c r="I123" s="1004"/>
      <c r="J123" s="1004"/>
      <c r="K123" s="1004"/>
      <c r="L123" s="1004">
        <f t="shared" ca="1" si="36"/>
        <v>0</v>
      </c>
      <c r="M123" s="1004">
        <f t="shared" ca="1" si="36"/>
        <v>0</v>
      </c>
      <c r="N123" s="1004">
        <f t="shared" ca="1" si="36"/>
        <v>0</v>
      </c>
      <c r="O123" s="1004">
        <f t="shared" ca="1" si="36"/>
        <v>0</v>
      </c>
      <c r="P123" s="1004">
        <f t="shared" ca="1" si="36"/>
        <v>0</v>
      </c>
      <c r="Q123" s="1004">
        <f t="shared" ca="1" si="36"/>
        <v>0</v>
      </c>
      <c r="R123" s="1004">
        <f t="shared" ca="1" si="36"/>
        <v>0</v>
      </c>
      <c r="S123" s="1004">
        <f t="shared" ca="1" si="36"/>
        <v>0</v>
      </c>
      <c r="T123" s="1004">
        <f t="shared" ca="1" si="36"/>
        <v>0</v>
      </c>
      <c r="U123" s="1004">
        <f t="shared" ca="1" si="36"/>
        <v>0</v>
      </c>
      <c r="V123" s="1004">
        <f t="shared" ca="1" si="36"/>
        <v>0</v>
      </c>
      <c r="W123" s="1004">
        <f t="shared" ca="1" si="36"/>
        <v>0</v>
      </c>
      <c r="X123" s="1004">
        <f t="shared" ca="1" si="36"/>
        <v>0</v>
      </c>
      <c r="Y123" s="1004">
        <f t="shared" ca="1" si="36"/>
        <v>0</v>
      </c>
      <c r="Z123" s="1004">
        <f t="shared" ca="1" si="36"/>
        <v>0</v>
      </c>
      <c r="AA123" s="1004">
        <f t="shared" ca="1" si="36"/>
        <v>0</v>
      </c>
      <c r="AB123" s="1004" t="str">
        <f t="shared" ref="AB123:BO129" ca="1" si="38">AB13</f>
        <v/>
      </c>
      <c r="AC123" s="1004" t="str">
        <f t="shared" ca="1" si="38"/>
        <v/>
      </c>
      <c r="AD123" s="1004" t="str">
        <f t="shared" ca="1" si="38"/>
        <v/>
      </c>
      <c r="AE123" s="1004" t="str">
        <f t="shared" ca="1" si="38"/>
        <v/>
      </c>
      <c r="AF123" s="1004" t="str">
        <f t="shared" ca="1" si="38"/>
        <v/>
      </c>
      <c r="AG123" s="1004" t="str">
        <f t="shared" ca="1" si="38"/>
        <v/>
      </c>
      <c r="AH123" s="1004" t="str">
        <f t="shared" ca="1" si="38"/>
        <v/>
      </c>
      <c r="AI123" s="1004" t="str">
        <f t="shared" ca="1" si="38"/>
        <v/>
      </c>
      <c r="AJ123" s="1004" t="str">
        <f t="shared" ca="1" si="38"/>
        <v/>
      </c>
      <c r="AK123" s="1004" t="str">
        <f t="shared" ca="1" si="38"/>
        <v/>
      </c>
      <c r="AL123" s="1004" t="str">
        <f t="shared" ca="1" si="38"/>
        <v/>
      </c>
      <c r="AM123" s="1004" t="str">
        <f t="shared" ca="1" si="38"/>
        <v/>
      </c>
      <c r="AN123" s="1004" t="str">
        <f t="shared" ca="1" si="38"/>
        <v/>
      </c>
      <c r="AO123" s="1004" t="str">
        <f t="shared" ca="1" si="38"/>
        <v/>
      </c>
      <c r="AP123" s="1004" t="str">
        <f t="shared" ca="1" si="38"/>
        <v/>
      </c>
      <c r="AQ123" s="1004" t="str">
        <f t="shared" ca="1" si="38"/>
        <v/>
      </c>
      <c r="AR123" s="1004" t="str">
        <f t="shared" ca="1" si="38"/>
        <v/>
      </c>
      <c r="AS123" s="1004" t="str">
        <f t="shared" ca="1" si="38"/>
        <v/>
      </c>
      <c r="AT123" s="1004" t="str">
        <f t="shared" ca="1" si="38"/>
        <v/>
      </c>
      <c r="AU123" s="1004" t="str">
        <f t="shared" ca="1" si="38"/>
        <v/>
      </c>
      <c r="AV123" s="1004" t="str">
        <f t="shared" ca="1" si="38"/>
        <v/>
      </c>
      <c r="AW123" s="1004" t="str">
        <f t="shared" ca="1" si="38"/>
        <v/>
      </c>
      <c r="AX123" s="1004" t="str">
        <f t="shared" ca="1" si="38"/>
        <v/>
      </c>
      <c r="AY123" s="1004" t="str">
        <f t="shared" ca="1" si="38"/>
        <v/>
      </c>
      <c r="AZ123" s="1004" t="str">
        <f t="shared" ca="1" si="38"/>
        <v/>
      </c>
      <c r="BA123" s="1004" t="str">
        <f t="shared" ca="1" si="38"/>
        <v/>
      </c>
      <c r="BB123" s="1004" t="str">
        <f t="shared" ca="1" si="38"/>
        <v/>
      </c>
      <c r="BC123" s="1004" t="str">
        <f t="shared" ca="1" si="38"/>
        <v/>
      </c>
      <c r="BD123" s="1004" t="str">
        <f t="shared" ca="1" si="38"/>
        <v/>
      </c>
      <c r="BE123" s="1004" t="str">
        <f t="shared" ca="1" si="38"/>
        <v/>
      </c>
      <c r="BF123" s="1004" t="str">
        <f t="shared" ca="1" si="38"/>
        <v/>
      </c>
      <c r="BG123" s="1004" t="str">
        <f t="shared" ca="1" si="38"/>
        <v/>
      </c>
      <c r="BH123" s="1004" t="str">
        <f t="shared" ca="1" si="38"/>
        <v/>
      </c>
      <c r="BI123" s="1004" t="str">
        <f t="shared" ca="1" si="38"/>
        <v/>
      </c>
      <c r="BJ123" s="1004" t="str">
        <f t="shared" ca="1" si="38"/>
        <v/>
      </c>
      <c r="BK123" s="1004" t="str">
        <f t="shared" ca="1" si="38"/>
        <v/>
      </c>
      <c r="BL123" s="1004" t="str">
        <f t="shared" ca="1" si="38"/>
        <v/>
      </c>
      <c r="BM123" s="1004" t="str">
        <f t="shared" ca="1" si="38"/>
        <v/>
      </c>
      <c r="BN123" s="1004" t="str">
        <f t="shared" ca="1" si="38"/>
        <v/>
      </c>
      <c r="BO123" s="1004" t="str">
        <f t="shared" ca="1" si="38"/>
        <v/>
      </c>
    </row>
    <row r="124" spans="2:68" ht="20.100000000000001" hidden="1" customHeight="1" outlineLevel="1">
      <c r="B124" s="1925"/>
      <c r="C124" s="1922"/>
      <c r="D124" s="958" t="s">
        <v>4150</v>
      </c>
      <c r="E124" s="958"/>
      <c r="F124" s="1002"/>
      <c r="G124" s="1003" t="s">
        <v>4685</v>
      </c>
      <c r="H124" s="1004"/>
      <c r="I124" s="1004"/>
      <c r="J124" s="1004"/>
      <c r="K124" s="1004"/>
      <c r="L124" s="1004">
        <f t="shared" ca="1" si="36"/>
        <v>0</v>
      </c>
      <c r="M124" s="1004">
        <f t="shared" ca="1" si="36"/>
        <v>0</v>
      </c>
      <c r="N124" s="1004">
        <f t="shared" ca="1" si="36"/>
        <v>0</v>
      </c>
      <c r="O124" s="1004">
        <f t="shared" ca="1" si="36"/>
        <v>0</v>
      </c>
      <c r="P124" s="1004">
        <f t="shared" ca="1" si="36"/>
        <v>0</v>
      </c>
      <c r="Q124" s="1004">
        <f t="shared" ca="1" si="36"/>
        <v>0</v>
      </c>
      <c r="R124" s="1004">
        <f t="shared" ca="1" si="36"/>
        <v>0</v>
      </c>
      <c r="S124" s="1004">
        <f t="shared" ca="1" si="36"/>
        <v>0</v>
      </c>
      <c r="T124" s="1004">
        <f t="shared" ca="1" si="36"/>
        <v>0</v>
      </c>
      <c r="U124" s="1004">
        <f t="shared" ca="1" si="36"/>
        <v>0</v>
      </c>
      <c r="V124" s="1004">
        <f t="shared" ca="1" si="36"/>
        <v>0</v>
      </c>
      <c r="W124" s="1004">
        <f t="shared" ca="1" si="36"/>
        <v>0</v>
      </c>
      <c r="X124" s="1004">
        <f t="shared" ca="1" si="36"/>
        <v>0</v>
      </c>
      <c r="Y124" s="1004">
        <f t="shared" ca="1" si="36"/>
        <v>0</v>
      </c>
      <c r="Z124" s="1004">
        <f t="shared" ca="1" si="36"/>
        <v>0</v>
      </c>
      <c r="AA124" s="1004">
        <f t="shared" ca="1" si="36"/>
        <v>0</v>
      </c>
      <c r="AB124" s="1004" t="str">
        <f t="shared" ca="1" si="38"/>
        <v/>
      </c>
      <c r="AC124" s="1004" t="str">
        <f t="shared" ca="1" si="38"/>
        <v/>
      </c>
      <c r="AD124" s="1004" t="str">
        <f t="shared" ca="1" si="38"/>
        <v/>
      </c>
      <c r="AE124" s="1004" t="str">
        <f t="shared" ca="1" si="38"/>
        <v/>
      </c>
      <c r="AF124" s="1004" t="str">
        <f t="shared" ca="1" si="38"/>
        <v/>
      </c>
      <c r="AG124" s="1004" t="str">
        <f t="shared" ca="1" si="38"/>
        <v/>
      </c>
      <c r="AH124" s="1004" t="str">
        <f t="shared" ca="1" si="38"/>
        <v/>
      </c>
      <c r="AI124" s="1004" t="str">
        <f t="shared" ca="1" si="38"/>
        <v/>
      </c>
      <c r="AJ124" s="1004" t="str">
        <f t="shared" ca="1" si="38"/>
        <v/>
      </c>
      <c r="AK124" s="1004" t="str">
        <f t="shared" ca="1" si="38"/>
        <v/>
      </c>
      <c r="AL124" s="1004" t="str">
        <f t="shared" ca="1" si="38"/>
        <v/>
      </c>
      <c r="AM124" s="1004" t="str">
        <f t="shared" ca="1" si="38"/>
        <v/>
      </c>
      <c r="AN124" s="1004" t="str">
        <f t="shared" ca="1" si="38"/>
        <v/>
      </c>
      <c r="AO124" s="1004" t="str">
        <f t="shared" ca="1" si="38"/>
        <v/>
      </c>
      <c r="AP124" s="1004" t="str">
        <f t="shared" ca="1" si="38"/>
        <v/>
      </c>
      <c r="AQ124" s="1004" t="str">
        <f t="shared" ca="1" si="38"/>
        <v/>
      </c>
      <c r="AR124" s="1004" t="str">
        <f t="shared" ca="1" si="38"/>
        <v/>
      </c>
      <c r="AS124" s="1004" t="str">
        <f t="shared" ca="1" si="38"/>
        <v/>
      </c>
      <c r="AT124" s="1004" t="str">
        <f t="shared" ca="1" si="38"/>
        <v/>
      </c>
      <c r="AU124" s="1004" t="str">
        <f t="shared" ca="1" si="38"/>
        <v/>
      </c>
      <c r="AV124" s="1004" t="str">
        <f t="shared" ca="1" si="38"/>
        <v/>
      </c>
      <c r="AW124" s="1004" t="str">
        <f t="shared" ca="1" si="38"/>
        <v/>
      </c>
      <c r="AX124" s="1004" t="str">
        <f t="shared" ca="1" si="38"/>
        <v/>
      </c>
      <c r="AY124" s="1004" t="str">
        <f t="shared" ca="1" si="38"/>
        <v/>
      </c>
      <c r="AZ124" s="1004" t="str">
        <f t="shared" ca="1" si="38"/>
        <v/>
      </c>
      <c r="BA124" s="1004" t="str">
        <f t="shared" ca="1" si="38"/>
        <v/>
      </c>
      <c r="BB124" s="1004" t="str">
        <f t="shared" ca="1" si="38"/>
        <v/>
      </c>
      <c r="BC124" s="1004" t="str">
        <f t="shared" ca="1" si="38"/>
        <v/>
      </c>
      <c r="BD124" s="1004" t="str">
        <f t="shared" ca="1" si="38"/>
        <v/>
      </c>
      <c r="BE124" s="1004" t="str">
        <f t="shared" ca="1" si="38"/>
        <v/>
      </c>
      <c r="BF124" s="1004" t="str">
        <f t="shared" ca="1" si="38"/>
        <v/>
      </c>
      <c r="BG124" s="1004" t="str">
        <f t="shared" ca="1" si="38"/>
        <v/>
      </c>
      <c r="BH124" s="1004" t="str">
        <f t="shared" ca="1" si="38"/>
        <v/>
      </c>
      <c r="BI124" s="1004" t="str">
        <f t="shared" ca="1" si="38"/>
        <v/>
      </c>
      <c r="BJ124" s="1004" t="str">
        <f t="shared" ca="1" si="38"/>
        <v/>
      </c>
      <c r="BK124" s="1004" t="str">
        <f t="shared" ca="1" si="38"/>
        <v/>
      </c>
      <c r="BL124" s="1004" t="str">
        <f t="shared" ca="1" si="38"/>
        <v/>
      </c>
      <c r="BM124" s="1004" t="str">
        <f t="shared" ca="1" si="38"/>
        <v/>
      </c>
      <c r="BN124" s="1004" t="str">
        <f t="shared" ca="1" si="38"/>
        <v/>
      </c>
      <c r="BO124" s="1004" t="str">
        <f t="shared" ca="1" si="38"/>
        <v/>
      </c>
    </row>
    <row r="125" spans="2:68" ht="20.100000000000001" hidden="1" customHeight="1" outlineLevel="1">
      <c r="B125" s="1924"/>
      <c r="C125" s="1922"/>
      <c r="D125" s="958" t="s">
        <v>4151</v>
      </c>
      <c r="E125" s="958"/>
      <c r="F125" s="1002"/>
      <c r="G125" s="1003" t="s">
        <v>4685</v>
      </c>
      <c r="H125" s="1004"/>
      <c r="I125" s="1004"/>
      <c r="J125" s="1004"/>
      <c r="K125" s="1004"/>
      <c r="L125" s="1004">
        <f t="shared" ca="1" si="36"/>
        <v>0</v>
      </c>
      <c r="M125" s="1004">
        <f t="shared" ca="1" si="36"/>
        <v>0</v>
      </c>
      <c r="N125" s="1004">
        <f t="shared" ca="1" si="36"/>
        <v>0</v>
      </c>
      <c r="O125" s="1004">
        <f t="shared" ca="1" si="36"/>
        <v>0</v>
      </c>
      <c r="P125" s="1004">
        <f t="shared" ca="1" si="36"/>
        <v>0</v>
      </c>
      <c r="Q125" s="1004">
        <f t="shared" ca="1" si="36"/>
        <v>0</v>
      </c>
      <c r="R125" s="1004">
        <f t="shared" ca="1" si="36"/>
        <v>0</v>
      </c>
      <c r="S125" s="1004">
        <f t="shared" ca="1" si="36"/>
        <v>0</v>
      </c>
      <c r="T125" s="1004">
        <f t="shared" ca="1" si="36"/>
        <v>0</v>
      </c>
      <c r="U125" s="1004">
        <f t="shared" ca="1" si="36"/>
        <v>0</v>
      </c>
      <c r="V125" s="1004">
        <f t="shared" ca="1" si="36"/>
        <v>0</v>
      </c>
      <c r="W125" s="1004">
        <f t="shared" ca="1" si="36"/>
        <v>0</v>
      </c>
      <c r="X125" s="1004">
        <f t="shared" ca="1" si="36"/>
        <v>0</v>
      </c>
      <c r="Y125" s="1004">
        <f t="shared" ca="1" si="36"/>
        <v>0</v>
      </c>
      <c r="Z125" s="1004">
        <f t="shared" ca="1" si="36"/>
        <v>0</v>
      </c>
      <c r="AA125" s="1004">
        <f t="shared" ca="1" si="36"/>
        <v>0</v>
      </c>
      <c r="AB125" s="1004" t="str">
        <f t="shared" ca="1" si="38"/>
        <v/>
      </c>
      <c r="AC125" s="1004" t="str">
        <f t="shared" ca="1" si="38"/>
        <v/>
      </c>
      <c r="AD125" s="1004" t="str">
        <f t="shared" ca="1" si="38"/>
        <v/>
      </c>
      <c r="AE125" s="1004" t="str">
        <f t="shared" ca="1" si="38"/>
        <v/>
      </c>
      <c r="AF125" s="1004" t="str">
        <f t="shared" ca="1" si="38"/>
        <v/>
      </c>
      <c r="AG125" s="1004" t="str">
        <f t="shared" ca="1" si="38"/>
        <v/>
      </c>
      <c r="AH125" s="1004" t="str">
        <f t="shared" ca="1" si="38"/>
        <v/>
      </c>
      <c r="AI125" s="1004" t="str">
        <f t="shared" ca="1" si="38"/>
        <v/>
      </c>
      <c r="AJ125" s="1004" t="str">
        <f t="shared" ca="1" si="38"/>
        <v/>
      </c>
      <c r="AK125" s="1004" t="str">
        <f t="shared" ca="1" si="38"/>
        <v/>
      </c>
      <c r="AL125" s="1004" t="str">
        <f t="shared" ca="1" si="38"/>
        <v/>
      </c>
      <c r="AM125" s="1004" t="str">
        <f t="shared" ca="1" si="38"/>
        <v/>
      </c>
      <c r="AN125" s="1004" t="str">
        <f t="shared" ca="1" si="38"/>
        <v/>
      </c>
      <c r="AO125" s="1004" t="str">
        <f t="shared" ca="1" si="38"/>
        <v/>
      </c>
      <c r="AP125" s="1004" t="str">
        <f t="shared" ca="1" si="38"/>
        <v/>
      </c>
      <c r="AQ125" s="1004" t="str">
        <f t="shared" ca="1" si="38"/>
        <v/>
      </c>
      <c r="AR125" s="1004" t="str">
        <f t="shared" ca="1" si="38"/>
        <v/>
      </c>
      <c r="AS125" s="1004" t="str">
        <f t="shared" ca="1" si="38"/>
        <v/>
      </c>
      <c r="AT125" s="1004" t="str">
        <f t="shared" ca="1" si="38"/>
        <v/>
      </c>
      <c r="AU125" s="1004" t="str">
        <f t="shared" ca="1" si="38"/>
        <v/>
      </c>
      <c r="AV125" s="1004" t="str">
        <f t="shared" ca="1" si="38"/>
        <v/>
      </c>
      <c r="AW125" s="1004" t="str">
        <f t="shared" ca="1" si="38"/>
        <v/>
      </c>
      <c r="AX125" s="1004" t="str">
        <f t="shared" ca="1" si="38"/>
        <v/>
      </c>
      <c r="AY125" s="1004" t="str">
        <f t="shared" ca="1" si="38"/>
        <v/>
      </c>
      <c r="AZ125" s="1004" t="str">
        <f t="shared" ca="1" si="38"/>
        <v/>
      </c>
      <c r="BA125" s="1004" t="str">
        <f t="shared" ca="1" si="38"/>
        <v/>
      </c>
      <c r="BB125" s="1004" t="str">
        <f t="shared" ca="1" si="38"/>
        <v/>
      </c>
      <c r="BC125" s="1004" t="str">
        <f t="shared" ca="1" si="38"/>
        <v/>
      </c>
      <c r="BD125" s="1004" t="str">
        <f t="shared" ca="1" si="38"/>
        <v/>
      </c>
      <c r="BE125" s="1004" t="str">
        <f t="shared" ca="1" si="38"/>
        <v/>
      </c>
      <c r="BF125" s="1004" t="str">
        <f t="shared" ca="1" si="38"/>
        <v/>
      </c>
      <c r="BG125" s="1004" t="str">
        <f t="shared" ca="1" si="38"/>
        <v/>
      </c>
      <c r="BH125" s="1004" t="str">
        <f t="shared" ca="1" si="38"/>
        <v/>
      </c>
      <c r="BI125" s="1004" t="str">
        <f t="shared" ca="1" si="38"/>
        <v/>
      </c>
      <c r="BJ125" s="1004" t="str">
        <f t="shared" ca="1" si="38"/>
        <v/>
      </c>
      <c r="BK125" s="1004" t="str">
        <f t="shared" ca="1" si="38"/>
        <v/>
      </c>
      <c r="BL125" s="1004" t="str">
        <f t="shared" ca="1" si="38"/>
        <v/>
      </c>
      <c r="BM125" s="1004" t="str">
        <f t="shared" ca="1" si="38"/>
        <v/>
      </c>
      <c r="BN125" s="1004" t="str">
        <f t="shared" ca="1" si="38"/>
        <v/>
      </c>
      <c r="BO125" s="1004" t="str">
        <f t="shared" ca="1" si="38"/>
        <v/>
      </c>
    </row>
    <row r="126" spans="2:68" ht="20.100000000000001" hidden="1" customHeight="1" outlineLevel="1">
      <c r="B126" s="1924"/>
      <c r="C126" s="1922"/>
      <c r="D126" s="958" t="s">
        <v>4152</v>
      </c>
      <c r="E126" s="1005"/>
      <c r="F126" s="1002"/>
      <c r="G126" s="1003" t="s">
        <v>4685</v>
      </c>
      <c r="H126" s="1004"/>
      <c r="I126" s="1004"/>
      <c r="J126" s="1004"/>
      <c r="K126" s="1004"/>
      <c r="L126" s="1004">
        <f t="shared" ca="1" si="36"/>
        <v>0</v>
      </c>
      <c r="M126" s="1004">
        <f t="shared" ca="1" si="36"/>
        <v>0</v>
      </c>
      <c r="N126" s="1004">
        <f t="shared" ca="1" si="36"/>
        <v>0</v>
      </c>
      <c r="O126" s="1004">
        <f t="shared" ca="1" si="36"/>
        <v>0</v>
      </c>
      <c r="P126" s="1004">
        <f t="shared" ca="1" si="36"/>
        <v>0</v>
      </c>
      <c r="Q126" s="1004">
        <f t="shared" ca="1" si="36"/>
        <v>0</v>
      </c>
      <c r="R126" s="1004">
        <f t="shared" ca="1" si="36"/>
        <v>0</v>
      </c>
      <c r="S126" s="1004">
        <f t="shared" ca="1" si="36"/>
        <v>0</v>
      </c>
      <c r="T126" s="1004">
        <f t="shared" ca="1" si="36"/>
        <v>0</v>
      </c>
      <c r="U126" s="1004">
        <f t="shared" ca="1" si="36"/>
        <v>0</v>
      </c>
      <c r="V126" s="1004">
        <f t="shared" ca="1" si="36"/>
        <v>0</v>
      </c>
      <c r="W126" s="1004">
        <f t="shared" ca="1" si="36"/>
        <v>0</v>
      </c>
      <c r="X126" s="1004">
        <f t="shared" ca="1" si="36"/>
        <v>0</v>
      </c>
      <c r="Y126" s="1004">
        <f t="shared" ca="1" si="36"/>
        <v>0</v>
      </c>
      <c r="Z126" s="1004">
        <f t="shared" ca="1" si="36"/>
        <v>0</v>
      </c>
      <c r="AA126" s="1004">
        <f t="shared" ca="1" si="36"/>
        <v>0</v>
      </c>
      <c r="AB126" s="1004" t="str">
        <f t="shared" ca="1" si="38"/>
        <v/>
      </c>
      <c r="AC126" s="1004" t="str">
        <f t="shared" ca="1" si="38"/>
        <v/>
      </c>
      <c r="AD126" s="1004" t="str">
        <f t="shared" ca="1" si="38"/>
        <v/>
      </c>
      <c r="AE126" s="1004" t="str">
        <f t="shared" ca="1" si="38"/>
        <v/>
      </c>
      <c r="AF126" s="1004" t="str">
        <f t="shared" ca="1" si="38"/>
        <v/>
      </c>
      <c r="AG126" s="1004" t="str">
        <f t="shared" ca="1" si="38"/>
        <v/>
      </c>
      <c r="AH126" s="1004" t="str">
        <f t="shared" ca="1" si="38"/>
        <v/>
      </c>
      <c r="AI126" s="1004" t="str">
        <f t="shared" ca="1" si="38"/>
        <v/>
      </c>
      <c r="AJ126" s="1004" t="str">
        <f t="shared" ca="1" si="38"/>
        <v/>
      </c>
      <c r="AK126" s="1004" t="str">
        <f t="shared" ca="1" si="38"/>
        <v/>
      </c>
      <c r="AL126" s="1004" t="str">
        <f t="shared" ca="1" si="38"/>
        <v/>
      </c>
      <c r="AM126" s="1004" t="str">
        <f t="shared" ca="1" si="38"/>
        <v/>
      </c>
      <c r="AN126" s="1004" t="str">
        <f t="shared" ca="1" si="38"/>
        <v/>
      </c>
      <c r="AO126" s="1004" t="str">
        <f t="shared" ca="1" si="38"/>
        <v/>
      </c>
      <c r="AP126" s="1004" t="str">
        <f t="shared" ca="1" si="38"/>
        <v/>
      </c>
      <c r="AQ126" s="1004" t="str">
        <f t="shared" ca="1" si="38"/>
        <v/>
      </c>
      <c r="AR126" s="1004" t="str">
        <f t="shared" ca="1" si="38"/>
        <v/>
      </c>
      <c r="AS126" s="1004" t="str">
        <f t="shared" ca="1" si="38"/>
        <v/>
      </c>
      <c r="AT126" s="1004" t="str">
        <f t="shared" ca="1" si="38"/>
        <v/>
      </c>
      <c r="AU126" s="1004" t="str">
        <f t="shared" ca="1" si="38"/>
        <v/>
      </c>
      <c r="AV126" s="1004" t="str">
        <f t="shared" ca="1" si="38"/>
        <v/>
      </c>
      <c r="AW126" s="1004" t="str">
        <f t="shared" ca="1" si="38"/>
        <v/>
      </c>
      <c r="AX126" s="1004" t="str">
        <f t="shared" ca="1" si="38"/>
        <v/>
      </c>
      <c r="AY126" s="1004" t="str">
        <f t="shared" ca="1" si="38"/>
        <v/>
      </c>
      <c r="AZ126" s="1004" t="str">
        <f t="shared" ca="1" si="38"/>
        <v/>
      </c>
      <c r="BA126" s="1004" t="str">
        <f t="shared" ca="1" si="38"/>
        <v/>
      </c>
      <c r="BB126" s="1004" t="str">
        <f t="shared" ca="1" si="38"/>
        <v/>
      </c>
      <c r="BC126" s="1004" t="str">
        <f t="shared" ca="1" si="38"/>
        <v/>
      </c>
      <c r="BD126" s="1004" t="str">
        <f t="shared" ca="1" si="38"/>
        <v/>
      </c>
      <c r="BE126" s="1004" t="str">
        <f t="shared" ca="1" si="38"/>
        <v/>
      </c>
      <c r="BF126" s="1004" t="str">
        <f t="shared" ca="1" si="38"/>
        <v/>
      </c>
      <c r="BG126" s="1004" t="str">
        <f t="shared" ca="1" si="38"/>
        <v/>
      </c>
      <c r="BH126" s="1004" t="str">
        <f t="shared" ca="1" si="38"/>
        <v/>
      </c>
      <c r="BI126" s="1004" t="str">
        <f t="shared" ca="1" si="38"/>
        <v/>
      </c>
      <c r="BJ126" s="1004" t="str">
        <f t="shared" ca="1" si="38"/>
        <v/>
      </c>
      <c r="BK126" s="1004" t="str">
        <f t="shared" ca="1" si="38"/>
        <v/>
      </c>
      <c r="BL126" s="1004" t="str">
        <f t="shared" ca="1" si="38"/>
        <v/>
      </c>
      <c r="BM126" s="1004" t="str">
        <f t="shared" ca="1" si="38"/>
        <v/>
      </c>
      <c r="BN126" s="1004" t="str">
        <f t="shared" ca="1" si="38"/>
        <v/>
      </c>
      <c r="BO126" s="1004" t="str">
        <f t="shared" ca="1" si="38"/>
        <v/>
      </c>
    </row>
    <row r="127" spans="2:68" ht="20.100000000000001" hidden="1" customHeight="1" outlineLevel="1">
      <c r="B127" s="1924"/>
      <c r="C127" s="1922"/>
      <c r="D127" s="958" t="s">
        <v>4153</v>
      </c>
      <c r="E127" s="958"/>
      <c r="F127" s="1002"/>
      <c r="G127" s="1003" t="s">
        <v>4685</v>
      </c>
      <c r="H127" s="1004"/>
      <c r="I127" s="1004"/>
      <c r="J127" s="1004"/>
      <c r="K127" s="1004"/>
      <c r="L127" s="1004">
        <f t="shared" ca="1" si="36"/>
        <v>0</v>
      </c>
      <c r="M127" s="1004">
        <f t="shared" ca="1" si="36"/>
        <v>0</v>
      </c>
      <c r="N127" s="1004">
        <f t="shared" ca="1" si="36"/>
        <v>0</v>
      </c>
      <c r="O127" s="1004">
        <f t="shared" ca="1" si="36"/>
        <v>0</v>
      </c>
      <c r="P127" s="1004">
        <f t="shared" ca="1" si="36"/>
        <v>0</v>
      </c>
      <c r="Q127" s="1004">
        <f t="shared" ca="1" si="36"/>
        <v>0</v>
      </c>
      <c r="R127" s="1004">
        <f t="shared" ca="1" si="36"/>
        <v>0</v>
      </c>
      <c r="S127" s="1004">
        <f t="shared" ca="1" si="36"/>
        <v>0</v>
      </c>
      <c r="T127" s="1004">
        <f t="shared" ca="1" si="36"/>
        <v>0</v>
      </c>
      <c r="U127" s="1004">
        <f t="shared" ca="1" si="36"/>
        <v>0</v>
      </c>
      <c r="V127" s="1004">
        <f t="shared" ca="1" si="36"/>
        <v>0</v>
      </c>
      <c r="W127" s="1004">
        <f t="shared" ca="1" si="36"/>
        <v>0</v>
      </c>
      <c r="X127" s="1004">
        <f t="shared" ca="1" si="36"/>
        <v>0</v>
      </c>
      <c r="Y127" s="1004">
        <f t="shared" ca="1" si="36"/>
        <v>0</v>
      </c>
      <c r="Z127" s="1004">
        <f t="shared" ca="1" si="36"/>
        <v>0</v>
      </c>
      <c r="AA127" s="1004">
        <f t="shared" ca="1" si="36"/>
        <v>0</v>
      </c>
      <c r="AB127" s="1004" t="str">
        <f t="shared" ca="1" si="38"/>
        <v/>
      </c>
      <c r="AC127" s="1004" t="str">
        <f t="shared" ca="1" si="38"/>
        <v/>
      </c>
      <c r="AD127" s="1004" t="str">
        <f t="shared" ca="1" si="38"/>
        <v/>
      </c>
      <c r="AE127" s="1004" t="str">
        <f t="shared" ca="1" si="38"/>
        <v/>
      </c>
      <c r="AF127" s="1004" t="str">
        <f t="shared" ca="1" si="38"/>
        <v/>
      </c>
      <c r="AG127" s="1004" t="str">
        <f t="shared" ca="1" si="38"/>
        <v/>
      </c>
      <c r="AH127" s="1004" t="str">
        <f t="shared" ca="1" si="38"/>
        <v/>
      </c>
      <c r="AI127" s="1004" t="str">
        <f t="shared" ca="1" si="38"/>
        <v/>
      </c>
      <c r="AJ127" s="1004" t="str">
        <f t="shared" ca="1" si="38"/>
        <v/>
      </c>
      <c r="AK127" s="1004" t="str">
        <f t="shared" ca="1" si="38"/>
        <v/>
      </c>
      <c r="AL127" s="1004" t="str">
        <f t="shared" ca="1" si="38"/>
        <v/>
      </c>
      <c r="AM127" s="1004" t="str">
        <f t="shared" ca="1" si="38"/>
        <v/>
      </c>
      <c r="AN127" s="1004" t="str">
        <f t="shared" ca="1" si="38"/>
        <v/>
      </c>
      <c r="AO127" s="1004" t="str">
        <f t="shared" ca="1" si="38"/>
        <v/>
      </c>
      <c r="AP127" s="1004" t="str">
        <f t="shared" ca="1" si="38"/>
        <v/>
      </c>
      <c r="AQ127" s="1004" t="str">
        <f t="shared" ca="1" si="38"/>
        <v/>
      </c>
      <c r="AR127" s="1004" t="str">
        <f t="shared" ca="1" si="38"/>
        <v/>
      </c>
      <c r="AS127" s="1004" t="str">
        <f t="shared" ca="1" si="38"/>
        <v/>
      </c>
      <c r="AT127" s="1004" t="str">
        <f t="shared" ca="1" si="38"/>
        <v/>
      </c>
      <c r="AU127" s="1004" t="str">
        <f t="shared" ca="1" si="38"/>
        <v/>
      </c>
      <c r="AV127" s="1004" t="str">
        <f t="shared" ca="1" si="38"/>
        <v/>
      </c>
      <c r="AW127" s="1004" t="str">
        <f t="shared" ca="1" si="38"/>
        <v/>
      </c>
      <c r="AX127" s="1004" t="str">
        <f t="shared" ca="1" si="38"/>
        <v/>
      </c>
      <c r="AY127" s="1004" t="str">
        <f t="shared" ca="1" si="38"/>
        <v/>
      </c>
      <c r="AZ127" s="1004" t="str">
        <f t="shared" ca="1" si="38"/>
        <v/>
      </c>
      <c r="BA127" s="1004" t="str">
        <f t="shared" ca="1" si="38"/>
        <v/>
      </c>
      <c r="BB127" s="1004" t="str">
        <f t="shared" ca="1" si="38"/>
        <v/>
      </c>
      <c r="BC127" s="1004" t="str">
        <f t="shared" ca="1" si="38"/>
        <v/>
      </c>
      <c r="BD127" s="1004" t="str">
        <f t="shared" ca="1" si="38"/>
        <v/>
      </c>
      <c r="BE127" s="1004" t="str">
        <f t="shared" ca="1" si="38"/>
        <v/>
      </c>
      <c r="BF127" s="1004" t="str">
        <f t="shared" ca="1" si="38"/>
        <v/>
      </c>
      <c r="BG127" s="1004" t="str">
        <f t="shared" ca="1" si="38"/>
        <v/>
      </c>
      <c r="BH127" s="1004" t="str">
        <f t="shared" ca="1" si="38"/>
        <v/>
      </c>
      <c r="BI127" s="1004" t="str">
        <f t="shared" ca="1" si="38"/>
        <v/>
      </c>
      <c r="BJ127" s="1004" t="str">
        <f t="shared" ca="1" si="38"/>
        <v/>
      </c>
      <c r="BK127" s="1004" t="str">
        <f t="shared" ca="1" si="38"/>
        <v/>
      </c>
      <c r="BL127" s="1004" t="str">
        <f t="shared" ca="1" si="38"/>
        <v/>
      </c>
      <c r="BM127" s="1004" t="str">
        <f t="shared" ca="1" si="38"/>
        <v/>
      </c>
      <c r="BN127" s="1004" t="str">
        <f t="shared" ca="1" si="38"/>
        <v/>
      </c>
      <c r="BO127" s="1004" t="str">
        <f t="shared" ca="1" si="38"/>
        <v/>
      </c>
    </row>
    <row r="128" spans="2:68" ht="20.100000000000001" hidden="1" customHeight="1" outlineLevel="1">
      <c r="B128" s="1924"/>
      <c r="C128" s="1922"/>
      <c r="D128" s="958" t="s">
        <v>4154</v>
      </c>
      <c r="E128" s="958"/>
      <c r="F128" s="1002"/>
      <c r="G128" s="1003" t="s">
        <v>4685</v>
      </c>
      <c r="H128" s="1004"/>
      <c r="I128" s="1004"/>
      <c r="J128" s="1004"/>
      <c r="K128" s="1004"/>
      <c r="L128" s="1004">
        <f t="shared" ca="1" si="36"/>
        <v>0</v>
      </c>
      <c r="M128" s="1004">
        <f t="shared" ca="1" si="36"/>
        <v>0</v>
      </c>
      <c r="N128" s="1004">
        <f t="shared" ca="1" si="36"/>
        <v>0</v>
      </c>
      <c r="O128" s="1004">
        <f t="shared" ca="1" si="36"/>
        <v>0</v>
      </c>
      <c r="P128" s="1004">
        <f t="shared" ca="1" si="36"/>
        <v>0</v>
      </c>
      <c r="Q128" s="1004">
        <f t="shared" ca="1" si="36"/>
        <v>0</v>
      </c>
      <c r="R128" s="1004">
        <f t="shared" ca="1" si="36"/>
        <v>0</v>
      </c>
      <c r="S128" s="1004">
        <f t="shared" ca="1" si="36"/>
        <v>0</v>
      </c>
      <c r="T128" s="1004">
        <f t="shared" ca="1" si="36"/>
        <v>0</v>
      </c>
      <c r="U128" s="1004">
        <f t="shared" ca="1" si="36"/>
        <v>0</v>
      </c>
      <c r="V128" s="1004">
        <f t="shared" ca="1" si="36"/>
        <v>0</v>
      </c>
      <c r="W128" s="1004">
        <f t="shared" ca="1" si="36"/>
        <v>0</v>
      </c>
      <c r="X128" s="1004">
        <f t="shared" ca="1" si="36"/>
        <v>0</v>
      </c>
      <c r="Y128" s="1004">
        <f t="shared" ca="1" si="36"/>
        <v>0</v>
      </c>
      <c r="Z128" s="1004">
        <f t="shared" ca="1" si="36"/>
        <v>0</v>
      </c>
      <c r="AA128" s="1004">
        <f t="shared" ca="1" si="36"/>
        <v>0</v>
      </c>
      <c r="AB128" s="1004" t="str">
        <f t="shared" ca="1" si="38"/>
        <v/>
      </c>
      <c r="AC128" s="1004" t="str">
        <f t="shared" ca="1" si="38"/>
        <v/>
      </c>
      <c r="AD128" s="1004" t="str">
        <f t="shared" ca="1" si="38"/>
        <v/>
      </c>
      <c r="AE128" s="1004" t="str">
        <f t="shared" ca="1" si="38"/>
        <v/>
      </c>
      <c r="AF128" s="1004" t="str">
        <f t="shared" ca="1" si="38"/>
        <v/>
      </c>
      <c r="AG128" s="1004" t="str">
        <f t="shared" ca="1" si="38"/>
        <v/>
      </c>
      <c r="AH128" s="1004" t="str">
        <f t="shared" ca="1" si="38"/>
        <v/>
      </c>
      <c r="AI128" s="1004" t="str">
        <f t="shared" ca="1" si="38"/>
        <v/>
      </c>
      <c r="AJ128" s="1004" t="str">
        <f t="shared" ca="1" si="38"/>
        <v/>
      </c>
      <c r="AK128" s="1004" t="str">
        <f t="shared" ca="1" si="38"/>
        <v/>
      </c>
      <c r="AL128" s="1004" t="str">
        <f t="shared" ca="1" si="38"/>
        <v/>
      </c>
      <c r="AM128" s="1004" t="str">
        <f t="shared" ca="1" si="38"/>
        <v/>
      </c>
      <c r="AN128" s="1004" t="str">
        <f t="shared" ca="1" si="38"/>
        <v/>
      </c>
      <c r="AO128" s="1004" t="str">
        <f t="shared" ca="1" si="38"/>
        <v/>
      </c>
      <c r="AP128" s="1004" t="str">
        <f t="shared" ca="1" si="38"/>
        <v/>
      </c>
      <c r="AQ128" s="1004" t="str">
        <f t="shared" ca="1" si="38"/>
        <v/>
      </c>
      <c r="AR128" s="1004" t="str">
        <f t="shared" ca="1" si="38"/>
        <v/>
      </c>
      <c r="AS128" s="1004" t="str">
        <f t="shared" ca="1" si="38"/>
        <v/>
      </c>
      <c r="AT128" s="1004" t="str">
        <f t="shared" ca="1" si="38"/>
        <v/>
      </c>
      <c r="AU128" s="1004" t="str">
        <f t="shared" ca="1" si="38"/>
        <v/>
      </c>
      <c r="AV128" s="1004" t="str">
        <f t="shared" ca="1" si="38"/>
        <v/>
      </c>
      <c r="AW128" s="1004" t="str">
        <f t="shared" ca="1" si="38"/>
        <v/>
      </c>
      <c r="AX128" s="1004" t="str">
        <f t="shared" ca="1" si="38"/>
        <v/>
      </c>
      <c r="AY128" s="1004" t="str">
        <f t="shared" ca="1" si="38"/>
        <v/>
      </c>
      <c r="AZ128" s="1004" t="str">
        <f t="shared" ca="1" si="38"/>
        <v/>
      </c>
      <c r="BA128" s="1004" t="str">
        <f t="shared" ca="1" si="38"/>
        <v/>
      </c>
      <c r="BB128" s="1004" t="str">
        <f t="shared" ca="1" si="38"/>
        <v/>
      </c>
      <c r="BC128" s="1004" t="str">
        <f t="shared" ca="1" si="38"/>
        <v/>
      </c>
      <c r="BD128" s="1004" t="str">
        <f t="shared" ca="1" si="38"/>
        <v/>
      </c>
      <c r="BE128" s="1004" t="str">
        <f t="shared" ca="1" si="38"/>
        <v/>
      </c>
      <c r="BF128" s="1004" t="str">
        <f t="shared" ca="1" si="38"/>
        <v/>
      </c>
      <c r="BG128" s="1004" t="str">
        <f t="shared" ca="1" si="38"/>
        <v/>
      </c>
      <c r="BH128" s="1004" t="str">
        <f t="shared" ca="1" si="38"/>
        <v/>
      </c>
      <c r="BI128" s="1004" t="str">
        <f t="shared" ca="1" si="38"/>
        <v/>
      </c>
      <c r="BJ128" s="1004" t="str">
        <f t="shared" ca="1" si="38"/>
        <v/>
      </c>
      <c r="BK128" s="1004" t="str">
        <f t="shared" ca="1" si="38"/>
        <v/>
      </c>
      <c r="BL128" s="1004" t="str">
        <f t="shared" ca="1" si="38"/>
        <v/>
      </c>
      <c r="BM128" s="1004" t="str">
        <f t="shared" ca="1" si="38"/>
        <v/>
      </c>
      <c r="BN128" s="1004" t="str">
        <f t="shared" ca="1" si="38"/>
        <v/>
      </c>
      <c r="BO128" s="1004" t="str">
        <f t="shared" ca="1" si="38"/>
        <v/>
      </c>
    </row>
    <row r="129" spans="2:67" ht="20.100000000000001" hidden="1" customHeight="1" outlineLevel="1">
      <c r="B129" s="1925"/>
      <c r="C129" s="1922"/>
      <c r="D129" s="958" t="s">
        <v>4394</v>
      </c>
      <c r="E129" s="958"/>
      <c r="F129" s="1002"/>
      <c r="G129" s="1003" t="s">
        <v>4685</v>
      </c>
      <c r="H129" s="1004"/>
      <c r="I129" s="1004"/>
      <c r="J129" s="1004"/>
      <c r="K129" s="1004"/>
      <c r="L129" s="1004">
        <f t="shared" ca="1" si="36"/>
        <v>0</v>
      </c>
      <c r="M129" s="1004">
        <f t="shared" ca="1" si="36"/>
        <v>0</v>
      </c>
      <c r="N129" s="1004">
        <f t="shared" ca="1" si="36"/>
        <v>0</v>
      </c>
      <c r="O129" s="1004">
        <f t="shared" ca="1" si="36"/>
        <v>0</v>
      </c>
      <c r="P129" s="1004">
        <f t="shared" ca="1" si="36"/>
        <v>0</v>
      </c>
      <c r="Q129" s="1004">
        <f t="shared" ca="1" si="36"/>
        <v>0</v>
      </c>
      <c r="R129" s="1004">
        <f t="shared" ca="1" si="36"/>
        <v>0</v>
      </c>
      <c r="S129" s="1004">
        <f t="shared" ca="1" si="36"/>
        <v>0</v>
      </c>
      <c r="T129" s="1004">
        <f t="shared" ca="1" si="36"/>
        <v>0</v>
      </c>
      <c r="U129" s="1004">
        <f t="shared" ca="1" si="36"/>
        <v>0</v>
      </c>
      <c r="V129" s="1004">
        <f t="shared" ca="1" si="36"/>
        <v>0</v>
      </c>
      <c r="W129" s="1004">
        <f t="shared" ca="1" si="36"/>
        <v>0</v>
      </c>
      <c r="X129" s="1004">
        <f t="shared" ca="1" si="36"/>
        <v>0</v>
      </c>
      <c r="Y129" s="1004">
        <f t="shared" ca="1" si="36"/>
        <v>0</v>
      </c>
      <c r="Z129" s="1004">
        <f t="shared" ca="1" si="36"/>
        <v>0</v>
      </c>
      <c r="AA129" s="1004">
        <f t="shared" ca="1" si="36"/>
        <v>0</v>
      </c>
      <c r="AB129" s="1004" t="str">
        <f t="shared" ca="1" si="38"/>
        <v/>
      </c>
      <c r="AC129" s="1004" t="str">
        <f t="shared" ca="1" si="38"/>
        <v/>
      </c>
      <c r="AD129" s="1004" t="str">
        <f t="shared" ca="1" si="38"/>
        <v/>
      </c>
      <c r="AE129" s="1004" t="str">
        <f t="shared" ca="1" si="38"/>
        <v/>
      </c>
      <c r="AF129" s="1004" t="str">
        <f t="shared" ca="1" si="38"/>
        <v/>
      </c>
      <c r="AG129" s="1004" t="str">
        <f t="shared" ca="1" si="38"/>
        <v/>
      </c>
      <c r="AH129" s="1004" t="str">
        <f t="shared" ca="1" si="38"/>
        <v/>
      </c>
      <c r="AI129" s="1004" t="str">
        <f t="shared" ca="1" si="38"/>
        <v/>
      </c>
      <c r="AJ129" s="1004" t="str">
        <f t="shared" ca="1" si="38"/>
        <v/>
      </c>
      <c r="AK129" s="1004" t="str">
        <f t="shared" ca="1" si="38"/>
        <v/>
      </c>
      <c r="AL129" s="1004" t="str">
        <f t="shared" ca="1" si="38"/>
        <v/>
      </c>
      <c r="AM129" s="1004" t="str">
        <f t="shared" ca="1" si="38"/>
        <v/>
      </c>
      <c r="AN129" s="1004" t="str">
        <f t="shared" ca="1" si="38"/>
        <v/>
      </c>
      <c r="AO129" s="1004" t="str">
        <f t="shared" ca="1" si="38"/>
        <v/>
      </c>
      <c r="AP129" s="1004" t="str">
        <f t="shared" ca="1" si="38"/>
        <v/>
      </c>
      <c r="AQ129" s="1004" t="str">
        <f t="shared" ref="AQ129:BO129" ca="1" si="39">AQ19</f>
        <v/>
      </c>
      <c r="AR129" s="1004" t="str">
        <f t="shared" ca="1" si="39"/>
        <v/>
      </c>
      <c r="AS129" s="1004" t="str">
        <f t="shared" ca="1" si="39"/>
        <v/>
      </c>
      <c r="AT129" s="1004" t="str">
        <f t="shared" ca="1" si="39"/>
        <v/>
      </c>
      <c r="AU129" s="1004" t="str">
        <f t="shared" ca="1" si="39"/>
        <v/>
      </c>
      <c r="AV129" s="1004" t="str">
        <f t="shared" ca="1" si="39"/>
        <v/>
      </c>
      <c r="AW129" s="1004" t="str">
        <f t="shared" ca="1" si="39"/>
        <v/>
      </c>
      <c r="AX129" s="1004" t="str">
        <f t="shared" ca="1" si="39"/>
        <v/>
      </c>
      <c r="AY129" s="1004" t="str">
        <f t="shared" ca="1" si="39"/>
        <v/>
      </c>
      <c r="AZ129" s="1004" t="str">
        <f t="shared" ca="1" si="39"/>
        <v/>
      </c>
      <c r="BA129" s="1004" t="str">
        <f t="shared" ca="1" si="39"/>
        <v/>
      </c>
      <c r="BB129" s="1004" t="str">
        <f t="shared" ca="1" si="39"/>
        <v/>
      </c>
      <c r="BC129" s="1004" t="str">
        <f t="shared" ca="1" si="39"/>
        <v/>
      </c>
      <c r="BD129" s="1004" t="str">
        <f t="shared" ca="1" si="39"/>
        <v/>
      </c>
      <c r="BE129" s="1004" t="str">
        <f t="shared" ca="1" si="39"/>
        <v/>
      </c>
      <c r="BF129" s="1004" t="str">
        <f t="shared" ca="1" si="39"/>
        <v/>
      </c>
      <c r="BG129" s="1004" t="str">
        <f t="shared" ca="1" si="39"/>
        <v/>
      </c>
      <c r="BH129" s="1004" t="str">
        <f t="shared" ca="1" si="39"/>
        <v/>
      </c>
      <c r="BI129" s="1004" t="str">
        <f t="shared" ca="1" si="39"/>
        <v/>
      </c>
      <c r="BJ129" s="1004" t="str">
        <f t="shared" ca="1" si="39"/>
        <v/>
      </c>
      <c r="BK129" s="1004" t="str">
        <f t="shared" ca="1" si="39"/>
        <v/>
      </c>
      <c r="BL129" s="1004" t="str">
        <f t="shared" ca="1" si="39"/>
        <v/>
      </c>
      <c r="BM129" s="1004" t="str">
        <f t="shared" ca="1" si="39"/>
        <v/>
      </c>
      <c r="BN129" s="1004" t="str">
        <f t="shared" ca="1" si="39"/>
        <v/>
      </c>
      <c r="BO129" s="1004" t="str">
        <f t="shared" ca="1" si="39"/>
        <v/>
      </c>
    </row>
    <row r="130" spans="2:67" ht="20.100000000000001" hidden="1" customHeight="1" outlineLevel="1">
      <c r="B130" s="1924"/>
      <c r="C130" s="1922"/>
      <c r="D130" s="958" t="s">
        <v>4395</v>
      </c>
      <c r="E130" s="958"/>
      <c r="F130" s="1002"/>
      <c r="G130" s="1003" t="s">
        <v>4685</v>
      </c>
      <c r="H130" s="1004"/>
      <c r="I130" s="1004"/>
      <c r="J130" s="1004"/>
      <c r="K130" s="1004"/>
      <c r="L130" s="1004">
        <f t="shared" ca="1" si="36"/>
        <v>0</v>
      </c>
      <c r="M130" s="1004">
        <f t="shared" ca="1" si="36"/>
        <v>0</v>
      </c>
      <c r="N130" s="1004">
        <f t="shared" ca="1" si="36"/>
        <v>0</v>
      </c>
      <c r="O130" s="1004">
        <f t="shared" ca="1" si="36"/>
        <v>0</v>
      </c>
      <c r="P130" s="1004">
        <f t="shared" ca="1" si="36"/>
        <v>0</v>
      </c>
      <c r="Q130" s="1004">
        <f t="shared" ca="1" si="36"/>
        <v>0</v>
      </c>
      <c r="R130" s="1004">
        <f t="shared" ca="1" si="36"/>
        <v>0</v>
      </c>
      <c r="S130" s="1004">
        <f t="shared" ca="1" si="36"/>
        <v>0</v>
      </c>
      <c r="T130" s="1004">
        <f t="shared" ca="1" si="36"/>
        <v>0</v>
      </c>
      <c r="U130" s="1004">
        <f t="shared" ca="1" si="36"/>
        <v>0</v>
      </c>
      <c r="V130" s="1004">
        <f t="shared" ca="1" si="36"/>
        <v>0</v>
      </c>
      <c r="W130" s="1004">
        <f t="shared" ca="1" si="36"/>
        <v>0</v>
      </c>
      <c r="X130" s="1004">
        <f t="shared" ca="1" si="36"/>
        <v>0</v>
      </c>
      <c r="Y130" s="1004">
        <f t="shared" ca="1" si="36"/>
        <v>0</v>
      </c>
      <c r="Z130" s="1004">
        <f t="shared" ca="1" si="36"/>
        <v>0</v>
      </c>
      <c r="AA130" s="1004">
        <f t="shared" ca="1" si="36"/>
        <v>0</v>
      </c>
      <c r="AB130" s="1004" t="str">
        <f t="shared" ref="AB130:BO134" ca="1" si="40">AB20</f>
        <v/>
      </c>
      <c r="AC130" s="1004" t="str">
        <f t="shared" ca="1" si="40"/>
        <v/>
      </c>
      <c r="AD130" s="1004" t="str">
        <f t="shared" ca="1" si="40"/>
        <v/>
      </c>
      <c r="AE130" s="1004" t="str">
        <f t="shared" ca="1" si="40"/>
        <v/>
      </c>
      <c r="AF130" s="1004" t="str">
        <f t="shared" ca="1" si="40"/>
        <v/>
      </c>
      <c r="AG130" s="1004" t="str">
        <f t="shared" ca="1" si="40"/>
        <v/>
      </c>
      <c r="AH130" s="1004" t="str">
        <f t="shared" ca="1" si="40"/>
        <v/>
      </c>
      <c r="AI130" s="1004" t="str">
        <f t="shared" ca="1" si="40"/>
        <v/>
      </c>
      <c r="AJ130" s="1004" t="str">
        <f t="shared" ca="1" si="40"/>
        <v/>
      </c>
      <c r="AK130" s="1004" t="str">
        <f t="shared" ca="1" si="40"/>
        <v/>
      </c>
      <c r="AL130" s="1004" t="str">
        <f t="shared" ca="1" si="40"/>
        <v/>
      </c>
      <c r="AM130" s="1004" t="str">
        <f t="shared" ca="1" si="40"/>
        <v/>
      </c>
      <c r="AN130" s="1004" t="str">
        <f t="shared" ca="1" si="40"/>
        <v/>
      </c>
      <c r="AO130" s="1004" t="str">
        <f t="shared" ca="1" si="40"/>
        <v/>
      </c>
      <c r="AP130" s="1004" t="str">
        <f t="shared" ca="1" si="40"/>
        <v/>
      </c>
      <c r="AQ130" s="1004" t="str">
        <f t="shared" ca="1" si="40"/>
        <v/>
      </c>
      <c r="AR130" s="1004" t="str">
        <f t="shared" ca="1" si="40"/>
        <v/>
      </c>
      <c r="AS130" s="1004" t="str">
        <f t="shared" ca="1" si="40"/>
        <v/>
      </c>
      <c r="AT130" s="1004" t="str">
        <f t="shared" ca="1" si="40"/>
        <v/>
      </c>
      <c r="AU130" s="1004" t="str">
        <f t="shared" ca="1" si="40"/>
        <v/>
      </c>
      <c r="AV130" s="1004" t="str">
        <f t="shared" ca="1" si="40"/>
        <v/>
      </c>
      <c r="AW130" s="1004" t="str">
        <f t="shared" ca="1" si="40"/>
        <v/>
      </c>
      <c r="AX130" s="1004" t="str">
        <f t="shared" ca="1" si="40"/>
        <v/>
      </c>
      <c r="AY130" s="1004" t="str">
        <f t="shared" ca="1" si="40"/>
        <v/>
      </c>
      <c r="AZ130" s="1004" t="str">
        <f t="shared" ca="1" si="40"/>
        <v/>
      </c>
      <c r="BA130" s="1004" t="str">
        <f t="shared" ca="1" si="40"/>
        <v/>
      </c>
      <c r="BB130" s="1004" t="str">
        <f t="shared" ca="1" si="40"/>
        <v/>
      </c>
      <c r="BC130" s="1004" t="str">
        <f t="shared" ca="1" si="40"/>
        <v/>
      </c>
      <c r="BD130" s="1004" t="str">
        <f t="shared" ca="1" si="40"/>
        <v/>
      </c>
      <c r="BE130" s="1004" t="str">
        <f t="shared" ca="1" si="40"/>
        <v/>
      </c>
      <c r="BF130" s="1004" t="str">
        <f t="shared" ca="1" si="40"/>
        <v/>
      </c>
      <c r="BG130" s="1004" t="str">
        <f t="shared" ca="1" si="40"/>
        <v/>
      </c>
      <c r="BH130" s="1004" t="str">
        <f t="shared" ca="1" si="40"/>
        <v/>
      </c>
      <c r="BI130" s="1004" t="str">
        <f t="shared" ca="1" si="40"/>
        <v/>
      </c>
      <c r="BJ130" s="1004" t="str">
        <f t="shared" ca="1" si="40"/>
        <v/>
      </c>
      <c r="BK130" s="1004" t="str">
        <f t="shared" ca="1" si="40"/>
        <v/>
      </c>
      <c r="BL130" s="1004" t="str">
        <f t="shared" ca="1" si="40"/>
        <v/>
      </c>
      <c r="BM130" s="1004" t="str">
        <f t="shared" ca="1" si="40"/>
        <v/>
      </c>
      <c r="BN130" s="1004" t="str">
        <f t="shared" ca="1" si="40"/>
        <v/>
      </c>
      <c r="BO130" s="1004" t="str">
        <f t="shared" ca="1" si="40"/>
        <v/>
      </c>
    </row>
    <row r="131" spans="2:67" ht="20.100000000000001" hidden="1" customHeight="1" outlineLevel="1">
      <c r="B131" s="1925"/>
      <c r="C131" s="1922"/>
      <c r="D131" s="958" t="s">
        <v>4396</v>
      </c>
      <c r="E131" s="1005"/>
      <c r="F131" s="1002"/>
      <c r="G131" s="1003" t="s">
        <v>4685</v>
      </c>
      <c r="H131" s="1004"/>
      <c r="I131" s="1004"/>
      <c r="J131" s="1004"/>
      <c r="K131" s="1004"/>
      <c r="L131" s="1004">
        <f t="shared" ca="1" si="36"/>
        <v>0</v>
      </c>
      <c r="M131" s="1004">
        <f t="shared" ca="1" si="36"/>
        <v>0</v>
      </c>
      <c r="N131" s="1004">
        <f t="shared" ca="1" si="36"/>
        <v>0</v>
      </c>
      <c r="O131" s="1004">
        <f t="shared" ca="1" si="36"/>
        <v>0</v>
      </c>
      <c r="P131" s="1004">
        <f t="shared" ca="1" si="36"/>
        <v>0</v>
      </c>
      <c r="Q131" s="1004">
        <f t="shared" ca="1" si="36"/>
        <v>0</v>
      </c>
      <c r="R131" s="1004">
        <f t="shared" ca="1" si="36"/>
        <v>0</v>
      </c>
      <c r="S131" s="1004">
        <f t="shared" ca="1" si="36"/>
        <v>0</v>
      </c>
      <c r="T131" s="1004">
        <f t="shared" ca="1" si="36"/>
        <v>0</v>
      </c>
      <c r="U131" s="1004">
        <f t="shared" ca="1" si="36"/>
        <v>0</v>
      </c>
      <c r="V131" s="1004">
        <f t="shared" ca="1" si="36"/>
        <v>0</v>
      </c>
      <c r="W131" s="1004">
        <f t="shared" ca="1" si="36"/>
        <v>0</v>
      </c>
      <c r="X131" s="1004">
        <f t="shared" ca="1" si="36"/>
        <v>0</v>
      </c>
      <c r="Y131" s="1004">
        <f t="shared" ca="1" si="36"/>
        <v>0</v>
      </c>
      <c r="Z131" s="1004">
        <f t="shared" ca="1" si="36"/>
        <v>0</v>
      </c>
      <c r="AA131" s="1004">
        <f t="shared" ca="1" si="36"/>
        <v>0</v>
      </c>
      <c r="AB131" s="1004" t="str">
        <f t="shared" ca="1" si="40"/>
        <v/>
      </c>
      <c r="AC131" s="1004" t="str">
        <f t="shared" ca="1" si="40"/>
        <v/>
      </c>
      <c r="AD131" s="1004" t="str">
        <f t="shared" ca="1" si="40"/>
        <v/>
      </c>
      <c r="AE131" s="1004" t="str">
        <f t="shared" ca="1" si="40"/>
        <v/>
      </c>
      <c r="AF131" s="1004" t="str">
        <f t="shared" ca="1" si="40"/>
        <v/>
      </c>
      <c r="AG131" s="1004" t="str">
        <f t="shared" ca="1" si="40"/>
        <v/>
      </c>
      <c r="AH131" s="1004" t="str">
        <f t="shared" ca="1" si="40"/>
        <v/>
      </c>
      <c r="AI131" s="1004" t="str">
        <f t="shared" ca="1" si="40"/>
        <v/>
      </c>
      <c r="AJ131" s="1004" t="str">
        <f t="shared" ca="1" si="40"/>
        <v/>
      </c>
      <c r="AK131" s="1004" t="str">
        <f t="shared" ca="1" si="40"/>
        <v/>
      </c>
      <c r="AL131" s="1004" t="str">
        <f t="shared" ca="1" si="40"/>
        <v/>
      </c>
      <c r="AM131" s="1004" t="str">
        <f t="shared" ca="1" si="40"/>
        <v/>
      </c>
      <c r="AN131" s="1004" t="str">
        <f t="shared" ca="1" si="40"/>
        <v/>
      </c>
      <c r="AO131" s="1004" t="str">
        <f t="shared" ca="1" si="40"/>
        <v/>
      </c>
      <c r="AP131" s="1004" t="str">
        <f t="shared" ca="1" si="40"/>
        <v/>
      </c>
      <c r="AQ131" s="1004" t="str">
        <f t="shared" ca="1" si="40"/>
        <v/>
      </c>
      <c r="AR131" s="1004" t="str">
        <f t="shared" ca="1" si="40"/>
        <v/>
      </c>
      <c r="AS131" s="1004" t="str">
        <f t="shared" ca="1" si="40"/>
        <v/>
      </c>
      <c r="AT131" s="1004" t="str">
        <f t="shared" ca="1" si="40"/>
        <v/>
      </c>
      <c r="AU131" s="1004" t="str">
        <f t="shared" ca="1" si="40"/>
        <v/>
      </c>
      <c r="AV131" s="1004" t="str">
        <f t="shared" ca="1" si="40"/>
        <v/>
      </c>
      <c r="AW131" s="1004" t="str">
        <f t="shared" ca="1" si="40"/>
        <v/>
      </c>
      <c r="AX131" s="1004" t="str">
        <f t="shared" ca="1" si="40"/>
        <v/>
      </c>
      <c r="AY131" s="1004" t="str">
        <f t="shared" ca="1" si="40"/>
        <v/>
      </c>
      <c r="AZ131" s="1004" t="str">
        <f t="shared" ca="1" si="40"/>
        <v/>
      </c>
      <c r="BA131" s="1004" t="str">
        <f t="shared" ca="1" si="40"/>
        <v/>
      </c>
      <c r="BB131" s="1004" t="str">
        <f t="shared" ca="1" si="40"/>
        <v/>
      </c>
      <c r="BC131" s="1004" t="str">
        <f t="shared" ca="1" si="40"/>
        <v/>
      </c>
      <c r="BD131" s="1004" t="str">
        <f t="shared" ca="1" si="40"/>
        <v/>
      </c>
      <c r="BE131" s="1004" t="str">
        <f t="shared" ca="1" si="40"/>
        <v/>
      </c>
      <c r="BF131" s="1004" t="str">
        <f t="shared" ca="1" si="40"/>
        <v/>
      </c>
      <c r="BG131" s="1004" t="str">
        <f t="shared" ca="1" si="40"/>
        <v/>
      </c>
      <c r="BH131" s="1004" t="str">
        <f t="shared" ca="1" si="40"/>
        <v/>
      </c>
      <c r="BI131" s="1004" t="str">
        <f t="shared" ca="1" si="40"/>
        <v/>
      </c>
      <c r="BJ131" s="1004" t="str">
        <f t="shared" ca="1" si="40"/>
        <v/>
      </c>
      <c r="BK131" s="1004" t="str">
        <f t="shared" ca="1" si="40"/>
        <v/>
      </c>
      <c r="BL131" s="1004" t="str">
        <f t="shared" ca="1" si="40"/>
        <v/>
      </c>
      <c r="BM131" s="1004" t="str">
        <f t="shared" ca="1" si="40"/>
        <v/>
      </c>
      <c r="BN131" s="1004" t="str">
        <f t="shared" ca="1" si="40"/>
        <v/>
      </c>
      <c r="BO131" s="1004" t="str">
        <f t="shared" ca="1" si="40"/>
        <v/>
      </c>
    </row>
    <row r="132" spans="2:67" ht="20.100000000000001" hidden="1" customHeight="1" outlineLevel="1">
      <c r="B132" s="1924"/>
      <c r="C132" s="1922"/>
      <c r="D132" s="958" t="s">
        <v>4397</v>
      </c>
      <c r="E132" s="958"/>
      <c r="F132" s="1002"/>
      <c r="G132" s="1003" t="s">
        <v>4685</v>
      </c>
      <c r="H132" s="1004"/>
      <c r="I132" s="1004"/>
      <c r="J132" s="1004"/>
      <c r="K132" s="1004"/>
      <c r="L132" s="1004">
        <f t="shared" ca="1" si="36"/>
        <v>0</v>
      </c>
      <c r="M132" s="1004">
        <f t="shared" ca="1" si="36"/>
        <v>0</v>
      </c>
      <c r="N132" s="1004">
        <f t="shared" ca="1" si="36"/>
        <v>0</v>
      </c>
      <c r="O132" s="1004">
        <f t="shared" ca="1" si="36"/>
        <v>0</v>
      </c>
      <c r="P132" s="1004">
        <f t="shared" ca="1" si="36"/>
        <v>0</v>
      </c>
      <c r="Q132" s="1004">
        <f t="shared" ca="1" si="36"/>
        <v>0</v>
      </c>
      <c r="R132" s="1004">
        <f t="shared" ca="1" si="36"/>
        <v>0</v>
      </c>
      <c r="S132" s="1004">
        <f t="shared" ca="1" si="36"/>
        <v>0</v>
      </c>
      <c r="T132" s="1004">
        <f t="shared" ca="1" si="36"/>
        <v>0</v>
      </c>
      <c r="U132" s="1004">
        <f t="shared" ca="1" si="36"/>
        <v>0</v>
      </c>
      <c r="V132" s="1004">
        <f t="shared" ca="1" si="36"/>
        <v>0</v>
      </c>
      <c r="W132" s="1004">
        <f t="shared" ca="1" si="36"/>
        <v>0</v>
      </c>
      <c r="X132" s="1004">
        <f t="shared" ca="1" si="36"/>
        <v>0</v>
      </c>
      <c r="Y132" s="1004">
        <f t="shared" ca="1" si="36"/>
        <v>0</v>
      </c>
      <c r="Z132" s="1004">
        <f t="shared" ca="1" si="36"/>
        <v>0</v>
      </c>
      <c r="AA132" s="1004">
        <f t="shared" ca="1" si="36"/>
        <v>0</v>
      </c>
      <c r="AB132" s="1004" t="str">
        <f t="shared" ca="1" si="40"/>
        <v/>
      </c>
      <c r="AC132" s="1004" t="str">
        <f t="shared" ca="1" si="40"/>
        <v/>
      </c>
      <c r="AD132" s="1004" t="str">
        <f t="shared" ca="1" si="40"/>
        <v/>
      </c>
      <c r="AE132" s="1004" t="str">
        <f t="shared" ca="1" si="40"/>
        <v/>
      </c>
      <c r="AF132" s="1004" t="str">
        <f t="shared" ca="1" si="40"/>
        <v/>
      </c>
      <c r="AG132" s="1004" t="str">
        <f t="shared" ca="1" si="40"/>
        <v/>
      </c>
      <c r="AH132" s="1004" t="str">
        <f t="shared" ca="1" si="40"/>
        <v/>
      </c>
      <c r="AI132" s="1004" t="str">
        <f t="shared" ca="1" si="40"/>
        <v/>
      </c>
      <c r="AJ132" s="1004" t="str">
        <f t="shared" ca="1" si="40"/>
        <v/>
      </c>
      <c r="AK132" s="1004" t="str">
        <f t="shared" ca="1" si="40"/>
        <v/>
      </c>
      <c r="AL132" s="1004" t="str">
        <f t="shared" ca="1" si="40"/>
        <v/>
      </c>
      <c r="AM132" s="1004" t="str">
        <f t="shared" ca="1" si="40"/>
        <v/>
      </c>
      <c r="AN132" s="1004" t="str">
        <f t="shared" ca="1" si="40"/>
        <v/>
      </c>
      <c r="AO132" s="1004" t="str">
        <f t="shared" ca="1" si="40"/>
        <v/>
      </c>
      <c r="AP132" s="1004" t="str">
        <f t="shared" ca="1" si="40"/>
        <v/>
      </c>
      <c r="AQ132" s="1004" t="str">
        <f t="shared" ca="1" si="40"/>
        <v/>
      </c>
      <c r="AR132" s="1004" t="str">
        <f t="shared" ca="1" si="40"/>
        <v/>
      </c>
      <c r="AS132" s="1004" t="str">
        <f t="shared" ca="1" si="40"/>
        <v/>
      </c>
      <c r="AT132" s="1004" t="str">
        <f t="shared" ca="1" si="40"/>
        <v/>
      </c>
      <c r="AU132" s="1004" t="str">
        <f t="shared" ca="1" si="40"/>
        <v/>
      </c>
      <c r="AV132" s="1004" t="str">
        <f t="shared" ca="1" si="40"/>
        <v/>
      </c>
      <c r="AW132" s="1004" t="str">
        <f t="shared" ca="1" si="40"/>
        <v/>
      </c>
      <c r="AX132" s="1004" t="str">
        <f t="shared" ca="1" si="40"/>
        <v/>
      </c>
      <c r="AY132" s="1004" t="str">
        <f t="shared" ca="1" si="40"/>
        <v/>
      </c>
      <c r="AZ132" s="1004" t="str">
        <f t="shared" ca="1" si="40"/>
        <v/>
      </c>
      <c r="BA132" s="1004" t="str">
        <f t="shared" ca="1" si="40"/>
        <v/>
      </c>
      <c r="BB132" s="1004" t="str">
        <f t="shared" ca="1" si="40"/>
        <v/>
      </c>
      <c r="BC132" s="1004" t="str">
        <f t="shared" ca="1" si="40"/>
        <v/>
      </c>
      <c r="BD132" s="1004" t="str">
        <f t="shared" ca="1" si="40"/>
        <v/>
      </c>
      <c r="BE132" s="1004" t="str">
        <f t="shared" ca="1" si="40"/>
        <v/>
      </c>
      <c r="BF132" s="1004" t="str">
        <f t="shared" ca="1" si="40"/>
        <v/>
      </c>
      <c r="BG132" s="1004" t="str">
        <f t="shared" ca="1" si="40"/>
        <v/>
      </c>
      <c r="BH132" s="1004" t="str">
        <f t="shared" ca="1" si="40"/>
        <v/>
      </c>
      <c r="BI132" s="1004" t="str">
        <f t="shared" ca="1" si="40"/>
        <v/>
      </c>
      <c r="BJ132" s="1004" t="str">
        <f t="shared" ca="1" si="40"/>
        <v/>
      </c>
      <c r="BK132" s="1004" t="str">
        <f t="shared" ca="1" si="40"/>
        <v/>
      </c>
      <c r="BL132" s="1004" t="str">
        <f t="shared" ca="1" si="40"/>
        <v/>
      </c>
      <c r="BM132" s="1004" t="str">
        <f t="shared" ca="1" si="40"/>
        <v/>
      </c>
      <c r="BN132" s="1004" t="str">
        <f t="shared" ca="1" si="40"/>
        <v/>
      </c>
      <c r="BO132" s="1004" t="str">
        <f t="shared" ca="1" si="40"/>
        <v/>
      </c>
    </row>
    <row r="133" spans="2:67" ht="20.100000000000001" hidden="1" customHeight="1" outlineLevel="1">
      <c r="B133" s="1924"/>
      <c r="C133" s="1922"/>
      <c r="D133" s="958" t="s">
        <v>4398</v>
      </c>
      <c r="E133" s="958"/>
      <c r="F133" s="1002"/>
      <c r="G133" s="1003" t="s">
        <v>4685</v>
      </c>
      <c r="H133" s="1004"/>
      <c r="I133" s="1004"/>
      <c r="J133" s="1004"/>
      <c r="K133" s="1004"/>
      <c r="L133" s="1004">
        <f t="shared" ca="1" si="36"/>
        <v>0</v>
      </c>
      <c r="M133" s="1004">
        <f t="shared" ca="1" si="36"/>
        <v>0</v>
      </c>
      <c r="N133" s="1004">
        <f t="shared" ca="1" si="36"/>
        <v>0</v>
      </c>
      <c r="O133" s="1004">
        <f t="shared" ca="1" si="36"/>
        <v>0</v>
      </c>
      <c r="P133" s="1004">
        <f t="shared" ca="1" si="36"/>
        <v>0</v>
      </c>
      <c r="Q133" s="1004">
        <f t="shared" ca="1" si="36"/>
        <v>0</v>
      </c>
      <c r="R133" s="1004">
        <f t="shared" ca="1" si="36"/>
        <v>0</v>
      </c>
      <c r="S133" s="1004">
        <f t="shared" ca="1" si="36"/>
        <v>0</v>
      </c>
      <c r="T133" s="1004">
        <f t="shared" ca="1" si="36"/>
        <v>0</v>
      </c>
      <c r="U133" s="1004">
        <f t="shared" ca="1" si="36"/>
        <v>0</v>
      </c>
      <c r="V133" s="1004">
        <f t="shared" ca="1" si="36"/>
        <v>0</v>
      </c>
      <c r="W133" s="1004">
        <f t="shared" ca="1" si="36"/>
        <v>0</v>
      </c>
      <c r="X133" s="1004">
        <f t="shared" ca="1" si="36"/>
        <v>0</v>
      </c>
      <c r="Y133" s="1004">
        <f t="shared" ca="1" si="36"/>
        <v>0</v>
      </c>
      <c r="Z133" s="1004">
        <f t="shared" ca="1" si="36"/>
        <v>0</v>
      </c>
      <c r="AA133" s="1004">
        <f t="shared" ca="1" si="36"/>
        <v>0</v>
      </c>
      <c r="AB133" s="1004" t="str">
        <f t="shared" ca="1" si="40"/>
        <v/>
      </c>
      <c r="AC133" s="1004" t="str">
        <f t="shared" ca="1" si="40"/>
        <v/>
      </c>
      <c r="AD133" s="1004" t="str">
        <f t="shared" ca="1" si="40"/>
        <v/>
      </c>
      <c r="AE133" s="1004" t="str">
        <f t="shared" ca="1" si="40"/>
        <v/>
      </c>
      <c r="AF133" s="1004" t="str">
        <f t="shared" ca="1" si="40"/>
        <v/>
      </c>
      <c r="AG133" s="1004" t="str">
        <f t="shared" ca="1" si="40"/>
        <v/>
      </c>
      <c r="AH133" s="1004" t="str">
        <f t="shared" ca="1" si="40"/>
        <v/>
      </c>
      <c r="AI133" s="1004" t="str">
        <f t="shared" ca="1" si="40"/>
        <v/>
      </c>
      <c r="AJ133" s="1004" t="str">
        <f t="shared" ca="1" si="40"/>
        <v/>
      </c>
      <c r="AK133" s="1004" t="str">
        <f t="shared" ca="1" si="40"/>
        <v/>
      </c>
      <c r="AL133" s="1004" t="str">
        <f t="shared" ca="1" si="40"/>
        <v/>
      </c>
      <c r="AM133" s="1004" t="str">
        <f t="shared" ca="1" si="40"/>
        <v/>
      </c>
      <c r="AN133" s="1004" t="str">
        <f t="shared" ca="1" si="40"/>
        <v/>
      </c>
      <c r="AO133" s="1004" t="str">
        <f t="shared" ca="1" si="40"/>
        <v/>
      </c>
      <c r="AP133" s="1004" t="str">
        <f t="shared" ca="1" si="40"/>
        <v/>
      </c>
      <c r="AQ133" s="1004" t="str">
        <f t="shared" ca="1" si="40"/>
        <v/>
      </c>
      <c r="AR133" s="1004" t="str">
        <f t="shared" ca="1" si="40"/>
        <v/>
      </c>
      <c r="AS133" s="1004" t="str">
        <f t="shared" ca="1" si="40"/>
        <v/>
      </c>
      <c r="AT133" s="1004" t="str">
        <f t="shared" ca="1" si="40"/>
        <v/>
      </c>
      <c r="AU133" s="1004" t="str">
        <f t="shared" ca="1" si="40"/>
        <v/>
      </c>
      <c r="AV133" s="1004" t="str">
        <f t="shared" ca="1" si="40"/>
        <v/>
      </c>
      <c r="AW133" s="1004" t="str">
        <f t="shared" ca="1" si="40"/>
        <v/>
      </c>
      <c r="AX133" s="1004" t="str">
        <f t="shared" ca="1" si="40"/>
        <v/>
      </c>
      <c r="AY133" s="1004" t="str">
        <f t="shared" ca="1" si="40"/>
        <v/>
      </c>
      <c r="AZ133" s="1004" t="str">
        <f t="shared" ca="1" si="40"/>
        <v/>
      </c>
      <c r="BA133" s="1004" t="str">
        <f t="shared" ca="1" si="40"/>
        <v/>
      </c>
      <c r="BB133" s="1004" t="str">
        <f t="shared" ca="1" si="40"/>
        <v/>
      </c>
      <c r="BC133" s="1004" t="str">
        <f t="shared" ca="1" si="40"/>
        <v/>
      </c>
      <c r="BD133" s="1004" t="str">
        <f t="shared" ca="1" si="40"/>
        <v/>
      </c>
      <c r="BE133" s="1004" t="str">
        <f t="shared" ca="1" si="40"/>
        <v/>
      </c>
      <c r="BF133" s="1004" t="str">
        <f t="shared" ca="1" si="40"/>
        <v/>
      </c>
      <c r="BG133" s="1004" t="str">
        <f t="shared" ca="1" si="40"/>
        <v/>
      </c>
      <c r="BH133" s="1004" t="str">
        <f t="shared" ca="1" si="40"/>
        <v/>
      </c>
      <c r="BI133" s="1004" t="str">
        <f t="shared" ca="1" si="40"/>
        <v/>
      </c>
      <c r="BJ133" s="1004" t="str">
        <f t="shared" ca="1" si="40"/>
        <v/>
      </c>
      <c r="BK133" s="1004" t="str">
        <f t="shared" ca="1" si="40"/>
        <v/>
      </c>
      <c r="BL133" s="1004" t="str">
        <f t="shared" ca="1" si="40"/>
        <v/>
      </c>
      <c r="BM133" s="1004" t="str">
        <f t="shared" ca="1" si="40"/>
        <v/>
      </c>
      <c r="BN133" s="1004" t="str">
        <f t="shared" ca="1" si="40"/>
        <v/>
      </c>
      <c r="BO133" s="1004" t="str">
        <f t="shared" ca="1" si="40"/>
        <v/>
      </c>
    </row>
    <row r="134" spans="2:67" ht="20.100000000000001" hidden="1" customHeight="1" outlineLevel="1">
      <c r="B134" s="1924"/>
      <c r="C134" s="1922"/>
      <c r="D134" s="958" t="s">
        <v>4399</v>
      </c>
      <c r="E134" s="1005"/>
      <c r="F134" s="1002"/>
      <c r="G134" s="1003" t="s">
        <v>4685</v>
      </c>
      <c r="H134" s="1004"/>
      <c r="I134" s="1004"/>
      <c r="J134" s="1004"/>
      <c r="K134" s="1004"/>
      <c r="L134" s="1004">
        <f t="shared" ca="1" si="36"/>
        <v>0</v>
      </c>
      <c r="M134" s="1004">
        <f t="shared" ca="1" si="36"/>
        <v>0</v>
      </c>
      <c r="N134" s="1004">
        <f t="shared" ca="1" si="36"/>
        <v>0</v>
      </c>
      <c r="O134" s="1004">
        <f t="shared" ca="1" si="36"/>
        <v>0</v>
      </c>
      <c r="P134" s="1004">
        <f t="shared" ca="1" si="36"/>
        <v>0</v>
      </c>
      <c r="Q134" s="1004">
        <f t="shared" ca="1" si="36"/>
        <v>0</v>
      </c>
      <c r="R134" s="1004">
        <f t="shared" ca="1" si="36"/>
        <v>0</v>
      </c>
      <c r="S134" s="1004">
        <f t="shared" ca="1" si="36"/>
        <v>0</v>
      </c>
      <c r="T134" s="1004">
        <f t="shared" ca="1" si="36"/>
        <v>0</v>
      </c>
      <c r="U134" s="1004">
        <f t="shared" ca="1" si="36"/>
        <v>0</v>
      </c>
      <c r="V134" s="1004">
        <f t="shared" ca="1" si="36"/>
        <v>0</v>
      </c>
      <c r="W134" s="1004">
        <f t="shared" ca="1" si="36"/>
        <v>0</v>
      </c>
      <c r="X134" s="1004">
        <f t="shared" ca="1" si="36"/>
        <v>0</v>
      </c>
      <c r="Y134" s="1004">
        <f t="shared" ca="1" si="36"/>
        <v>0</v>
      </c>
      <c r="Z134" s="1004">
        <f t="shared" ca="1" si="36"/>
        <v>0</v>
      </c>
      <c r="AA134" s="1004">
        <f t="shared" ca="1" si="36"/>
        <v>0</v>
      </c>
      <c r="AB134" s="1004" t="str">
        <f t="shared" ca="1" si="40"/>
        <v/>
      </c>
      <c r="AC134" s="1004" t="str">
        <f t="shared" ca="1" si="40"/>
        <v/>
      </c>
      <c r="AD134" s="1004" t="str">
        <f t="shared" ca="1" si="40"/>
        <v/>
      </c>
      <c r="AE134" s="1004" t="str">
        <f t="shared" ca="1" si="40"/>
        <v/>
      </c>
      <c r="AF134" s="1004" t="str">
        <f t="shared" ca="1" si="40"/>
        <v/>
      </c>
      <c r="AG134" s="1004" t="str">
        <f t="shared" ca="1" si="40"/>
        <v/>
      </c>
      <c r="AH134" s="1004" t="str">
        <f t="shared" ca="1" si="40"/>
        <v/>
      </c>
      <c r="AI134" s="1004" t="str">
        <f t="shared" ca="1" si="40"/>
        <v/>
      </c>
      <c r="AJ134" s="1004" t="str">
        <f t="shared" ca="1" si="40"/>
        <v/>
      </c>
      <c r="AK134" s="1004" t="str">
        <f t="shared" ca="1" si="40"/>
        <v/>
      </c>
      <c r="AL134" s="1004" t="str">
        <f t="shared" ca="1" si="40"/>
        <v/>
      </c>
      <c r="AM134" s="1004" t="str">
        <f t="shared" ca="1" si="40"/>
        <v/>
      </c>
      <c r="AN134" s="1004" t="str">
        <f t="shared" ca="1" si="40"/>
        <v/>
      </c>
      <c r="AO134" s="1004" t="str">
        <f t="shared" ca="1" si="40"/>
        <v/>
      </c>
      <c r="AP134" s="1004" t="str">
        <f t="shared" ca="1" si="40"/>
        <v/>
      </c>
      <c r="AQ134" s="1004" t="str">
        <f t="shared" ca="1" si="40"/>
        <v/>
      </c>
      <c r="AR134" s="1004" t="str">
        <f t="shared" ca="1" si="40"/>
        <v/>
      </c>
      <c r="AS134" s="1004" t="str">
        <f t="shared" ca="1" si="40"/>
        <v/>
      </c>
      <c r="AT134" s="1004" t="str">
        <f t="shared" ca="1" si="40"/>
        <v/>
      </c>
      <c r="AU134" s="1004" t="str">
        <f t="shared" ca="1" si="40"/>
        <v/>
      </c>
      <c r="AV134" s="1004" t="str">
        <f t="shared" ca="1" si="40"/>
        <v/>
      </c>
      <c r="AW134" s="1004" t="str">
        <f t="shared" ca="1" si="40"/>
        <v/>
      </c>
      <c r="AX134" s="1004" t="str">
        <f t="shared" ca="1" si="40"/>
        <v/>
      </c>
      <c r="AY134" s="1004" t="str">
        <f t="shared" ca="1" si="40"/>
        <v/>
      </c>
      <c r="AZ134" s="1004" t="str">
        <f t="shared" ca="1" si="40"/>
        <v/>
      </c>
      <c r="BA134" s="1004" t="str">
        <f t="shared" ca="1" si="40"/>
        <v/>
      </c>
      <c r="BB134" s="1004" t="str">
        <f t="shared" ca="1" si="40"/>
        <v/>
      </c>
      <c r="BC134" s="1004" t="str">
        <f t="shared" ca="1" si="40"/>
        <v/>
      </c>
      <c r="BD134" s="1004" t="str">
        <f t="shared" ca="1" si="40"/>
        <v/>
      </c>
      <c r="BE134" s="1004" t="str">
        <f t="shared" ca="1" si="40"/>
        <v/>
      </c>
      <c r="BF134" s="1004" t="str">
        <f t="shared" ca="1" si="40"/>
        <v/>
      </c>
      <c r="BG134" s="1004" t="str">
        <f t="shared" ca="1" si="40"/>
        <v/>
      </c>
      <c r="BH134" s="1004" t="str">
        <f t="shared" ca="1" si="40"/>
        <v/>
      </c>
      <c r="BI134" s="1004" t="str">
        <f t="shared" ca="1" si="40"/>
        <v/>
      </c>
      <c r="BJ134" s="1004" t="str">
        <f t="shared" ca="1" si="40"/>
        <v/>
      </c>
      <c r="BK134" s="1004" t="str">
        <f t="shared" ca="1" si="40"/>
        <v/>
      </c>
      <c r="BL134" s="1004" t="str">
        <f t="shared" ca="1" si="40"/>
        <v/>
      </c>
      <c r="BM134" s="1004" t="str">
        <f t="shared" ca="1" si="40"/>
        <v/>
      </c>
      <c r="BN134" s="1004" t="str">
        <f t="shared" ca="1" si="40"/>
        <v/>
      </c>
      <c r="BO134" s="1004" t="str">
        <f t="shared" ca="1" si="40"/>
        <v/>
      </c>
    </row>
    <row r="135" spans="2:67" ht="20.100000000000001" hidden="1" customHeight="1" outlineLevel="1">
      <c r="B135" s="1924"/>
      <c r="C135" s="1922"/>
      <c r="D135" s="958" t="s">
        <v>4400</v>
      </c>
      <c r="E135" s="958"/>
      <c r="F135" s="1002"/>
      <c r="G135" s="1003" t="s">
        <v>4685</v>
      </c>
      <c r="H135" s="1004"/>
      <c r="I135" s="1004"/>
      <c r="J135" s="1004"/>
      <c r="K135" s="1004"/>
      <c r="L135" s="1004">
        <f t="shared" ref="L135:BO139" ca="1" si="41">L25</f>
        <v>0</v>
      </c>
      <c r="M135" s="1004">
        <f t="shared" ca="1" si="41"/>
        <v>0</v>
      </c>
      <c r="N135" s="1004">
        <f t="shared" ca="1" si="41"/>
        <v>0</v>
      </c>
      <c r="O135" s="1004">
        <f t="shared" ca="1" si="41"/>
        <v>0</v>
      </c>
      <c r="P135" s="1004">
        <f t="shared" ca="1" si="41"/>
        <v>0</v>
      </c>
      <c r="Q135" s="1004">
        <f t="shared" ca="1" si="41"/>
        <v>0</v>
      </c>
      <c r="R135" s="1004">
        <f t="shared" ca="1" si="41"/>
        <v>0</v>
      </c>
      <c r="S135" s="1004">
        <f t="shared" ca="1" si="41"/>
        <v>0</v>
      </c>
      <c r="T135" s="1004">
        <f t="shared" ca="1" si="41"/>
        <v>0</v>
      </c>
      <c r="U135" s="1004">
        <f t="shared" ca="1" si="41"/>
        <v>0</v>
      </c>
      <c r="V135" s="1004">
        <f t="shared" ca="1" si="41"/>
        <v>0</v>
      </c>
      <c r="W135" s="1004">
        <f t="shared" ca="1" si="41"/>
        <v>0</v>
      </c>
      <c r="X135" s="1004">
        <f t="shared" ca="1" si="41"/>
        <v>0</v>
      </c>
      <c r="Y135" s="1004">
        <f t="shared" ca="1" si="41"/>
        <v>0</v>
      </c>
      <c r="Z135" s="1004">
        <f t="shared" ca="1" si="41"/>
        <v>0</v>
      </c>
      <c r="AA135" s="1004">
        <f t="shared" ca="1" si="41"/>
        <v>0</v>
      </c>
      <c r="AB135" s="1004" t="str">
        <f t="shared" ca="1" si="41"/>
        <v/>
      </c>
      <c r="AC135" s="1004" t="str">
        <f t="shared" ca="1" si="41"/>
        <v/>
      </c>
      <c r="AD135" s="1004" t="str">
        <f t="shared" ca="1" si="41"/>
        <v/>
      </c>
      <c r="AE135" s="1004" t="str">
        <f t="shared" ca="1" si="41"/>
        <v/>
      </c>
      <c r="AF135" s="1004" t="str">
        <f t="shared" ca="1" si="41"/>
        <v/>
      </c>
      <c r="AG135" s="1004" t="str">
        <f t="shared" ca="1" si="41"/>
        <v/>
      </c>
      <c r="AH135" s="1004" t="str">
        <f t="shared" ca="1" si="41"/>
        <v/>
      </c>
      <c r="AI135" s="1004" t="str">
        <f t="shared" ca="1" si="41"/>
        <v/>
      </c>
      <c r="AJ135" s="1004" t="str">
        <f t="shared" ca="1" si="41"/>
        <v/>
      </c>
      <c r="AK135" s="1004" t="str">
        <f t="shared" ca="1" si="41"/>
        <v/>
      </c>
      <c r="AL135" s="1004" t="str">
        <f t="shared" ca="1" si="41"/>
        <v/>
      </c>
      <c r="AM135" s="1004" t="str">
        <f t="shared" ca="1" si="41"/>
        <v/>
      </c>
      <c r="AN135" s="1004" t="str">
        <f t="shared" ca="1" si="41"/>
        <v/>
      </c>
      <c r="AO135" s="1004" t="str">
        <f t="shared" ca="1" si="41"/>
        <v/>
      </c>
      <c r="AP135" s="1004" t="str">
        <f t="shared" ca="1" si="41"/>
        <v/>
      </c>
      <c r="AQ135" s="1004" t="str">
        <f t="shared" ca="1" si="41"/>
        <v/>
      </c>
      <c r="AR135" s="1004" t="str">
        <f t="shared" ca="1" si="41"/>
        <v/>
      </c>
      <c r="AS135" s="1004" t="str">
        <f t="shared" ca="1" si="41"/>
        <v/>
      </c>
      <c r="AT135" s="1004" t="str">
        <f t="shared" ca="1" si="41"/>
        <v/>
      </c>
      <c r="AU135" s="1004" t="str">
        <f t="shared" ca="1" si="41"/>
        <v/>
      </c>
      <c r="AV135" s="1004" t="str">
        <f t="shared" ca="1" si="41"/>
        <v/>
      </c>
      <c r="AW135" s="1004" t="str">
        <f t="shared" ca="1" si="41"/>
        <v/>
      </c>
      <c r="AX135" s="1004" t="str">
        <f t="shared" ca="1" si="41"/>
        <v/>
      </c>
      <c r="AY135" s="1004" t="str">
        <f t="shared" ca="1" si="41"/>
        <v/>
      </c>
      <c r="AZ135" s="1004" t="str">
        <f t="shared" ca="1" si="41"/>
        <v/>
      </c>
      <c r="BA135" s="1004" t="str">
        <f t="shared" ca="1" si="41"/>
        <v/>
      </c>
      <c r="BB135" s="1004" t="str">
        <f t="shared" ca="1" si="41"/>
        <v/>
      </c>
      <c r="BC135" s="1004" t="str">
        <f t="shared" ca="1" si="41"/>
        <v/>
      </c>
      <c r="BD135" s="1004" t="str">
        <f t="shared" ca="1" si="41"/>
        <v/>
      </c>
      <c r="BE135" s="1004" t="str">
        <f t="shared" ca="1" si="41"/>
        <v/>
      </c>
      <c r="BF135" s="1004" t="str">
        <f t="shared" ca="1" si="41"/>
        <v/>
      </c>
      <c r="BG135" s="1004" t="str">
        <f t="shared" ca="1" si="41"/>
        <v/>
      </c>
      <c r="BH135" s="1004" t="str">
        <f t="shared" ca="1" si="41"/>
        <v/>
      </c>
      <c r="BI135" s="1004" t="str">
        <f t="shared" ca="1" si="41"/>
        <v/>
      </c>
      <c r="BJ135" s="1004" t="str">
        <f t="shared" ca="1" si="41"/>
        <v/>
      </c>
      <c r="BK135" s="1004" t="str">
        <f t="shared" ca="1" si="41"/>
        <v/>
      </c>
      <c r="BL135" s="1004" t="str">
        <f t="shared" ca="1" si="41"/>
        <v/>
      </c>
      <c r="BM135" s="1004" t="str">
        <f t="shared" ca="1" si="41"/>
        <v/>
      </c>
      <c r="BN135" s="1004" t="str">
        <f t="shared" ca="1" si="41"/>
        <v/>
      </c>
      <c r="BO135" s="1004" t="str">
        <f t="shared" ca="1" si="41"/>
        <v/>
      </c>
    </row>
    <row r="136" spans="2:67" ht="20.100000000000001" hidden="1" customHeight="1" outlineLevel="1">
      <c r="B136" s="1924"/>
      <c r="C136" s="1922"/>
      <c r="D136" s="958" t="s">
        <v>4401</v>
      </c>
      <c r="E136" s="958"/>
      <c r="F136" s="1002"/>
      <c r="G136" s="1003" t="s">
        <v>4685</v>
      </c>
      <c r="H136" s="1004"/>
      <c r="I136" s="1004"/>
      <c r="J136" s="1004"/>
      <c r="K136" s="1004"/>
      <c r="L136" s="1004">
        <f t="shared" ca="1" si="41"/>
        <v>0</v>
      </c>
      <c r="M136" s="1004">
        <f t="shared" ca="1" si="41"/>
        <v>0</v>
      </c>
      <c r="N136" s="1004">
        <f t="shared" ca="1" si="41"/>
        <v>0</v>
      </c>
      <c r="O136" s="1004">
        <f t="shared" ca="1" si="41"/>
        <v>0</v>
      </c>
      <c r="P136" s="1004">
        <f t="shared" ca="1" si="41"/>
        <v>0</v>
      </c>
      <c r="Q136" s="1004">
        <f t="shared" ca="1" si="41"/>
        <v>0</v>
      </c>
      <c r="R136" s="1004">
        <f t="shared" ca="1" si="41"/>
        <v>0</v>
      </c>
      <c r="S136" s="1004">
        <f t="shared" ca="1" si="41"/>
        <v>0</v>
      </c>
      <c r="T136" s="1004">
        <f t="shared" ca="1" si="41"/>
        <v>0</v>
      </c>
      <c r="U136" s="1004">
        <f t="shared" ca="1" si="41"/>
        <v>0</v>
      </c>
      <c r="V136" s="1004">
        <f t="shared" ca="1" si="41"/>
        <v>0</v>
      </c>
      <c r="W136" s="1004">
        <f t="shared" ca="1" si="41"/>
        <v>0</v>
      </c>
      <c r="X136" s="1004">
        <f t="shared" ca="1" si="41"/>
        <v>0</v>
      </c>
      <c r="Y136" s="1004">
        <f t="shared" ca="1" si="41"/>
        <v>0</v>
      </c>
      <c r="Z136" s="1004">
        <f t="shared" ca="1" si="41"/>
        <v>0</v>
      </c>
      <c r="AA136" s="1004">
        <f t="shared" ca="1" si="41"/>
        <v>0</v>
      </c>
      <c r="AB136" s="1004" t="str">
        <f t="shared" ca="1" si="41"/>
        <v/>
      </c>
      <c r="AC136" s="1004" t="str">
        <f t="shared" ca="1" si="41"/>
        <v/>
      </c>
      <c r="AD136" s="1004" t="str">
        <f t="shared" ca="1" si="41"/>
        <v/>
      </c>
      <c r="AE136" s="1004" t="str">
        <f t="shared" ca="1" si="41"/>
        <v/>
      </c>
      <c r="AF136" s="1004" t="str">
        <f t="shared" ca="1" si="41"/>
        <v/>
      </c>
      <c r="AG136" s="1004" t="str">
        <f t="shared" ca="1" si="41"/>
        <v/>
      </c>
      <c r="AH136" s="1004" t="str">
        <f t="shared" ca="1" si="41"/>
        <v/>
      </c>
      <c r="AI136" s="1004" t="str">
        <f t="shared" ca="1" si="41"/>
        <v/>
      </c>
      <c r="AJ136" s="1004" t="str">
        <f t="shared" ca="1" si="41"/>
        <v/>
      </c>
      <c r="AK136" s="1004" t="str">
        <f t="shared" ca="1" si="41"/>
        <v/>
      </c>
      <c r="AL136" s="1004" t="str">
        <f t="shared" ca="1" si="41"/>
        <v/>
      </c>
      <c r="AM136" s="1004" t="str">
        <f t="shared" ca="1" si="41"/>
        <v/>
      </c>
      <c r="AN136" s="1004" t="str">
        <f t="shared" ca="1" si="41"/>
        <v/>
      </c>
      <c r="AO136" s="1004" t="str">
        <f t="shared" ca="1" si="41"/>
        <v/>
      </c>
      <c r="AP136" s="1004" t="str">
        <f t="shared" ca="1" si="41"/>
        <v/>
      </c>
      <c r="AQ136" s="1004" t="str">
        <f t="shared" ca="1" si="41"/>
        <v/>
      </c>
      <c r="AR136" s="1004" t="str">
        <f t="shared" ca="1" si="41"/>
        <v/>
      </c>
      <c r="AS136" s="1004" t="str">
        <f t="shared" ca="1" si="41"/>
        <v/>
      </c>
      <c r="AT136" s="1004" t="str">
        <f t="shared" ca="1" si="41"/>
        <v/>
      </c>
      <c r="AU136" s="1004" t="str">
        <f t="shared" ca="1" si="41"/>
        <v/>
      </c>
      <c r="AV136" s="1004" t="str">
        <f t="shared" ca="1" si="41"/>
        <v/>
      </c>
      <c r="AW136" s="1004" t="str">
        <f t="shared" ca="1" si="41"/>
        <v/>
      </c>
      <c r="AX136" s="1004" t="str">
        <f t="shared" ca="1" si="41"/>
        <v/>
      </c>
      <c r="AY136" s="1004" t="str">
        <f t="shared" ca="1" si="41"/>
        <v/>
      </c>
      <c r="AZ136" s="1004" t="str">
        <f t="shared" ca="1" si="41"/>
        <v/>
      </c>
      <c r="BA136" s="1004" t="str">
        <f t="shared" ca="1" si="41"/>
        <v/>
      </c>
      <c r="BB136" s="1004" t="str">
        <f t="shared" ca="1" si="41"/>
        <v/>
      </c>
      <c r="BC136" s="1004" t="str">
        <f t="shared" ca="1" si="41"/>
        <v/>
      </c>
      <c r="BD136" s="1004" t="str">
        <f t="shared" ca="1" si="41"/>
        <v/>
      </c>
      <c r="BE136" s="1004" t="str">
        <f t="shared" ca="1" si="41"/>
        <v/>
      </c>
      <c r="BF136" s="1004" t="str">
        <f t="shared" ca="1" si="41"/>
        <v/>
      </c>
      <c r="BG136" s="1004" t="str">
        <f t="shared" ca="1" si="41"/>
        <v/>
      </c>
      <c r="BH136" s="1004" t="str">
        <f t="shared" ca="1" si="41"/>
        <v/>
      </c>
      <c r="BI136" s="1004" t="str">
        <f t="shared" ca="1" si="41"/>
        <v/>
      </c>
      <c r="BJ136" s="1004" t="str">
        <f t="shared" ca="1" si="41"/>
        <v/>
      </c>
      <c r="BK136" s="1004" t="str">
        <f t="shared" ca="1" si="41"/>
        <v/>
      </c>
      <c r="BL136" s="1004" t="str">
        <f t="shared" ca="1" si="41"/>
        <v/>
      </c>
      <c r="BM136" s="1004" t="str">
        <f t="shared" ca="1" si="41"/>
        <v/>
      </c>
      <c r="BN136" s="1004" t="str">
        <f t="shared" ca="1" si="41"/>
        <v/>
      </c>
      <c r="BO136" s="1004" t="str">
        <f t="shared" ca="1" si="41"/>
        <v/>
      </c>
    </row>
    <row r="137" spans="2:67" ht="20.100000000000001" hidden="1" customHeight="1" outlineLevel="1">
      <c r="B137" s="1924"/>
      <c r="C137" s="1922"/>
      <c r="D137" s="958" t="s">
        <v>4402</v>
      </c>
      <c r="E137" s="958"/>
      <c r="F137" s="1002"/>
      <c r="G137" s="1003" t="s">
        <v>4685</v>
      </c>
      <c r="H137" s="1004"/>
      <c r="I137" s="1004"/>
      <c r="J137" s="1004"/>
      <c r="K137" s="1004"/>
      <c r="L137" s="1004">
        <f t="shared" ca="1" si="41"/>
        <v>0</v>
      </c>
      <c r="M137" s="1004">
        <f t="shared" ca="1" si="41"/>
        <v>0</v>
      </c>
      <c r="N137" s="1004">
        <f t="shared" ca="1" si="41"/>
        <v>0</v>
      </c>
      <c r="O137" s="1004">
        <f t="shared" ca="1" si="41"/>
        <v>0</v>
      </c>
      <c r="P137" s="1004">
        <f t="shared" ca="1" si="41"/>
        <v>0</v>
      </c>
      <c r="Q137" s="1004">
        <f t="shared" ca="1" si="41"/>
        <v>0</v>
      </c>
      <c r="R137" s="1004">
        <f t="shared" ca="1" si="41"/>
        <v>0</v>
      </c>
      <c r="S137" s="1004">
        <f t="shared" ca="1" si="41"/>
        <v>0</v>
      </c>
      <c r="T137" s="1004">
        <f t="shared" ca="1" si="41"/>
        <v>0</v>
      </c>
      <c r="U137" s="1004">
        <f t="shared" ca="1" si="41"/>
        <v>0</v>
      </c>
      <c r="V137" s="1004">
        <f t="shared" ca="1" si="41"/>
        <v>0</v>
      </c>
      <c r="W137" s="1004">
        <f t="shared" ca="1" si="41"/>
        <v>0</v>
      </c>
      <c r="X137" s="1004">
        <f t="shared" ca="1" si="41"/>
        <v>0</v>
      </c>
      <c r="Y137" s="1004">
        <f t="shared" ca="1" si="41"/>
        <v>0</v>
      </c>
      <c r="Z137" s="1004">
        <f t="shared" ca="1" si="41"/>
        <v>0</v>
      </c>
      <c r="AA137" s="1004">
        <f t="shared" ca="1" si="41"/>
        <v>0</v>
      </c>
      <c r="AB137" s="1004" t="str">
        <f t="shared" ca="1" si="41"/>
        <v/>
      </c>
      <c r="AC137" s="1004" t="str">
        <f t="shared" ca="1" si="41"/>
        <v/>
      </c>
      <c r="AD137" s="1004" t="str">
        <f t="shared" ca="1" si="41"/>
        <v/>
      </c>
      <c r="AE137" s="1004" t="str">
        <f t="shared" ca="1" si="41"/>
        <v/>
      </c>
      <c r="AF137" s="1004" t="str">
        <f t="shared" ca="1" si="41"/>
        <v/>
      </c>
      <c r="AG137" s="1004" t="str">
        <f t="shared" ca="1" si="41"/>
        <v/>
      </c>
      <c r="AH137" s="1004" t="str">
        <f t="shared" ca="1" si="41"/>
        <v/>
      </c>
      <c r="AI137" s="1004" t="str">
        <f t="shared" ca="1" si="41"/>
        <v/>
      </c>
      <c r="AJ137" s="1004" t="str">
        <f t="shared" ca="1" si="41"/>
        <v/>
      </c>
      <c r="AK137" s="1004" t="str">
        <f t="shared" ca="1" si="41"/>
        <v/>
      </c>
      <c r="AL137" s="1004" t="str">
        <f t="shared" ca="1" si="41"/>
        <v/>
      </c>
      <c r="AM137" s="1004" t="str">
        <f t="shared" ca="1" si="41"/>
        <v/>
      </c>
      <c r="AN137" s="1004" t="str">
        <f t="shared" ca="1" si="41"/>
        <v/>
      </c>
      <c r="AO137" s="1004" t="str">
        <f t="shared" ca="1" si="41"/>
        <v/>
      </c>
      <c r="AP137" s="1004" t="str">
        <f t="shared" ca="1" si="41"/>
        <v/>
      </c>
      <c r="AQ137" s="1004" t="str">
        <f t="shared" ca="1" si="41"/>
        <v/>
      </c>
      <c r="AR137" s="1004" t="str">
        <f t="shared" ca="1" si="41"/>
        <v/>
      </c>
      <c r="AS137" s="1004" t="str">
        <f t="shared" ca="1" si="41"/>
        <v/>
      </c>
      <c r="AT137" s="1004" t="str">
        <f t="shared" ca="1" si="41"/>
        <v/>
      </c>
      <c r="AU137" s="1004" t="str">
        <f t="shared" ca="1" si="41"/>
        <v/>
      </c>
      <c r="AV137" s="1004" t="str">
        <f t="shared" ca="1" si="41"/>
        <v/>
      </c>
      <c r="AW137" s="1004" t="str">
        <f t="shared" ca="1" si="41"/>
        <v/>
      </c>
      <c r="AX137" s="1004" t="str">
        <f t="shared" ca="1" si="41"/>
        <v/>
      </c>
      <c r="AY137" s="1004" t="str">
        <f t="shared" ca="1" si="41"/>
        <v/>
      </c>
      <c r="AZ137" s="1004" t="str">
        <f t="shared" ca="1" si="41"/>
        <v/>
      </c>
      <c r="BA137" s="1004" t="str">
        <f t="shared" ca="1" si="41"/>
        <v/>
      </c>
      <c r="BB137" s="1004" t="str">
        <f t="shared" ca="1" si="41"/>
        <v/>
      </c>
      <c r="BC137" s="1004" t="str">
        <f t="shared" ca="1" si="41"/>
        <v/>
      </c>
      <c r="BD137" s="1004" t="str">
        <f t="shared" ca="1" si="41"/>
        <v/>
      </c>
      <c r="BE137" s="1004" t="str">
        <f t="shared" ca="1" si="41"/>
        <v/>
      </c>
      <c r="BF137" s="1004" t="str">
        <f t="shared" ca="1" si="41"/>
        <v/>
      </c>
      <c r="BG137" s="1004" t="str">
        <f t="shared" ca="1" si="41"/>
        <v/>
      </c>
      <c r="BH137" s="1004" t="str">
        <f t="shared" ca="1" si="41"/>
        <v/>
      </c>
      <c r="BI137" s="1004" t="str">
        <f t="shared" ca="1" si="41"/>
        <v/>
      </c>
      <c r="BJ137" s="1004" t="str">
        <f t="shared" ca="1" si="41"/>
        <v/>
      </c>
      <c r="BK137" s="1004" t="str">
        <f t="shared" ca="1" si="41"/>
        <v/>
      </c>
      <c r="BL137" s="1004" t="str">
        <f t="shared" ca="1" si="41"/>
        <v/>
      </c>
      <c r="BM137" s="1004" t="str">
        <f t="shared" ca="1" si="41"/>
        <v/>
      </c>
      <c r="BN137" s="1004" t="str">
        <f t="shared" ca="1" si="41"/>
        <v/>
      </c>
      <c r="BO137" s="1004" t="str">
        <f t="shared" ca="1" si="41"/>
        <v/>
      </c>
    </row>
    <row r="138" spans="2:67" ht="20.100000000000001" hidden="1" customHeight="1" outlineLevel="1">
      <c r="B138" s="1924"/>
      <c r="C138" s="1922"/>
      <c r="D138" s="958" t="s">
        <v>4403</v>
      </c>
      <c r="E138" s="958"/>
      <c r="F138" s="1002"/>
      <c r="G138" s="1003" t="s">
        <v>4685</v>
      </c>
      <c r="H138" s="1004"/>
      <c r="I138" s="1004"/>
      <c r="J138" s="1004"/>
      <c r="K138" s="1004"/>
      <c r="L138" s="1004">
        <f t="shared" ca="1" si="41"/>
        <v>0</v>
      </c>
      <c r="M138" s="1004">
        <f t="shared" ca="1" si="41"/>
        <v>0</v>
      </c>
      <c r="N138" s="1004">
        <f t="shared" ca="1" si="41"/>
        <v>0</v>
      </c>
      <c r="O138" s="1004">
        <f t="shared" ca="1" si="41"/>
        <v>0</v>
      </c>
      <c r="P138" s="1004">
        <f t="shared" ca="1" si="41"/>
        <v>0</v>
      </c>
      <c r="Q138" s="1004">
        <f t="shared" ca="1" si="41"/>
        <v>0</v>
      </c>
      <c r="R138" s="1004">
        <f t="shared" ca="1" si="41"/>
        <v>0</v>
      </c>
      <c r="S138" s="1004">
        <f t="shared" ca="1" si="41"/>
        <v>0</v>
      </c>
      <c r="T138" s="1004">
        <f t="shared" ca="1" si="41"/>
        <v>0</v>
      </c>
      <c r="U138" s="1004">
        <f t="shared" ca="1" si="41"/>
        <v>0</v>
      </c>
      <c r="V138" s="1004">
        <f t="shared" ca="1" si="41"/>
        <v>0</v>
      </c>
      <c r="W138" s="1004">
        <f t="shared" ca="1" si="41"/>
        <v>0</v>
      </c>
      <c r="X138" s="1004">
        <f t="shared" ca="1" si="41"/>
        <v>0</v>
      </c>
      <c r="Y138" s="1004">
        <f t="shared" ca="1" si="41"/>
        <v>0</v>
      </c>
      <c r="Z138" s="1004">
        <f t="shared" ca="1" si="41"/>
        <v>0</v>
      </c>
      <c r="AA138" s="1004">
        <f t="shared" ca="1" si="41"/>
        <v>0</v>
      </c>
      <c r="AB138" s="1004" t="str">
        <f t="shared" ca="1" si="41"/>
        <v/>
      </c>
      <c r="AC138" s="1004" t="str">
        <f t="shared" ca="1" si="41"/>
        <v/>
      </c>
      <c r="AD138" s="1004" t="str">
        <f t="shared" ca="1" si="41"/>
        <v/>
      </c>
      <c r="AE138" s="1004" t="str">
        <f t="shared" ca="1" si="41"/>
        <v/>
      </c>
      <c r="AF138" s="1004" t="str">
        <f t="shared" ca="1" si="41"/>
        <v/>
      </c>
      <c r="AG138" s="1004" t="str">
        <f t="shared" ca="1" si="41"/>
        <v/>
      </c>
      <c r="AH138" s="1004" t="str">
        <f t="shared" ca="1" si="41"/>
        <v/>
      </c>
      <c r="AI138" s="1004" t="str">
        <f t="shared" ca="1" si="41"/>
        <v/>
      </c>
      <c r="AJ138" s="1004" t="str">
        <f t="shared" ca="1" si="41"/>
        <v/>
      </c>
      <c r="AK138" s="1004" t="str">
        <f t="shared" ca="1" si="41"/>
        <v/>
      </c>
      <c r="AL138" s="1004" t="str">
        <f t="shared" ca="1" si="41"/>
        <v/>
      </c>
      <c r="AM138" s="1004" t="str">
        <f t="shared" ca="1" si="41"/>
        <v/>
      </c>
      <c r="AN138" s="1004" t="str">
        <f t="shared" ca="1" si="41"/>
        <v/>
      </c>
      <c r="AO138" s="1004" t="str">
        <f t="shared" ca="1" si="41"/>
        <v/>
      </c>
      <c r="AP138" s="1004" t="str">
        <f t="shared" ca="1" si="41"/>
        <v/>
      </c>
      <c r="AQ138" s="1004" t="str">
        <f t="shared" ca="1" si="41"/>
        <v/>
      </c>
      <c r="AR138" s="1004" t="str">
        <f t="shared" ca="1" si="41"/>
        <v/>
      </c>
      <c r="AS138" s="1004" t="str">
        <f t="shared" ca="1" si="41"/>
        <v/>
      </c>
      <c r="AT138" s="1004" t="str">
        <f t="shared" ca="1" si="41"/>
        <v/>
      </c>
      <c r="AU138" s="1004" t="str">
        <f t="shared" ca="1" si="41"/>
        <v/>
      </c>
      <c r="AV138" s="1004" t="str">
        <f t="shared" ca="1" si="41"/>
        <v/>
      </c>
      <c r="AW138" s="1004" t="str">
        <f t="shared" ca="1" si="41"/>
        <v/>
      </c>
      <c r="AX138" s="1004" t="str">
        <f t="shared" ca="1" si="41"/>
        <v/>
      </c>
      <c r="AY138" s="1004" t="str">
        <f t="shared" ca="1" si="41"/>
        <v/>
      </c>
      <c r="AZ138" s="1004" t="str">
        <f t="shared" ca="1" si="41"/>
        <v/>
      </c>
      <c r="BA138" s="1004" t="str">
        <f t="shared" ca="1" si="41"/>
        <v/>
      </c>
      <c r="BB138" s="1004" t="str">
        <f t="shared" ca="1" si="41"/>
        <v/>
      </c>
      <c r="BC138" s="1004" t="str">
        <f t="shared" ca="1" si="41"/>
        <v/>
      </c>
      <c r="BD138" s="1004" t="str">
        <f t="shared" ca="1" si="41"/>
        <v/>
      </c>
      <c r="BE138" s="1004" t="str">
        <f t="shared" ca="1" si="41"/>
        <v/>
      </c>
      <c r="BF138" s="1004" t="str">
        <f t="shared" ca="1" si="41"/>
        <v/>
      </c>
      <c r="BG138" s="1004" t="str">
        <f t="shared" ca="1" si="41"/>
        <v/>
      </c>
      <c r="BH138" s="1004" t="str">
        <f t="shared" ca="1" si="41"/>
        <v/>
      </c>
      <c r="BI138" s="1004" t="str">
        <f t="shared" ca="1" si="41"/>
        <v/>
      </c>
      <c r="BJ138" s="1004" t="str">
        <f t="shared" ca="1" si="41"/>
        <v/>
      </c>
      <c r="BK138" s="1004" t="str">
        <f t="shared" ca="1" si="41"/>
        <v/>
      </c>
      <c r="BL138" s="1004" t="str">
        <f t="shared" ca="1" si="41"/>
        <v/>
      </c>
      <c r="BM138" s="1004" t="str">
        <f t="shared" ca="1" si="41"/>
        <v/>
      </c>
      <c r="BN138" s="1004" t="str">
        <f t="shared" ca="1" si="41"/>
        <v/>
      </c>
      <c r="BO138" s="1004" t="str">
        <f t="shared" ca="1" si="41"/>
        <v/>
      </c>
    </row>
    <row r="139" spans="2:67" ht="20.100000000000001" hidden="1" customHeight="1" outlineLevel="1">
      <c r="B139" s="1924"/>
      <c r="C139" s="1922"/>
      <c r="D139" s="958" t="s">
        <v>4169</v>
      </c>
      <c r="E139" s="958"/>
      <c r="F139" s="1002"/>
      <c r="G139" s="1003" t="s">
        <v>4685</v>
      </c>
      <c r="H139" s="1004"/>
      <c r="I139" s="1004"/>
      <c r="J139" s="1004"/>
      <c r="K139" s="1004"/>
      <c r="L139" s="1004">
        <f t="shared" ca="1" si="41"/>
        <v>0</v>
      </c>
      <c r="M139" s="1004">
        <f t="shared" ca="1" si="41"/>
        <v>0</v>
      </c>
      <c r="N139" s="1004">
        <f t="shared" ca="1" si="41"/>
        <v>0</v>
      </c>
      <c r="O139" s="1004">
        <f t="shared" ca="1" si="41"/>
        <v>0</v>
      </c>
      <c r="P139" s="1004">
        <f t="shared" ca="1" si="41"/>
        <v>0</v>
      </c>
      <c r="Q139" s="1004">
        <f t="shared" ca="1" si="41"/>
        <v>0</v>
      </c>
      <c r="R139" s="1004">
        <f t="shared" ca="1" si="41"/>
        <v>0</v>
      </c>
      <c r="S139" s="1004">
        <f t="shared" ca="1" si="41"/>
        <v>0</v>
      </c>
      <c r="T139" s="1004">
        <f t="shared" ca="1" si="41"/>
        <v>0</v>
      </c>
      <c r="U139" s="1004">
        <f t="shared" ca="1" si="41"/>
        <v>0</v>
      </c>
      <c r="V139" s="1004">
        <f t="shared" ca="1" si="41"/>
        <v>0</v>
      </c>
      <c r="W139" s="1004">
        <f t="shared" ca="1" si="41"/>
        <v>0</v>
      </c>
      <c r="X139" s="1004">
        <f t="shared" ca="1" si="41"/>
        <v>0</v>
      </c>
      <c r="Y139" s="1004">
        <f t="shared" ca="1" si="41"/>
        <v>0</v>
      </c>
      <c r="Z139" s="1004">
        <f t="shared" ca="1" si="41"/>
        <v>0</v>
      </c>
      <c r="AA139" s="1004">
        <f t="shared" ca="1" si="41"/>
        <v>0</v>
      </c>
      <c r="AB139" s="1004" t="str">
        <f t="shared" ca="1" si="41"/>
        <v/>
      </c>
      <c r="AC139" s="1004" t="str">
        <f t="shared" ca="1" si="41"/>
        <v/>
      </c>
      <c r="AD139" s="1004" t="str">
        <f t="shared" ca="1" si="41"/>
        <v/>
      </c>
      <c r="AE139" s="1004" t="str">
        <f t="shared" ca="1" si="41"/>
        <v/>
      </c>
      <c r="AF139" s="1004" t="str">
        <f t="shared" ca="1" si="41"/>
        <v/>
      </c>
      <c r="AG139" s="1004" t="str">
        <f t="shared" ca="1" si="41"/>
        <v/>
      </c>
      <c r="AH139" s="1004" t="str">
        <f t="shared" ca="1" si="41"/>
        <v/>
      </c>
      <c r="AI139" s="1004" t="str">
        <f t="shared" ca="1" si="41"/>
        <v/>
      </c>
      <c r="AJ139" s="1004" t="str">
        <f t="shared" ca="1" si="41"/>
        <v/>
      </c>
      <c r="AK139" s="1004" t="str">
        <f t="shared" ca="1" si="41"/>
        <v/>
      </c>
      <c r="AL139" s="1004" t="str">
        <f t="shared" ca="1" si="41"/>
        <v/>
      </c>
      <c r="AM139" s="1004" t="str">
        <f t="shared" ca="1" si="41"/>
        <v/>
      </c>
      <c r="AN139" s="1004" t="str">
        <f t="shared" ca="1" si="41"/>
        <v/>
      </c>
      <c r="AO139" s="1004" t="str">
        <f t="shared" ca="1" si="41"/>
        <v/>
      </c>
      <c r="AP139" s="1004" t="str">
        <f t="shared" ca="1" si="41"/>
        <v/>
      </c>
      <c r="AQ139" s="1004" t="str">
        <f t="shared" ref="AQ139:BO139" ca="1" si="42">AQ29</f>
        <v/>
      </c>
      <c r="AR139" s="1004" t="str">
        <f t="shared" ca="1" si="42"/>
        <v/>
      </c>
      <c r="AS139" s="1004" t="str">
        <f t="shared" ca="1" si="42"/>
        <v/>
      </c>
      <c r="AT139" s="1004" t="str">
        <f t="shared" ca="1" si="42"/>
        <v/>
      </c>
      <c r="AU139" s="1004" t="str">
        <f t="shared" ca="1" si="42"/>
        <v/>
      </c>
      <c r="AV139" s="1004" t="str">
        <f t="shared" ca="1" si="42"/>
        <v/>
      </c>
      <c r="AW139" s="1004" t="str">
        <f t="shared" ca="1" si="42"/>
        <v/>
      </c>
      <c r="AX139" s="1004" t="str">
        <f t="shared" ca="1" si="42"/>
        <v/>
      </c>
      <c r="AY139" s="1004" t="str">
        <f t="shared" ca="1" si="42"/>
        <v/>
      </c>
      <c r="AZ139" s="1004" t="str">
        <f t="shared" ca="1" si="42"/>
        <v/>
      </c>
      <c r="BA139" s="1004" t="str">
        <f t="shared" ca="1" si="42"/>
        <v/>
      </c>
      <c r="BB139" s="1004" t="str">
        <f t="shared" ca="1" si="42"/>
        <v/>
      </c>
      <c r="BC139" s="1004" t="str">
        <f t="shared" ca="1" si="42"/>
        <v/>
      </c>
      <c r="BD139" s="1004" t="str">
        <f t="shared" ca="1" si="42"/>
        <v/>
      </c>
      <c r="BE139" s="1004" t="str">
        <f t="shared" ca="1" si="42"/>
        <v/>
      </c>
      <c r="BF139" s="1004" t="str">
        <f t="shared" ca="1" si="42"/>
        <v/>
      </c>
      <c r="BG139" s="1004" t="str">
        <f t="shared" ca="1" si="42"/>
        <v/>
      </c>
      <c r="BH139" s="1004" t="str">
        <f t="shared" ca="1" si="42"/>
        <v/>
      </c>
      <c r="BI139" s="1004" t="str">
        <f t="shared" ca="1" si="42"/>
        <v/>
      </c>
      <c r="BJ139" s="1004" t="str">
        <f t="shared" ca="1" si="42"/>
        <v/>
      </c>
      <c r="BK139" s="1004" t="str">
        <f t="shared" ca="1" si="42"/>
        <v/>
      </c>
      <c r="BL139" s="1004" t="str">
        <f t="shared" ca="1" si="42"/>
        <v/>
      </c>
      <c r="BM139" s="1004" t="str">
        <f t="shared" ca="1" si="42"/>
        <v/>
      </c>
      <c r="BN139" s="1004" t="str">
        <f t="shared" ca="1" si="42"/>
        <v/>
      </c>
      <c r="BO139" s="1004" t="str">
        <f t="shared" ca="1" si="42"/>
        <v/>
      </c>
    </row>
    <row r="140" spans="2:67" ht="20.100000000000001" hidden="1" customHeight="1" outlineLevel="1">
      <c r="B140" s="1924"/>
      <c r="C140" s="1922"/>
      <c r="D140" s="958" t="s">
        <v>4170</v>
      </c>
      <c r="E140" s="1005"/>
      <c r="F140" s="1002"/>
      <c r="G140" s="1003" t="s">
        <v>4685</v>
      </c>
      <c r="H140" s="1004"/>
      <c r="I140" s="1004"/>
      <c r="J140" s="1004"/>
      <c r="K140" s="1004"/>
      <c r="L140" s="1004">
        <f t="shared" ref="L140:BO144" ca="1" si="43">L30</f>
        <v>0</v>
      </c>
      <c r="M140" s="1004">
        <f t="shared" ca="1" si="43"/>
        <v>0</v>
      </c>
      <c r="N140" s="1004">
        <f t="shared" ca="1" si="43"/>
        <v>0</v>
      </c>
      <c r="O140" s="1004">
        <f t="shared" ca="1" si="43"/>
        <v>0</v>
      </c>
      <c r="P140" s="1004">
        <f t="shared" ca="1" si="43"/>
        <v>0</v>
      </c>
      <c r="Q140" s="1004">
        <f t="shared" ca="1" si="43"/>
        <v>0</v>
      </c>
      <c r="R140" s="1004">
        <f t="shared" ca="1" si="43"/>
        <v>0</v>
      </c>
      <c r="S140" s="1004">
        <f t="shared" ca="1" si="43"/>
        <v>0</v>
      </c>
      <c r="T140" s="1004">
        <f t="shared" ca="1" si="43"/>
        <v>0</v>
      </c>
      <c r="U140" s="1004">
        <f t="shared" ca="1" si="43"/>
        <v>0</v>
      </c>
      <c r="V140" s="1004">
        <f t="shared" ca="1" si="43"/>
        <v>0</v>
      </c>
      <c r="W140" s="1004">
        <f t="shared" ca="1" si="43"/>
        <v>0</v>
      </c>
      <c r="X140" s="1004">
        <f t="shared" ca="1" si="43"/>
        <v>0</v>
      </c>
      <c r="Y140" s="1004">
        <f t="shared" ca="1" si="43"/>
        <v>0</v>
      </c>
      <c r="Z140" s="1004">
        <f t="shared" ca="1" si="43"/>
        <v>0</v>
      </c>
      <c r="AA140" s="1004">
        <f t="shared" ca="1" si="43"/>
        <v>0</v>
      </c>
      <c r="AB140" s="1004" t="str">
        <f t="shared" ca="1" si="43"/>
        <v/>
      </c>
      <c r="AC140" s="1004" t="str">
        <f t="shared" ca="1" si="43"/>
        <v/>
      </c>
      <c r="AD140" s="1004" t="str">
        <f t="shared" ca="1" si="43"/>
        <v/>
      </c>
      <c r="AE140" s="1004" t="str">
        <f t="shared" ca="1" si="43"/>
        <v/>
      </c>
      <c r="AF140" s="1004" t="str">
        <f t="shared" ca="1" si="43"/>
        <v/>
      </c>
      <c r="AG140" s="1004" t="str">
        <f t="shared" ca="1" si="43"/>
        <v/>
      </c>
      <c r="AH140" s="1004" t="str">
        <f t="shared" ca="1" si="43"/>
        <v/>
      </c>
      <c r="AI140" s="1004" t="str">
        <f t="shared" ca="1" si="43"/>
        <v/>
      </c>
      <c r="AJ140" s="1004" t="str">
        <f t="shared" ca="1" si="43"/>
        <v/>
      </c>
      <c r="AK140" s="1004" t="str">
        <f t="shared" ca="1" si="43"/>
        <v/>
      </c>
      <c r="AL140" s="1004" t="str">
        <f t="shared" ca="1" si="43"/>
        <v/>
      </c>
      <c r="AM140" s="1004" t="str">
        <f t="shared" ca="1" si="43"/>
        <v/>
      </c>
      <c r="AN140" s="1004" t="str">
        <f t="shared" ca="1" si="43"/>
        <v/>
      </c>
      <c r="AO140" s="1004" t="str">
        <f t="shared" ca="1" si="43"/>
        <v/>
      </c>
      <c r="AP140" s="1004" t="str">
        <f t="shared" ca="1" si="43"/>
        <v/>
      </c>
      <c r="AQ140" s="1004" t="str">
        <f t="shared" ca="1" si="43"/>
        <v/>
      </c>
      <c r="AR140" s="1004" t="str">
        <f t="shared" ca="1" si="43"/>
        <v/>
      </c>
      <c r="AS140" s="1004" t="str">
        <f t="shared" ca="1" si="43"/>
        <v/>
      </c>
      <c r="AT140" s="1004" t="str">
        <f t="shared" ca="1" si="43"/>
        <v/>
      </c>
      <c r="AU140" s="1004" t="str">
        <f t="shared" ca="1" si="43"/>
        <v/>
      </c>
      <c r="AV140" s="1004" t="str">
        <f t="shared" ca="1" si="43"/>
        <v/>
      </c>
      <c r="AW140" s="1004" t="str">
        <f t="shared" ca="1" si="43"/>
        <v/>
      </c>
      <c r="AX140" s="1004" t="str">
        <f t="shared" ca="1" si="43"/>
        <v/>
      </c>
      <c r="AY140" s="1004" t="str">
        <f t="shared" ca="1" si="43"/>
        <v/>
      </c>
      <c r="AZ140" s="1004" t="str">
        <f t="shared" ca="1" si="43"/>
        <v/>
      </c>
      <c r="BA140" s="1004" t="str">
        <f t="shared" ca="1" si="43"/>
        <v/>
      </c>
      <c r="BB140" s="1004" t="str">
        <f t="shared" ca="1" si="43"/>
        <v/>
      </c>
      <c r="BC140" s="1004" t="str">
        <f t="shared" ca="1" si="43"/>
        <v/>
      </c>
      <c r="BD140" s="1004" t="str">
        <f t="shared" ca="1" si="43"/>
        <v/>
      </c>
      <c r="BE140" s="1004" t="str">
        <f t="shared" ca="1" si="43"/>
        <v/>
      </c>
      <c r="BF140" s="1004" t="str">
        <f t="shared" ca="1" si="43"/>
        <v/>
      </c>
      <c r="BG140" s="1004" t="str">
        <f t="shared" ca="1" si="43"/>
        <v/>
      </c>
      <c r="BH140" s="1004" t="str">
        <f t="shared" ca="1" si="43"/>
        <v/>
      </c>
      <c r="BI140" s="1004" t="str">
        <f t="shared" ca="1" si="43"/>
        <v/>
      </c>
      <c r="BJ140" s="1004" t="str">
        <f t="shared" ca="1" si="43"/>
        <v/>
      </c>
      <c r="BK140" s="1004" t="str">
        <f t="shared" ca="1" si="43"/>
        <v/>
      </c>
      <c r="BL140" s="1004" t="str">
        <f t="shared" ca="1" si="43"/>
        <v/>
      </c>
      <c r="BM140" s="1004" t="str">
        <f t="shared" ca="1" si="43"/>
        <v/>
      </c>
      <c r="BN140" s="1004" t="str">
        <f t="shared" ca="1" si="43"/>
        <v/>
      </c>
      <c r="BO140" s="1004" t="str">
        <f t="shared" ca="1" si="43"/>
        <v/>
      </c>
    </row>
    <row r="141" spans="2:67" ht="20.100000000000001" hidden="1" customHeight="1" outlineLevel="1">
      <c r="B141" s="1924"/>
      <c r="C141" s="1922"/>
      <c r="D141" s="958" t="s">
        <v>4171</v>
      </c>
      <c r="E141" s="958"/>
      <c r="F141" s="1002"/>
      <c r="G141" s="1003" t="s">
        <v>4685</v>
      </c>
      <c r="H141" s="1004"/>
      <c r="I141" s="1004"/>
      <c r="J141" s="1004"/>
      <c r="K141" s="1004"/>
      <c r="L141" s="1004">
        <f t="shared" ca="1" si="43"/>
        <v>0</v>
      </c>
      <c r="M141" s="1004">
        <f t="shared" ca="1" si="43"/>
        <v>0</v>
      </c>
      <c r="N141" s="1004">
        <f t="shared" ca="1" si="43"/>
        <v>0</v>
      </c>
      <c r="O141" s="1004">
        <f t="shared" ca="1" si="43"/>
        <v>0</v>
      </c>
      <c r="P141" s="1004">
        <f t="shared" ca="1" si="43"/>
        <v>0</v>
      </c>
      <c r="Q141" s="1004">
        <f t="shared" ca="1" si="43"/>
        <v>0</v>
      </c>
      <c r="R141" s="1004">
        <f t="shared" ca="1" si="43"/>
        <v>0</v>
      </c>
      <c r="S141" s="1004">
        <f t="shared" ca="1" si="43"/>
        <v>0</v>
      </c>
      <c r="T141" s="1004">
        <f t="shared" ca="1" si="43"/>
        <v>0</v>
      </c>
      <c r="U141" s="1004">
        <f t="shared" ca="1" si="43"/>
        <v>0</v>
      </c>
      <c r="V141" s="1004">
        <f t="shared" ca="1" si="43"/>
        <v>0</v>
      </c>
      <c r="W141" s="1004">
        <f t="shared" ca="1" si="43"/>
        <v>0</v>
      </c>
      <c r="X141" s="1004">
        <f t="shared" ca="1" si="43"/>
        <v>0</v>
      </c>
      <c r="Y141" s="1004">
        <f t="shared" ca="1" si="43"/>
        <v>0</v>
      </c>
      <c r="Z141" s="1004">
        <f t="shared" ca="1" si="43"/>
        <v>0</v>
      </c>
      <c r="AA141" s="1004">
        <f t="shared" ca="1" si="43"/>
        <v>0</v>
      </c>
      <c r="AB141" s="1004" t="str">
        <f t="shared" ca="1" si="43"/>
        <v/>
      </c>
      <c r="AC141" s="1004" t="str">
        <f t="shared" ca="1" si="43"/>
        <v/>
      </c>
      <c r="AD141" s="1004" t="str">
        <f t="shared" ca="1" si="43"/>
        <v/>
      </c>
      <c r="AE141" s="1004" t="str">
        <f t="shared" ca="1" si="43"/>
        <v/>
      </c>
      <c r="AF141" s="1004" t="str">
        <f t="shared" ca="1" si="43"/>
        <v/>
      </c>
      <c r="AG141" s="1004" t="str">
        <f t="shared" ca="1" si="43"/>
        <v/>
      </c>
      <c r="AH141" s="1004" t="str">
        <f t="shared" ca="1" si="43"/>
        <v/>
      </c>
      <c r="AI141" s="1004" t="str">
        <f t="shared" ca="1" si="43"/>
        <v/>
      </c>
      <c r="AJ141" s="1004" t="str">
        <f t="shared" ca="1" si="43"/>
        <v/>
      </c>
      <c r="AK141" s="1004" t="str">
        <f t="shared" ca="1" si="43"/>
        <v/>
      </c>
      <c r="AL141" s="1004" t="str">
        <f t="shared" ca="1" si="43"/>
        <v/>
      </c>
      <c r="AM141" s="1004" t="str">
        <f t="shared" ca="1" si="43"/>
        <v/>
      </c>
      <c r="AN141" s="1004" t="str">
        <f t="shared" ca="1" si="43"/>
        <v/>
      </c>
      <c r="AO141" s="1004" t="str">
        <f t="shared" ca="1" si="43"/>
        <v/>
      </c>
      <c r="AP141" s="1004" t="str">
        <f t="shared" ca="1" si="43"/>
        <v/>
      </c>
      <c r="AQ141" s="1004" t="str">
        <f t="shared" ca="1" si="43"/>
        <v/>
      </c>
      <c r="AR141" s="1004" t="str">
        <f t="shared" ca="1" si="43"/>
        <v/>
      </c>
      <c r="AS141" s="1004" t="str">
        <f t="shared" ca="1" si="43"/>
        <v/>
      </c>
      <c r="AT141" s="1004" t="str">
        <f t="shared" ca="1" si="43"/>
        <v/>
      </c>
      <c r="AU141" s="1004" t="str">
        <f t="shared" ca="1" si="43"/>
        <v/>
      </c>
      <c r="AV141" s="1004" t="str">
        <f t="shared" ca="1" si="43"/>
        <v/>
      </c>
      <c r="AW141" s="1004" t="str">
        <f t="shared" ca="1" si="43"/>
        <v/>
      </c>
      <c r="AX141" s="1004" t="str">
        <f t="shared" ca="1" si="43"/>
        <v/>
      </c>
      <c r="AY141" s="1004" t="str">
        <f t="shared" ca="1" si="43"/>
        <v/>
      </c>
      <c r="AZ141" s="1004" t="str">
        <f t="shared" ca="1" si="43"/>
        <v/>
      </c>
      <c r="BA141" s="1004" t="str">
        <f t="shared" ca="1" si="43"/>
        <v/>
      </c>
      <c r="BB141" s="1004" t="str">
        <f t="shared" ca="1" si="43"/>
        <v/>
      </c>
      <c r="BC141" s="1004" t="str">
        <f t="shared" ca="1" si="43"/>
        <v/>
      </c>
      <c r="BD141" s="1004" t="str">
        <f t="shared" ca="1" si="43"/>
        <v/>
      </c>
      <c r="BE141" s="1004" t="str">
        <f t="shared" ca="1" si="43"/>
        <v/>
      </c>
      <c r="BF141" s="1004" t="str">
        <f t="shared" ca="1" si="43"/>
        <v/>
      </c>
      <c r="BG141" s="1004" t="str">
        <f t="shared" ca="1" si="43"/>
        <v/>
      </c>
      <c r="BH141" s="1004" t="str">
        <f t="shared" ca="1" si="43"/>
        <v/>
      </c>
      <c r="BI141" s="1004" t="str">
        <f t="shared" ca="1" si="43"/>
        <v/>
      </c>
      <c r="BJ141" s="1004" t="str">
        <f t="shared" ca="1" si="43"/>
        <v/>
      </c>
      <c r="BK141" s="1004" t="str">
        <f t="shared" ca="1" si="43"/>
        <v/>
      </c>
      <c r="BL141" s="1004" t="str">
        <f t="shared" ca="1" si="43"/>
        <v/>
      </c>
      <c r="BM141" s="1004" t="str">
        <f t="shared" ca="1" si="43"/>
        <v/>
      </c>
      <c r="BN141" s="1004" t="str">
        <f t="shared" ca="1" si="43"/>
        <v/>
      </c>
      <c r="BO141" s="1004" t="str">
        <f t="shared" ca="1" si="43"/>
        <v/>
      </c>
    </row>
    <row r="142" spans="2:67" ht="20.100000000000001" hidden="1" customHeight="1" outlineLevel="1">
      <c r="B142" s="1924"/>
      <c r="C142" s="1922"/>
      <c r="D142" s="958" t="s">
        <v>4172</v>
      </c>
      <c r="E142" s="958"/>
      <c r="F142" s="1002"/>
      <c r="G142" s="1003" t="s">
        <v>4685</v>
      </c>
      <c r="H142" s="1004"/>
      <c r="I142" s="1004"/>
      <c r="J142" s="1004"/>
      <c r="K142" s="1004"/>
      <c r="L142" s="1004">
        <f t="shared" ca="1" si="43"/>
        <v>0</v>
      </c>
      <c r="M142" s="1004">
        <f t="shared" ca="1" si="43"/>
        <v>0</v>
      </c>
      <c r="N142" s="1004">
        <f t="shared" ca="1" si="43"/>
        <v>0</v>
      </c>
      <c r="O142" s="1004">
        <f t="shared" ca="1" si="43"/>
        <v>0</v>
      </c>
      <c r="P142" s="1004">
        <f t="shared" ca="1" si="43"/>
        <v>0</v>
      </c>
      <c r="Q142" s="1004">
        <f t="shared" ca="1" si="43"/>
        <v>0</v>
      </c>
      <c r="R142" s="1004">
        <f t="shared" ca="1" si="43"/>
        <v>0</v>
      </c>
      <c r="S142" s="1004">
        <f t="shared" ca="1" si="43"/>
        <v>0</v>
      </c>
      <c r="T142" s="1004">
        <f t="shared" ca="1" si="43"/>
        <v>0</v>
      </c>
      <c r="U142" s="1004">
        <f t="shared" ca="1" si="43"/>
        <v>0</v>
      </c>
      <c r="V142" s="1004">
        <f t="shared" ca="1" si="43"/>
        <v>0</v>
      </c>
      <c r="W142" s="1004">
        <f t="shared" ca="1" si="43"/>
        <v>0</v>
      </c>
      <c r="X142" s="1004">
        <f t="shared" ca="1" si="43"/>
        <v>0</v>
      </c>
      <c r="Y142" s="1004">
        <f t="shared" ca="1" si="43"/>
        <v>0</v>
      </c>
      <c r="Z142" s="1004">
        <f t="shared" ca="1" si="43"/>
        <v>0</v>
      </c>
      <c r="AA142" s="1004">
        <f t="shared" ca="1" si="43"/>
        <v>0</v>
      </c>
      <c r="AB142" s="1004" t="str">
        <f t="shared" ca="1" si="43"/>
        <v/>
      </c>
      <c r="AC142" s="1004" t="str">
        <f t="shared" ca="1" si="43"/>
        <v/>
      </c>
      <c r="AD142" s="1004" t="str">
        <f t="shared" ca="1" si="43"/>
        <v/>
      </c>
      <c r="AE142" s="1004" t="str">
        <f t="shared" ca="1" si="43"/>
        <v/>
      </c>
      <c r="AF142" s="1004" t="str">
        <f t="shared" ca="1" si="43"/>
        <v/>
      </c>
      <c r="AG142" s="1004" t="str">
        <f t="shared" ca="1" si="43"/>
        <v/>
      </c>
      <c r="AH142" s="1004" t="str">
        <f t="shared" ca="1" si="43"/>
        <v/>
      </c>
      <c r="AI142" s="1004" t="str">
        <f t="shared" ca="1" si="43"/>
        <v/>
      </c>
      <c r="AJ142" s="1004" t="str">
        <f t="shared" ca="1" si="43"/>
        <v/>
      </c>
      <c r="AK142" s="1004" t="str">
        <f t="shared" ca="1" si="43"/>
        <v/>
      </c>
      <c r="AL142" s="1004" t="str">
        <f t="shared" ca="1" si="43"/>
        <v/>
      </c>
      <c r="AM142" s="1004" t="str">
        <f t="shared" ca="1" si="43"/>
        <v/>
      </c>
      <c r="AN142" s="1004" t="str">
        <f t="shared" ca="1" si="43"/>
        <v/>
      </c>
      <c r="AO142" s="1004" t="str">
        <f t="shared" ca="1" si="43"/>
        <v/>
      </c>
      <c r="AP142" s="1004" t="str">
        <f t="shared" ca="1" si="43"/>
        <v/>
      </c>
      <c r="AQ142" s="1004" t="str">
        <f t="shared" ca="1" si="43"/>
        <v/>
      </c>
      <c r="AR142" s="1004" t="str">
        <f t="shared" ca="1" si="43"/>
        <v/>
      </c>
      <c r="AS142" s="1004" t="str">
        <f t="shared" ca="1" si="43"/>
        <v/>
      </c>
      <c r="AT142" s="1004" t="str">
        <f t="shared" ca="1" si="43"/>
        <v/>
      </c>
      <c r="AU142" s="1004" t="str">
        <f t="shared" ca="1" si="43"/>
        <v/>
      </c>
      <c r="AV142" s="1004" t="str">
        <f t="shared" ca="1" si="43"/>
        <v/>
      </c>
      <c r="AW142" s="1004" t="str">
        <f t="shared" ca="1" si="43"/>
        <v/>
      </c>
      <c r="AX142" s="1004" t="str">
        <f t="shared" ca="1" si="43"/>
        <v/>
      </c>
      <c r="AY142" s="1004" t="str">
        <f t="shared" ca="1" si="43"/>
        <v/>
      </c>
      <c r="AZ142" s="1004" t="str">
        <f t="shared" ca="1" si="43"/>
        <v/>
      </c>
      <c r="BA142" s="1004" t="str">
        <f t="shared" ca="1" si="43"/>
        <v/>
      </c>
      <c r="BB142" s="1004" t="str">
        <f t="shared" ca="1" si="43"/>
        <v/>
      </c>
      <c r="BC142" s="1004" t="str">
        <f t="shared" ca="1" si="43"/>
        <v/>
      </c>
      <c r="BD142" s="1004" t="str">
        <f t="shared" ca="1" si="43"/>
        <v/>
      </c>
      <c r="BE142" s="1004" t="str">
        <f t="shared" ca="1" si="43"/>
        <v/>
      </c>
      <c r="BF142" s="1004" t="str">
        <f t="shared" ca="1" si="43"/>
        <v/>
      </c>
      <c r="BG142" s="1004" t="str">
        <f t="shared" ca="1" si="43"/>
        <v/>
      </c>
      <c r="BH142" s="1004" t="str">
        <f t="shared" ca="1" si="43"/>
        <v/>
      </c>
      <c r="BI142" s="1004" t="str">
        <f t="shared" ca="1" si="43"/>
        <v/>
      </c>
      <c r="BJ142" s="1004" t="str">
        <f t="shared" ca="1" si="43"/>
        <v/>
      </c>
      <c r="BK142" s="1004" t="str">
        <f t="shared" ca="1" si="43"/>
        <v/>
      </c>
      <c r="BL142" s="1004" t="str">
        <f t="shared" ca="1" si="43"/>
        <v/>
      </c>
      <c r="BM142" s="1004" t="str">
        <f t="shared" ca="1" si="43"/>
        <v/>
      </c>
      <c r="BN142" s="1004" t="str">
        <f t="shared" ca="1" si="43"/>
        <v/>
      </c>
      <c r="BO142" s="1004" t="str">
        <f t="shared" ca="1" si="43"/>
        <v/>
      </c>
    </row>
    <row r="143" spans="2:67" ht="20.100000000000001" hidden="1" customHeight="1" outlineLevel="1">
      <c r="B143" s="1924"/>
      <c r="C143" s="1922"/>
      <c r="D143" s="958" t="s">
        <v>4404</v>
      </c>
      <c r="E143" s="958"/>
      <c r="F143" s="1002"/>
      <c r="G143" s="1003" t="s">
        <v>4685</v>
      </c>
      <c r="H143" s="1004"/>
      <c r="I143" s="1004"/>
      <c r="J143" s="1004"/>
      <c r="K143" s="1004"/>
      <c r="L143" s="1004">
        <f t="shared" ca="1" si="43"/>
        <v>0</v>
      </c>
      <c r="M143" s="1004">
        <f t="shared" ca="1" si="43"/>
        <v>0</v>
      </c>
      <c r="N143" s="1004">
        <f t="shared" ca="1" si="43"/>
        <v>0</v>
      </c>
      <c r="O143" s="1004">
        <f t="shared" ca="1" si="43"/>
        <v>0</v>
      </c>
      <c r="P143" s="1004">
        <f t="shared" ca="1" si="43"/>
        <v>0</v>
      </c>
      <c r="Q143" s="1004">
        <f t="shared" ca="1" si="43"/>
        <v>0</v>
      </c>
      <c r="R143" s="1004">
        <f t="shared" ca="1" si="43"/>
        <v>0</v>
      </c>
      <c r="S143" s="1004">
        <f t="shared" ca="1" si="43"/>
        <v>0</v>
      </c>
      <c r="T143" s="1004">
        <f t="shared" ca="1" si="43"/>
        <v>0</v>
      </c>
      <c r="U143" s="1004">
        <f t="shared" ca="1" si="43"/>
        <v>0</v>
      </c>
      <c r="V143" s="1004">
        <f t="shared" ca="1" si="43"/>
        <v>0</v>
      </c>
      <c r="W143" s="1004">
        <f t="shared" ca="1" si="43"/>
        <v>0</v>
      </c>
      <c r="X143" s="1004">
        <f t="shared" ca="1" si="43"/>
        <v>0</v>
      </c>
      <c r="Y143" s="1004">
        <f t="shared" ca="1" si="43"/>
        <v>0</v>
      </c>
      <c r="Z143" s="1004">
        <f t="shared" ca="1" si="43"/>
        <v>0</v>
      </c>
      <c r="AA143" s="1004">
        <f t="shared" ca="1" si="43"/>
        <v>0</v>
      </c>
      <c r="AB143" s="1004" t="str">
        <f t="shared" ca="1" si="43"/>
        <v/>
      </c>
      <c r="AC143" s="1004" t="str">
        <f t="shared" ca="1" si="43"/>
        <v/>
      </c>
      <c r="AD143" s="1004" t="str">
        <f t="shared" ca="1" si="43"/>
        <v/>
      </c>
      <c r="AE143" s="1004" t="str">
        <f t="shared" ca="1" si="43"/>
        <v/>
      </c>
      <c r="AF143" s="1004" t="str">
        <f t="shared" ca="1" si="43"/>
        <v/>
      </c>
      <c r="AG143" s="1004" t="str">
        <f t="shared" ca="1" si="43"/>
        <v/>
      </c>
      <c r="AH143" s="1004" t="str">
        <f t="shared" ca="1" si="43"/>
        <v/>
      </c>
      <c r="AI143" s="1004" t="str">
        <f t="shared" ca="1" si="43"/>
        <v/>
      </c>
      <c r="AJ143" s="1004" t="str">
        <f t="shared" ca="1" si="43"/>
        <v/>
      </c>
      <c r="AK143" s="1004" t="str">
        <f t="shared" ca="1" si="43"/>
        <v/>
      </c>
      <c r="AL143" s="1004" t="str">
        <f t="shared" ca="1" si="43"/>
        <v/>
      </c>
      <c r="AM143" s="1004" t="str">
        <f t="shared" ca="1" si="43"/>
        <v/>
      </c>
      <c r="AN143" s="1004" t="str">
        <f t="shared" ca="1" si="43"/>
        <v/>
      </c>
      <c r="AO143" s="1004" t="str">
        <f t="shared" ca="1" si="43"/>
        <v/>
      </c>
      <c r="AP143" s="1004" t="str">
        <f t="shared" ca="1" si="43"/>
        <v/>
      </c>
      <c r="AQ143" s="1004" t="str">
        <f t="shared" ca="1" si="43"/>
        <v/>
      </c>
      <c r="AR143" s="1004" t="str">
        <f t="shared" ca="1" si="43"/>
        <v/>
      </c>
      <c r="AS143" s="1004" t="str">
        <f t="shared" ca="1" si="43"/>
        <v/>
      </c>
      <c r="AT143" s="1004" t="str">
        <f t="shared" ca="1" si="43"/>
        <v/>
      </c>
      <c r="AU143" s="1004" t="str">
        <f t="shared" ca="1" si="43"/>
        <v/>
      </c>
      <c r="AV143" s="1004" t="str">
        <f t="shared" ca="1" si="43"/>
        <v/>
      </c>
      <c r="AW143" s="1004" t="str">
        <f t="shared" ca="1" si="43"/>
        <v/>
      </c>
      <c r="AX143" s="1004" t="str">
        <f t="shared" ca="1" si="43"/>
        <v/>
      </c>
      <c r="AY143" s="1004" t="str">
        <f t="shared" ca="1" si="43"/>
        <v/>
      </c>
      <c r="AZ143" s="1004" t="str">
        <f t="shared" ca="1" si="43"/>
        <v/>
      </c>
      <c r="BA143" s="1004" t="str">
        <f t="shared" ca="1" si="43"/>
        <v/>
      </c>
      <c r="BB143" s="1004" t="str">
        <f t="shared" ca="1" si="43"/>
        <v/>
      </c>
      <c r="BC143" s="1004" t="str">
        <f t="shared" ca="1" si="43"/>
        <v/>
      </c>
      <c r="BD143" s="1004" t="str">
        <f t="shared" ca="1" si="43"/>
        <v/>
      </c>
      <c r="BE143" s="1004" t="str">
        <f t="shared" ca="1" si="43"/>
        <v/>
      </c>
      <c r="BF143" s="1004" t="str">
        <f t="shared" ca="1" si="43"/>
        <v/>
      </c>
      <c r="BG143" s="1004" t="str">
        <f t="shared" ca="1" si="43"/>
        <v/>
      </c>
      <c r="BH143" s="1004" t="str">
        <f t="shared" ca="1" si="43"/>
        <v/>
      </c>
      <c r="BI143" s="1004" t="str">
        <f t="shared" ca="1" si="43"/>
        <v/>
      </c>
      <c r="BJ143" s="1004" t="str">
        <f t="shared" ca="1" si="43"/>
        <v/>
      </c>
      <c r="BK143" s="1004" t="str">
        <f t="shared" ca="1" si="43"/>
        <v/>
      </c>
      <c r="BL143" s="1004" t="str">
        <f t="shared" ca="1" si="43"/>
        <v/>
      </c>
      <c r="BM143" s="1004" t="str">
        <f t="shared" ca="1" si="43"/>
        <v/>
      </c>
      <c r="BN143" s="1004" t="str">
        <f t="shared" ca="1" si="43"/>
        <v/>
      </c>
      <c r="BO143" s="1004" t="str">
        <f t="shared" ca="1" si="43"/>
        <v/>
      </c>
    </row>
    <row r="144" spans="2:67" ht="20.100000000000001" hidden="1" customHeight="1" outlineLevel="1">
      <c r="B144" s="1924"/>
      <c r="C144" s="1922"/>
      <c r="D144" s="958" t="s">
        <v>4174</v>
      </c>
      <c r="E144" s="958"/>
      <c r="F144" s="1002"/>
      <c r="G144" s="1003" t="s">
        <v>4685</v>
      </c>
      <c r="H144" s="1004"/>
      <c r="I144" s="1004"/>
      <c r="J144" s="1004"/>
      <c r="K144" s="1004"/>
      <c r="L144" s="1004">
        <f t="shared" ca="1" si="43"/>
        <v>0</v>
      </c>
      <c r="M144" s="1004">
        <f t="shared" ca="1" si="43"/>
        <v>0</v>
      </c>
      <c r="N144" s="1004">
        <f t="shared" ca="1" si="43"/>
        <v>0</v>
      </c>
      <c r="O144" s="1004">
        <f t="shared" ca="1" si="43"/>
        <v>0</v>
      </c>
      <c r="P144" s="1004">
        <f t="shared" ca="1" si="43"/>
        <v>0</v>
      </c>
      <c r="Q144" s="1004">
        <f t="shared" ca="1" si="43"/>
        <v>0</v>
      </c>
      <c r="R144" s="1004">
        <f t="shared" ca="1" si="43"/>
        <v>0</v>
      </c>
      <c r="S144" s="1004">
        <f t="shared" ca="1" si="43"/>
        <v>0</v>
      </c>
      <c r="T144" s="1004">
        <f t="shared" ca="1" si="43"/>
        <v>0</v>
      </c>
      <c r="U144" s="1004">
        <f t="shared" ca="1" si="43"/>
        <v>0</v>
      </c>
      <c r="V144" s="1004">
        <f t="shared" ca="1" si="43"/>
        <v>0</v>
      </c>
      <c r="W144" s="1004">
        <f t="shared" ca="1" si="43"/>
        <v>0</v>
      </c>
      <c r="X144" s="1004">
        <f t="shared" ca="1" si="43"/>
        <v>0</v>
      </c>
      <c r="Y144" s="1004">
        <f t="shared" ca="1" si="43"/>
        <v>0</v>
      </c>
      <c r="Z144" s="1004">
        <f t="shared" ca="1" si="43"/>
        <v>0</v>
      </c>
      <c r="AA144" s="1004">
        <f t="shared" ca="1" si="43"/>
        <v>0</v>
      </c>
      <c r="AB144" s="1004" t="str">
        <f t="shared" ca="1" si="43"/>
        <v/>
      </c>
      <c r="AC144" s="1004" t="str">
        <f t="shared" ca="1" si="43"/>
        <v/>
      </c>
      <c r="AD144" s="1004" t="str">
        <f t="shared" ca="1" si="43"/>
        <v/>
      </c>
      <c r="AE144" s="1004" t="str">
        <f t="shared" ca="1" si="43"/>
        <v/>
      </c>
      <c r="AF144" s="1004" t="str">
        <f t="shared" ca="1" si="43"/>
        <v/>
      </c>
      <c r="AG144" s="1004" t="str">
        <f t="shared" ca="1" si="43"/>
        <v/>
      </c>
      <c r="AH144" s="1004" t="str">
        <f t="shared" ca="1" si="43"/>
        <v/>
      </c>
      <c r="AI144" s="1004" t="str">
        <f t="shared" ca="1" si="43"/>
        <v/>
      </c>
      <c r="AJ144" s="1004" t="str">
        <f t="shared" ca="1" si="43"/>
        <v/>
      </c>
      <c r="AK144" s="1004" t="str">
        <f t="shared" ca="1" si="43"/>
        <v/>
      </c>
      <c r="AL144" s="1004" t="str">
        <f t="shared" ca="1" si="43"/>
        <v/>
      </c>
      <c r="AM144" s="1004" t="str">
        <f t="shared" ca="1" si="43"/>
        <v/>
      </c>
      <c r="AN144" s="1004" t="str">
        <f t="shared" ca="1" si="43"/>
        <v/>
      </c>
      <c r="AO144" s="1004" t="str">
        <f t="shared" ca="1" si="43"/>
        <v/>
      </c>
      <c r="AP144" s="1004" t="str">
        <f t="shared" ca="1" si="43"/>
        <v/>
      </c>
      <c r="AQ144" s="1004" t="str">
        <f t="shared" ref="AQ144:BO144" ca="1" si="44">AQ34</f>
        <v/>
      </c>
      <c r="AR144" s="1004" t="str">
        <f t="shared" ca="1" si="44"/>
        <v/>
      </c>
      <c r="AS144" s="1004" t="str">
        <f t="shared" ca="1" si="44"/>
        <v/>
      </c>
      <c r="AT144" s="1004" t="str">
        <f t="shared" ca="1" si="44"/>
        <v/>
      </c>
      <c r="AU144" s="1004" t="str">
        <f t="shared" ca="1" si="44"/>
        <v/>
      </c>
      <c r="AV144" s="1004" t="str">
        <f t="shared" ca="1" si="44"/>
        <v/>
      </c>
      <c r="AW144" s="1004" t="str">
        <f t="shared" ca="1" si="44"/>
        <v/>
      </c>
      <c r="AX144" s="1004" t="str">
        <f t="shared" ca="1" si="44"/>
        <v/>
      </c>
      <c r="AY144" s="1004" t="str">
        <f t="shared" ca="1" si="44"/>
        <v/>
      </c>
      <c r="AZ144" s="1004" t="str">
        <f t="shared" ca="1" si="44"/>
        <v/>
      </c>
      <c r="BA144" s="1004" t="str">
        <f t="shared" ca="1" si="44"/>
        <v/>
      </c>
      <c r="BB144" s="1004" t="str">
        <f t="shared" ca="1" si="44"/>
        <v/>
      </c>
      <c r="BC144" s="1004" t="str">
        <f t="shared" ca="1" si="44"/>
        <v/>
      </c>
      <c r="BD144" s="1004" t="str">
        <f t="shared" ca="1" si="44"/>
        <v/>
      </c>
      <c r="BE144" s="1004" t="str">
        <f t="shared" ca="1" si="44"/>
        <v/>
      </c>
      <c r="BF144" s="1004" t="str">
        <f t="shared" ca="1" si="44"/>
        <v/>
      </c>
      <c r="BG144" s="1004" t="str">
        <f t="shared" ca="1" si="44"/>
        <v/>
      </c>
      <c r="BH144" s="1004" t="str">
        <f t="shared" ca="1" si="44"/>
        <v/>
      </c>
      <c r="BI144" s="1004" t="str">
        <f t="shared" ca="1" si="44"/>
        <v/>
      </c>
      <c r="BJ144" s="1004" t="str">
        <f t="shared" ca="1" si="44"/>
        <v/>
      </c>
      <c r="BK144" s="1004" t="str">
        <f t="shared" ca="1" si="44"/>
        <v/>
      </c>
      <c r="BL144" s="1004" t="str">
        <f t="shared" ca="1" si="44"/>
        <v/>
      </c>
      <c r="BM144" s="1004" t="str">
        <f t="shared" ca="1" si="44"/>
        <v/>
      </c>
      <c r="BN144" s="1004" t="str">
        <f t="shared" ca="1" si="44"/>
        <v/>
      </c>
      <c r="BO144" s="1004" t="str">
        <f t="shared" ca="1" si="44"/>
        <v/>
      </c>
    </row>
    <row r="145" spans="1:67" ht="20.100000000000001" hidden="1" customHeight="1" outlineLevel="1">
      <c r="A145" s="786">
        <v>8</v>
      </c>
      <c r="B145" s="1925"/>
      <c r="C145" s="1922"/>
      <c r="D145" s="958" t="s">
        <v>4405</v>
      </c>
      <c r="E145" s="1006"/>
      <c r="F145" s="1002"/>
      <c r="G145" s="1003" t="s">
        <v>4685</v>
      </c>
      <c r="H145" s="1004"/>
      <c r="I145" s="1004"/>
      <c r="J145" s="1004"/>
      <c r="K145" s="1004"/>
      <c r="L145" s="956">
        <f ca="1">SUM(SUMIFS(OFFSET(A1_集計2024,$A145,9,1,200),OFFSET(貼付け_2024実績,4,9,1,200),{"横浜*","川崎*","県域*","エネルギー管理指定工場等*"}))</f>
        <v>0</v>
      </c>
      <c r="M145" s="956">
        <f ca="1">SUM(SUMIFS(OFFSET(A1_集計2025,$A145,9,1,200),OFFSET(貼付け_2025実績,4,9,1,200),{"横浜*","川崎*","県域*","エネルギー管理指定工場等*"}))</f>
        <v>0</v>
      </c>
      <c r="N145" s="956">
        <f ca="1">SUM(SUMIFS(OFFSET(A1_集計2026,$A145,9,1,200),OFFSET(貼付け_2026実績,4,9,1,200),{"横浜*","川崎*","県域*","エネルギー管理指定工場等*"}))</f>
        <v>0</v>
      </c>
      <c r="O145" s="956">
        <f ca="1">SUM(SUMIFS(OFFSET(A1_集計2027,$A145,9,1,200),OFFSET(貼付け_2027実績,4,9,1,200),{"横浜*","川崎*","県域*","エネルギー管理指定工場等*"}))</f>
        <v>0</v>
      </c>
      <c r="P145" s="954">
        <f ca="1">SUM(SUMIFS(OFFSET(A1_集計2024,$A145,9,1,200),OFFSET(貼付け_2024実績,4,9,1,200),{"横浜*","川崎*"}))</f>
        <v>0</v>
      </c>
      <c r="Q145" s="954">
        <f ca="1">SUM(SUMIFS(OFFSET(A1_集計2025,$A145,9,1,200),OFFSET(貼付け_2025実績,4,9,1,200),{"横浜*","川崎*"}))</f>
        <v>0</v>
      </c>
      <c r="R145" s="954">
        <f ca="1">SUM(SUMIFS(OFFSET(A1_集計2026,$A145,9,1,200),OFFSET(貼付け_2026実績,4,9,1,200),{"横浜*","川崎*"}))</f>
        <v>0</v>
      </c>
      <c r="S145" s="954">
        <f ca="1">SUM(SUMIFS(OFFSET(A1_集計2027,$A145,9,1,200),OFFSET(貼付け_2027実績,4,9,1,200),{"横浜*","川崎*"}))</f>
        <v>0</v>
      </c>
      <c r="T145" s="954">
        <f ca="1">SUM(SUMIFS(OFFSET(A1_集計2024,$A145,9,1,200),OFFSET(貼付け_2024実績,4,9,1,200),{"県域*","エネルギー管理指定工場等*"}))</f>
        <v>0</v>
      </c>
      <c r="U145" s="954">
        <f ca="1">SUM(SUMIFS(OFFSET(A1_集計2025,$A145,9,1,200),OFFSET(貼付け_2025実績,4,9,1,200),{"県域*","エネルギー管理指定工場等*"}))</f>
        <v>0</v>
      </c>
      <c r="V145" s="954">
        <f ca="1">SUM(SUMIFS(OFFSET(A1_集計2026,$A145,9,1,200),OFFSET(貼付け_2026実績,4,9,1,200),{"県域*","エネルギー管理指定工場等*"}))</f>
        <v>0</v>
      </c>
      <c r="W145" s="954">
        <f ca="1">SUM(SUMIFS(OFFSET(A1_集計2027,$A145,9,1,200),OFFSET(貼付け_2027実績,4,9,1,200),{"県域*","エネルギー管理指定工場等*"}))</f>
        <v>0</v>
      </c>
      <c r="X145" s="954">
        <f ca="1">SUMIFS(OFFSET(A1_集計2024,$A145,9,1,200),OFFSET(貼付け_2024実績,4,9,1,200),"県域*")</f>
        <v>0</v>
      </c>
      <c r="Y145" s="954">
        <f ca="1">SUMIFS(OFFSET(A1_集計2025,$A145,9,1,200),OFFSET(貼付け_2025実績,4,9,1,200),"県域*")</f>
        <v>0</v>
      </c>
      <c r="Z145" s="954">
        <f ca="1">SUMIFS(OFFSET(A1_集計2026,$A145,9,1,200),OFFSET(貼付け_2026実績,4,9,1,200),"県域*")</f>
        <v>0</v>
      </c>
      <c r="AA145" s="954">
        <f ca="1">SUMIFS(OFFSET(A1_集計2027,$A145,9,1,200),OFFSET(貼付け_2027実績,4,9,1,200),"県域*")</f>
        <v>0</v>
      </c>
      <c r="AB145" s="954" t="str">
        <f ca="1">IFERROR(OFFSET(A1_集計2024,$A145,AB$1),"")</f>
        <v/>
      </c>
      <c r="AC145" s="954" t="str">
        <f ca="1">IFERROR(OFFSET(A1_集計2025,$A145,AC$1),"")</f>
        <v/>
      </c>
      <c r="AD145" s="954" t="str">
        <f ca="1">IFERROR(OFFSET(A1_集計2026,$A145,AD$1),"")</f>
        <v/>
      </c>
      <c r="AE145" s="954" t="str">
        <f ca="1">IFERROR(OFFSET(A1_集計2027,$A145,AE$1),"")</f>
        <v/>
      </c>
      <c r="AF145" s="954" t="str">
        <f ca="1">IFERROR(OFFSET(A1_集計2024,$A145,AF$1),"")</f>
        <v/>
      </c>
      <c r="AG145" s="954" t="str">
        <f ca="1">IFERROR(OFFSET(A1_集計2025,$A145,AG$1),"")</f>
        <v/>
      </c>
      <c r="AH145" s="954" t="str">
        <f ca="1">IFERROR(OFFSET(A1_集計2026,$A145,AH$1),"")</f>
        <v/>
      </c>
      <c r="AI145" s="954" t="str">
        <f ca="1">IFERROR(OFFSET(A1_集計2027,$A145,AI$1),"")</f>
        <v/>
      </c>
      <c r="AJ145" s="954" t="str">
        <f ca="1">IFERROR(OFFSET(A1_集計2024,$A145,AJ$1),"")</f>
        <v/>
      </c>
      <c r="AK145" s="954" t="str">
        <f ca="1">IFERROR(OFFSET(A1_集計2025,$A145,AK$1),"")</f>
        <v/>
      </c>
      <c r="AL145" s="954" t="str">
        <f ca="1">IFERROR(OFFSET(A1_集計2026,$A145,AL$1),"")</f>
        <v/>
      </c>
      <c r="AM145" s="954" t="str">
        <f ca="1">IFERROR(OFFSET(A1_集計2027,$A145,AM$1),"")</f>
        <v/>
      </c>
      <c r="AN145" s="954" t="str">
        <f ca="1">IFERROR(OFFSET(A1_集計2024,$A145,AN$1),"")</f>
        <v/>
      </c>
      <c r="AO145" s="954" t="str">
        <f ca="1">IFERROR(OFFSET(A1_集計2025,$A145,AO$1),"")</f>
        <v/>
      </c>
      <c r="AP145" s="954" t="str">
        <f ca="1">IFERROR(OFFSET(A1_集計2026,$A145,AP$1),"")</f>
        <v/>
      </c>
      <c r="AQ145" s="954" t="str">
        <f ca="1">IFERROR(OFFSET(A1_集計2027,$A145,AQ$1),"")</f>
        <v/>
      </c>
      <c r="AR145" s="954" t="str">
        <f ca="1">IFERROR(OFFSET(A1_集計2024,$A145,AR$1),"")</f>
        <v/>
      </c>
      <c r="AS145" s="954" t="str">
        <f ca="1">IFERROR(OFFSET(A1_集計2025,$A145,AS$1),"")</f>
        <v/>
      </c>
      <c r="AT145" s="954" t="str">
        <f ca="1">IFERROR(OFFSET(A1_集計2026,$A145,AT$1),"")</f>
        <v/>
      </c>
      <c r="AU145" s="954" t="str">
        <f ca="1">IFERROR(OFFSET(A1_集計2027,$A145,AU$1),"")</f>
        <v/>
      </c>
      <c r="AV145" s="954" t="str">
        <f ca="1">IFERROR(OFFSET(A1_集計2024,$A145,AV$1),"")</f>
        <v/>
      </c>
      <c r="AW145" s="954" t="str">
        <f ca="1">IFERROR(OFFSET(A1_集計2025,$A145,AW$1),"")</f>
        <v/>
      </c>
      <c r="AX145" s="954" t="str">
        <f ca="1">IFERROR(OFFSET(A1_集計2026,$A145,AX$1),"")</f>
        <v/>
      </c>
      <c r="AY145" s="954" t="str">
        <f ca="1">IFERROR(OFFSET(A1_集計2027,$A145,AY$1),"")</f>
        <v/>
      </c>
      <c r="AZ145" s="954" t="str">
        <f ca="1">IFERROR(OFFSET(A1_集計2024,$A145,AZ$1),"")</f>
        <v/>
      </c>
      <c r="BA145" s="954" t="str">
        <f ca="1">IFERROR(OFFSET(A1_集計2025,$A145,BA$1),"")</f>
        <v/>
      </c>
      <c r="BB145" s="954" t="str">
        <f ca="1">IFERROR(OFFSET(A1_集計2026,$A145,BB$1),"")</f>
        <v/>
      </c>
      <c r="BC145" s="954" t="str">
        <f ca="1">IFERROR(OFFSET(A1_集計2027,$A145,BC$1),"")</f>
        <v/>
      </c>
      <c r="BD145" s="954" t="str">
        <f ca="1">IFERROR(OFFSET(A1_集計2024,$A145,BD$1),"")</f>
        <v/>
      </c>
      <c r="BE145" s="954" t="str">
        <f ca="1">IFERROR(OFFSET(A1_集計2025,$A145,BE$1),"")</f>
        <v/>
      </c>
      <c r="BF145" s="954" t="str">
        <f ca="1">IFERROR(OFFSET(A1_集計2026,$A145,BF$1),"")</f>
        <v/>
      </c>
      <c r="BG145" s="954" t="str">
        <f ca="1">IFERROR(OFFSET(A1_集計2027,$A145,BG$1),"")</f>
        <v/>
      </c>
      <c r="BH145" s="954" t="str">
        <f ca="1">IFERROR(OFFSET(A1_集計2024,$A145,BH$1),"")</f>
        <v/>
      </c>
      <c r="BI145" s="954" t="str">
        <f ca="1">IFERROR(OFFSET(A1_集計2025,$A145,BI$1),"")</f>
        <v/>
      </c>
      <c r="BJ145" s="954" t="str">
        <f ca="1">IFERROR(OFFSET(A1_集計2026,$A145,BJ$1),"")</f>
        <v/>
      </c>
      <c r="BK145" s="954" t="str">
        <f ca="1">IFERROR(OFFSET(A1_集計2027,$A145,BK$1),"")</f>
        <v/>
      </c>
      <c r="BL145" s="954" t="str">
        <f ca="1">IFERROR(OFFSET(A1_集計2024,$A145,BL$1),"")</f>
        <v/>
      </c>
      <c r="BM145" s="954" t="str">
        <f ca="1">IFERROR(OFFSET(A1_集計2025,$A145,BM$1),"")</f>
        <v/>
      </c>
      <c r="BN145" s="954" t="str">
        <f ca="1">IFERROR(OFFSET(A1_集計2026,$A145,BN$1),"")</f>
        <v/>
      </c>
      <c r="BO145" s="954" t="str">
        <f ca="1">IFERROR(OFFSET(A1_集計2027,$A145,BO$1),"")</f>
        <v/>
      </c>
    </row>
    <row r="146" spans="1:67" ht="20.100000000000001" hidden="1" customHeight="1" outlineLevel="1">
      <c r="B146" s="1924"/>
      <c r="C146" s="1922"/>
      <c r="D146" s="958" t="s">
        <v>4248</v>
      </c>
      <c r="E146" s="1007"/>
      <c r="F146" s="1002"/>
      <c r="G146" s="1003" t="s">
        <v>4685</v>
      </c>
      <c r="H146" s="1004"/>
      <c r="I146" s="1004"/>
      <c r="J146" s="1004"/>
      <c r="K146" s="1004"/>
      <c r="L146" s="1004">
        <f t="shared" ref="L146:BO150" ca="1" si="45">L36</f>
        <v>0</v>
      </c>
      <c r="M146" s="1004">
        <f t="shared" ca="1" si="45"/>
        <v>0</v>
      </c>
      <c r="N146" s="1004">
        <f t="shared" ca="1" si="45"/>
        <v>0</v>
      </c>
      <c r="O146" s="1004">
        <f t="shared" ca="1" si="45"/>
        <v>0</v>
      </c>
      <c r="P146" s="1004">
        <f t="shared" ca="1" si="45"/>
        <v>0</v>
      </c>
      <c r="Q146" s="1004">
        <f t="shared" ca="1" si="45"/>
        <v>0</v>
      </c>
      <c r="R146" s="1004">
        <f t="shared" ca="1" si="45"/>
        <v>0</v>
      </c>
      <c r="S146" s="1004">
        <f t="shared" ca="1" si="45"/>
        <v>0</v>
      </c>
      <c r="T146" s="1004">
        <f t="shared" ca="1" si="45"/>
        <v>0</v>
      </c>
      <c r="U146" s="1004">
        <f t="shared" ca="1" si="45"/>
        <v>0</v>
      </c>
      <c r="V146" s="1004">
        <f t="shared" ca="1" si="45"/>
        <v>0</v>
      </c>
      <c r="W146" s="1004">
        <f t="shared" ca="1" si="45"/>
        <v>0</v>
      </c>
      <c r="X146" s="1004">
        <f t="shared" ca="1" si="45"/>
        <v>0</v>
      </c>
      <c r="Y146" s="1004">
        <f t="shared" ca="1" si="45"/>
        <v>0</v>
      </c>
      <c r="Z146" s="1004">
        <f t="shared" ca="1" si="45"/>
        <v>0</v>
      </c>
      <c r="AA146" s="1004">
        <f t="shared" ca="1" si="45"/>
        <v>0</v>
      </c>
      <c r="AB146" s="1004" t="str">
        <f t="shared" ca="1" si="45"/>
        <v/>
      </c>
      <c r="AC146" s="1004" t="str">
        <f t="shared" ca="1" si="45"/>
        <v/>
      </c>
      <c r="AD146" s="1004" t="str">
        <f t="shared" ca="1" si="45"/>
        <v/>
      </c>
      <c r="AE146" s="1004" t="str">
        <f t="shared" ca="1" si="45"/>
        <v/>
      </c>
      <c r="AF146" s="1004" t="str">
        <f t="shared" ca="1" si="45"/>
        <v/>
      </c>
      <c r="AG146" s="1004" t="str">
        <f t="shared" ca="1" si="45"/>
        <v/>
      </c>
      <c r="AH146" s="1004" t="str">
        <f t="shared" ca="1" si="45"/>
        <v/>
      </c>
      <c r="AI146" s="1004" t="str">
        <f t="shared" ca="1" si="45"/>
        <v/>
      </c>
      <c r="AJ146" s="1004" t="str">
        <f t="shared" ca="1" si="45"/>
        <v/>
      </c>
      <c r="AK146" s="1004" t="str">
        <f t="shared" ca="1" si="45"/>
        <v/>
      </c>
      <c r="AL146" s="1004" t="str">
        <f t="shared" ca="1" si="45"/>
        <v/>
      </c>
      <c r="AM146" s="1004" t="str">
        <f t="shared" ca="1" si="45"/>
        <v/>
      </c>
      <c r="AN146" s="1004" t="str">
        <f t="shared" ca="1" si="45"/>
        <v/>
      </c>
      <c r="AO146" s="1004" t="str">
        <f t="shared" ca="1" si="45"/>
        <v/>
      </c>
      <c r="AP146" s="1004" t="str">
        <f t="shared" ca="1" si="45"/>
        <v/>
      </c>
      <c r="AQ146" s="1004" t="str">
        <f t="shared" ca="1" si="45"/>
        <v/>
      </c>
      <c r="AR146" s="1004" t="str">
        <f t="shared" ca="1" si="45"/>
        <v/>
      </c>
      <c r="AS146" s="1004" t="str">
        <f t="shared" ca="1" si="45"/>
        <v/>
      </c>
      <c r="AT146" s="1004" t="str">
        <f t="shared" ca="1" si="45"/>
        <v/>
      </c>
      <c r="AU146" s="1004" t="str">
        <f t="shared" ca="1" si="45"/>
        <v/>
      </c>
      <c r="AV146" s="1004" t="str">
        <f t="shared" ca="1" si="45"/>
        <v/>
      </c>
      <c r="AW146" s="1004" t="str">
        <f t="shared" ca="1" si="45"/>
        <v/>
      </c>
      <c r="AX146" s="1004" t="str">
        <f t="shared" ca="1" si="45"/>
        <v/>
      </c>
      <c r="AY146" s="1004" t="str">
        <f t="shared" ca="1" si="45"/>
        <v/>
      </c>
      <c r="AZ146" s="1004" t="str">
        <f t="shared" ca="1" si="45"/>
        <v/>
      </c>
      <c r="BA146" s="1004" t="str">
        <f t="shared" ca="1" si="45"/>
        <v/>
      </c>
      <c r="BB146" s="1004" t="str">
        <f t="shared" ca="1" si="45"/>
        <v/>
      </c>
      <c r="BC146" s="1004" t="str">
        <f t="shared" ca="1" si="45"/>
        <v/>
      </c>
      <c r="BD146" s="1004" t="str">
        <f t="shared" ca="1" si="45"/>
        <v/>
      </c>
      <c r="BE146" s="1004" t="str">
        <f t="shared" ca="1" si="45"/>
        <v/>
      </c>
      <c r="BF146" s="1004" t="str">
        <f t="shared" ca="1" si="45"/>
        <v/>
      </c>
      <c r="BG146" s="1004" t="str">
        <f t="shared" ca="1" si="45"/>
        <v/>
      </c>
      <c r="BH146" s="1004" t="str">
        <f t="shared" ca="1" si="45"/>
        <v/>
      </c>
      <c r="BI146" s="1004" t="str">
        <f t="shared" ca="1" si="45"/>
        <v/>
      </c>
      <c r="BJ146" s="1004" t="str">
        <f t="shared" ca="1" si="45"/>
        <v/>
      </c>
      <c r="BK146" s="1004" t="str">
        <f t="shared" ca="1" si="45"/>
        <v/>
      </c>
      <c r="BL146" s="1004" t="str">
        <f t="shared" ca="1" si="45"/>
        <v/>
      </c>
      <c r="BM146" s="1004" t="str">
        <f t="shared" ca="1" si="45"/>
        <v/>
      </c>
      <c r="BN146" s="1004" t="str">
        <f t="shared" ca="1" si="45"/>
        <v/>
      </c>
      <c r="BO146" s="1004" t="str">
        <f t="shared" ca="1" si="45"/>
        <v/>
      </c>
    </row>
    <row r="147" spans="1:67" ht="20.100000000000001" hidden="1" customHeight="1" outlineLevel="1">
      <c r="B147" s="1924"/>
      <c r="C147" s="1921" t="s">
        <v>4406</v>
      </c>
      <c r="D147" s="1008" t="s">
        <v>4407</v>
      </c>
      <c r="E147" s="958"/>
      <c r="F147" s="1002"/>
      <c r="G147" s="1003" t="s">
        <v>4685</v>
      </c>
      <c r="H147" s="1004"/>
      <c r="I147" s="1004"/>
      <c r="J147" s="1004"/>
      <c r="K147" s="1004"/>
      <c r="L147" s="1004">
        <f t="shared" ca="1" si="45"/>
        <v>0</v>
      </c>
      <c r="M147" s="1004">
        <f t="shared" ca="1" si="45"/>
        <v>0</v>
      </c>
      <c r="N147" s="1004">
        <f t="shared" ca="1" si="45"/>
        <v>0</v>
      </c>
      <c r="O147" s="1004">
        <f t="shared" ca="1" si="45"/>
        <v>0</v>
      </c>
      <c r="P147" s="1004">
        <f t="shared" ca="1" si="45"/>
        <v>0</v>
      </c>
      <c r="Q147" s="1004">
        <f t="shared" ca="1" si="45"/>
        <v>0</v>
      </c>
      <c r="R147" s="1004">
        <f t="shared" ca="1" si="45"/>
        <v>0</v>
      </c>
      <c r="S147" s="1004">
        <f t="shared" ca="1" si="45"/>
        <v>0</v>
      </c>
      <c r="T147" s="1004">
        <f t="shared" ca="1" si="45"/>
        <v>0</v>
      </c>
      <c r="U147" s="1004">
        <f t="shared" ca="1" si="45"/>
        <v>0</v>
      </c>
      <c r="V147" s="1004">
        <f t="shared" ca="1" si="45"/>
        <v>0</v>
      </c>
      <c r="W147" s="1004">
        <f t="shared" ca="1" si="45"/>
        <v>0</v>
      </c>
      <c r="X147" s="1004">
        <f t="shared" ca="1" si="45"/>
        <v>0</v>
      </c>
      <c r="Y147" s="1004">
        <f t="shared" ca="1" si="45"/>
        <v>0</v>
      </c>
      <c r="Z147" s="1004">
        <f t="shared" ca="1" si="45"/>
        <v>0</v>
      </c>
      <c r="AA147" s="1004">
        <f t="shared" ca="1" si="45"/>
        <v>0</v>
      </c>
      <c r="AB147" s="1004" t="str">
        <f t="shared" ca="1" si="45"/>
        <v/>
      </c>
      <c r="AC147" s="1004" t="str">
        <f t="shared" ca="1" si="45"/>
        <v/>
      </c>
      <c r="AD147" s="1004" t="str">
        <f t="shared" ca="1" si="45"/>
        <v/>
      </c>
      <c r="AE147" s="1004" t="str">
        <f t="shared" ca="1" si="45"/>
        <v/>
      </c>
      <c r="AF147" s="1004" t="str">
        <f t="shared" ca="1" si="45"/>
        <v/>
      </c>
      <c r="AG147" s="1004" t="str">
        <f t="shared" ca="1" si="45"/>
        <v/>
      </c>
      <c r="AH147" s="1004" t="str">
        <f t="shared" ca="1" si="45"/>
        <v/>
      </c>
      <c r="AI147" s="1004" t="str">
        <f t="shared" ca="1" si="45"/>
        <v/>
      </c>
      <c r="AJ147" s="1004" t="str">
        <f t="shared" ca="1" si="45"/>
        <v/>
      </c>
      <c r="AK147" s="1004" t="str">
        <f t="shared" ca="1" si="45"/>
        <v/>
      </c>
      <c r="AL147" s="1004" t="str">
        <f t="shared" ca="1" si="45"/>
        <v/>
      </c>
      <c r="AM147" s="1004" t="str">
        <f t="shared" ca="1" si="45"/>
        <v/>
      </c>
      <c r="AN147" s="1004" t="str">
        <f t="shared" ca="1" si="45"/>
        <v/>
      </c>
      <c r="AO147" s="1004" t="str">
        <f t="shared" ca="1" si="45"/>
        <v/>
      </c>
      <c r="AP147" s="1004" t="str">
        <f t="shared" ca="1" si="45"/>
        <v/>
      </c>
      <c r="AQ147" s="1004" t="str">
        <f t="shared" ca="1" si="45"/>
        <v/>
      </c>
      <c r="AR147" s="1004" t="str">
        <f t="shared" ca="1" si="45"/>
        <v/>
      </c>
      <c r="AS147" s="1004" t="str">
        <f t="shared" ca="1" si="45"/>
        <v/>
      </c>
      <c r="AT147" s="1004" t="str">
        <f t="shared" ca="1" si="45"/>
        <v/>
      </c>
      <c r="AU147" s="1004" t="str">
        <f t="shared" ca="1" si="45"/>
        <v/>
      </c>
      <c r="AV147" s="1004" t="str">
        <f t="shared" ca="1" si="45"/>
        <v/>
      </c>
      <c r="AW147" s="1004" t="str">
        <f t="shared" ca="1" si="45"/>
        <v/>
      </c>
      <c r="AX147" s="1004" t="str">
        <f t="shared" ca="1" si="45"/>
        <v/>
      </c>
      <c r="AY147" s="1004" t="str">
        <f t="shared" ca="1" si="45"/>
        <v/>
      </c>
      <c r="AZ147" s="1004" t="str">
        <f t="shared" ca="1" si="45"/>
        <v/>
      </c>
      <c r="BA147" s="1004" t="str">
        <f t="shared" ca="1" si="45"/>
        <v/>
      </c>
      <c r="BB147" s="1004" t="str">
        <f t="shared" ca="1" si="45"/>
        <v/>
      </c>
      <c r="BC147" s="1004" t="str">
        <f t="shared" ca="1" si="45"/>
        <v/>
      </c>
      <c r="BD147" s="1004" t="str">
        <f t="shared" ca="1" si="45"/>
        <v/>
      </c>
      <c r="BE147" s="1004" t="str">
        <f t="shared" ca="1" si="45"/>
        <v/>
      </c>
      <c r="BF147" s="1004" t="str">
        <f t="shared" ca="1" si="45"/>
        <v/>
      </c>
      <c r="BG147" s="1004" t="str">
        <f t="shared" ca="1" si="45"/>
        <v/>
      </c>
      <c r="BH147" s="1004" t="str">
        <f t="shared" ca="1" si="45"/>
        <v/>
      </c>
      <c r="BI147" s="1004" t="str">
        <f t="shared" ca="1" si="45"/>
        <v/>
      </c>
      <c r="BJ147" s="1004" t="str">
        <f t="shared" ca="1" si="45"/>
        <v/>
      </c>
      <c r="BK147" s="1004" t="str">
        <f t="shared" ca="1" si="45"/>
        <v/>
      </c>
      <c r="BL147" s="1004" t="str">
        <f t="shared" ca="1" si="45"/>
        <v/>
      </c>
      <c r="BM147" s="1004" t="str">
        <f t="shared" ca="1" si="45"/>
        <v/>
      </c>
      <c r="BN147" s="1004" t="str">
        <f t="shared" ca="1" si="45"/>
        <v/>
      </c>
      <c r="BO147" s="1004" t="str">
        <f t="shared" ca="1" si="45"/>
        <v/>
      </c>
    </row>
    <row r="148" spans="1:67" ht="20.100000000000001" hidden="1" customHeight="1" outlineLevel="1">
      <c r="B148" s="1924"/>
      <c r="C148" s="1922"/>
      <c r="D148" s="1008" t="s">
        <v>4408</v>
      </c>
      <c r="E148" s="958"/>
      <c r="F148" s="1002"/>
      <c r="G148" s="1003" t="s">
        <v>4685</v>
      </c>
      <c r="H148" s="1004"/>
      <c r="I148" s="1004"/>
      <c r="J148" s="1004"/>
      <c r="K148" s="1004"/>
      <c r="L148" s="1004">
        <f t="shared" ca="1" si="45"/>
        <v>0</v>
      </c>
      <c r="M148" s="1004">
        <f t="shared" ca="1" si="45"/>
        <v>0</v>
      </c>
      <c r="N148" s="1004">
        <f t="shared" ca="1" si="45"/>
        <v>0</v>
      </c>
      <c r="O148" s="1004">
        <f t="shared" ca="1" si="45"/>
        <v>0</v>
      </c>
      <c r="P148" s="1004">
        <f t="shared" ca="1" si="45"/>
        <v>0</v>
      </c>
      <c r="Q148" s="1004">
        <f t="shared" ca="1" si="45"/>
        <v>0</v>
      </c>
      <c r="R148" s="1004">
        <f t="shared" ca="1" si="45"/>
        <v>0</v>
      </c>
      <c r="S148" s="1004">
        <f t="shared" ca="1" si="45"/>
        <v>0</v>
      </c>
      <c r="T148" s="1004">
        <f t="shared" ca="1" si="45"/>
        <v>0</v>
      </c>
      <c r="U148" s="1004">
        <f t="shared" ca="1" si="45"/>
        <v>0</v>
      </c>
      <c r="V148" s="1004">
        <f t="shared" ca="1" si="45"/>
        <v>0</v>
      </c>
      <c r="W148" s="1004">
        <f t="shared" ca="1" si="45"/>
        <v>0</v>
      </c>
      <c r="X148" s="1004">
        <f t="shared" ca="1" si="45"/>
        <v>0</v>
      </c>
      <c r="Y148" s="1004">
        <f t="shared" ca="1" si="45"/>
        <v>0</v>
      </c>
      <c r="Z148" s="1004">
        <f t="shared" ca="1" si="45"/>
        <v>0</v>
      </c>
      <c r="AA148" s="1004">
        <f t="shared" ca="1" si="45"/>
        <v>0</v>
      </c>
      <c r="AB148" s="1004" t="str">
        <f t="shared" ca="1" si="45"/>
        <v/>
      </c>
      <c r="AC148" s="1004" t="str">
        <f t="shared" ca="1" si="45"/>
        <v/>
      </c>
      <c r="AD148" s="1004" t="str">
        <f t="shared" ca="1" si="45"/>
        <v/>
      </c>
      <c r="AE148" s="1004" t="str">
        <f t="shared" ca="1" si="45"/>
        <v/>
      </c>
      <c r="AF148" s="1004" t="str">
        <f t="shared" ca="1" si="45"/>
        <v/>
      </c>
      <c r="AG148" s="1004" t="str">
        <f t="shared" ca="1" si="45"/>
        <v/>
      </c>
      <c r="AH148" s="1004" t="str">
        <f t="shared" ca="1" si="45"/>
        <v/>
      </c>
      <c r="AI148" s="1004" t="str">
        <f t="shared" ca="1" si="45"/>
        <v/>
      </c>
      <c r="AJ148" s="1004" t="str">
        <f t="shared" ca="1" si="45"/>
        <v/>
      </c>
      <c r="AK148" s="1004" t="str">
        <f t="shared" ca="1" si="45"/>
        <v/>
      </c>
      <c r="AL148" s="1004" t="str">
        <f t="shared" ca="1" si="45"/>
        <v/>
      </c>
      <c r="AM148" s="1004" t="str">
        <f t="shared" ca="1" si="45"/>
        <v/>
      </c>
      <c r="AN148" s="1004" t="str">
        <f t="shared" ca="1" si="45"/>
        <v/>
      </c>
      <c r="AO148" s="1004" t="str">
        <f t="shared" ca="1" si="45"/>
        <v/>
      </c>
      <c r="AP148" s="1004" t="str">
        <f t="shared" ca="1" si="45"/>
        <v/>
      </c>
      <c r="AQ148" s="1004" t="str">
        <f t="shared" ca="1" si="45"/>
        <v/>
      </c>
      <c r="AR148" s="1004" t="str">
        <f t="shared" ca="1" si="45"/>
        <v/>
      </c>
      <c r="AS148" s="1004" t="str">
        <f t="shared" ca="1" si="45"/>
        <v/>
      </c>
      <c r="AT148" s="1004" t="str">
        <f t="shared" ca="1" si="45"/>
        <v/>
      </c>
      <c r="AU148" s="1004" t="str">
        <f t="shared" ca="1" si="45"/>
        <v/>
      </c>
      <c r="AV148" s="1004" t="str">
        <f t="shared" ca="1" si="45"/>
        <v/>
      </c>
      <c r="AW148" s="1004" t="str">
        <f t="shared" ca="1" si="45"/>
        <v/>
      </c>
      <c r="AX148" s="1004" t="str">
        <f t="shared" ca="1" si="45"/>
        <v/>
      </c>
      <c r="AY148" s="1004" t="str">
        <f t="shared" ca="1" si="45"/>
        <v/>
      </c>
      <c r="AZ148" s="1004" t="str">
        <f t="shared" ca="1" si="45"/>
        <v/>
      </c>
      <c r="BA148" s="1004" t="str">
        <f t="shared" ca="1" si="45"/>
        <v/>
      </c>
      <c r="BB148" s="1004" t="str">
        <f t="shared" ca="1" si="45"/>
        <v/>
      </c>
      <c r="BC148" s="1004" t="str">
        <f t="shared" ca="1" si="45"/>
        <v/>
      </c>
      <c r="BD148" s="1004" t="str">
        <f t="shared" ca="1" si="45"/>
        <v/>
      </c>
      <c r="BE148" s="1004" t="str">
        <f t="shared" ca="1" si="45"/>
        <v/>
      </c>
      <c r="BF148" s="1004" t="str">
        <f t="shared" ca="1" si="45"/>
        <v/>
      </c>
      <c r="BG148" s="1004" t="str">
        <f t="shared" ca="1" si="45"/>
        <v/>
      </c>
      <c r="BH148" s="1004" t="str">
        <f t="shared" ca="1" si="45"/>
        <v/>
      </c>
      <c r="BI148" s="1004" t="str">
        <f t="shared" ca="1" si="45"/>
        <v/>
      </c>
      <c r="BJ148" s="1004" t="str">
        <f t="shared" ca="1" si="45"/>
        <v/>
      </c>
      <c r="BK148" s="1004" t="str">
        <f t="shared" ca="1" si="45"/>
        <v/>
      </c>
      <c r="BL148" s="1004" t="str">
        <f t="shared" ca="1" si="45"/>
        <v/>
      </c>
      <c r="BM148" s="1004" t="str">
        <f t="shared" ca="1" si="45"/>
        <v/>
      </c>
      <c r="BN148" s="1004" t="str">
        <f t="shared" ca="1" si="45"/>
        <v/>
      </c>
      <c r="BO148" s="1004" t="str">
        <f t="shared" ca="1" si="45"/>
        <v/>
      </c>
    </row>
    <row r="149" spans="1:67" ht="20.100000000000001" hidden="1" customHeight="1" outlineLevel="1">
      <c r="B149" s="1924"/>
      <c r="C149" s="1922"/>
      <c r="D149" s="1008" t="s">
        <v>4409</v>
      </c>
      <c r="E149" s="1005"/>
      <c r="F149" s="1002"/>
      <c r="G149" s="1003" t="s">
        <v>4685</v>
      </c>
      <c r="H149" s="1004"/>
      <c r="I149" s="1004"/>
      <c r="J149" s="1004"/>
      <c r="K149" s="1004"/>
      <c r="L149" s="1004">
        <f t="shared" ca="1" si="45"/>
        <v>0</v>
      </c>
      <c r="M149" s="1004">
        <f t="shared" ca="1" si="45"/>
        <v>0</v>
      </c>
      <c r="N149" s="1004">
        <f t="shared" ca="1" si="45"/>
        <v>0</v>
      </c>
      <c r="O149" s="1004">
        <f t="shared" ca="1" si="45"/>
        <v>0</v>
      </c>
      <c r="P149" s="1004">
        <f t="shared" ca="1" si="45"/>
        <v>0</v>
      </c>
      <c r="Q149" s="1004">
        <f t="shared" ca="1" si="45"/>
        <v>0</v>
      </c>
      <c r="R149" s="1004">
        <f t="shared" ca="1" si="45"/>
        <v>0</v>
      </c>
      <c r="S149" s="1004">
        <f t="shared" ca="1" si="45"/>
        <v>0</v>
      </c>
      <c r="T149" s="1004">
        <f t="shared" ca="1" si="45"/>
        <v>0</v>
      </c>
      <c r="U149" s="1004">
        <f t="shared" ca="1" si="45"/>
        <v>0</v>
      </c>
      <c r="V149" s="1004">
        <f t="shared" ca="1" si="45"/>
        <v>0</v>
      </c>
      <c r="W149" s="1004">
        <f t="shared" ca="1" si="45"/>
        <v>0</v>
      </c>
      <c r="X149" s="1004">
        <f t="shared" ca="1" si="45"/>
        <v>0</v>
      </c>
      <c r="Y149" s="1004">
        <f t="shared" ca="1" si="45"/>
        <v>0</v>
      </c>
      <c r="Z149" s="1004">
        <f t="shared" ca="1" si="45"/>
        <v>0</v>
      </c>
      <c r="AA149" s="1004">
        <f t="shared" ca="1" si="45"/>
        <v>0</v>
      </c>
      <c r="AB149" s="1004" t="str">
        <f t="shared" ca="1" si="45"/>
        <v/>
      </c>
      <c r="AC149" s="1004" t="str">
        <f t="shared" ca="1" si="45"/>
        <v/>
      </c>
      <c r="AD149" s="1004" t="str">
        <f t="shared" ca="1" si="45"/>
        <v/>
      </c>
      <c r="AE149" s="1004" t="str">
        <f t="shared" ca="1" si="45"/>
        <v/>
      </c>
      <c r="AF149" s="1004" t="str">
        <f t="shared" ca="1" si="45"/>
        <v/>
      </c>
      <c r="AG149" s="1004" t="str">
        <f t="shared" ca="1" si="45"/>
        <v/>
      </c>
      <c r="AH149" s="1004" t="str">
        <f t="shared" ca="1" si="45"/>
        <v/>
      </c>
      <c r="AI149" s="1004" t="str">
        <f t="shared" ca="1" si="45"/>
        <v/>
      </c>
      <c r="AJ149" s="1004" t="str">
        <f t="shared" ca="1" si="45"/>
        <v/>
      </c>
      <c r="AK149" s="1004" t="str">
        <f t="shared" ca="1" si="45"/>
        <v/>
      </c>
      <c r="AL149" s="1004" t="str">
        <f t="shared" ca="1" si="45"/>
        <v/>
      </c>
      <c r="AM149" s="1004" t="str">
        <f t="shared" ca="1" si="45"/>
        <v/>
      </c>
      <c r="AN149" s="1004" t="str">
        <f t="shared" ca="1" si="45"/>
        <v/>
      </c>
      <c r="AO149" s="1004" t="str">
        <f t="shared" ca="1" si="45"/>
        <v/>
      </c>
      <c r="AP149" s="1004" t="str">
        <f t="shared" ca="1" si="45"/>
        <v/>
      </c>
      <c r="AQ149" s="1004" t="str">
        <f t="shared" ca="1" si="45"/>
        <v/>
      </c>
      <c r="AR149" s="1004" t="str">
        <f t="shared" ca="1" si="45"/>
        <v/>
      </c>
      <c r="AS149" s="1004" t="str">
        <f t="shared" ca="1" si="45"/>
        <v/>
      </c>
      <c r="AT149" s="1004" t="str">
        <f t="shared" ca="1" si="45"/>
        <v/>
      </c>
      <c r="AU149" s="1004" t="str">
        <f t="shared" ca="1" si="45"/>
        <v/>
      </c>
      <c r="AV149" s="1004" t="str">
        <f t="shared" ca="1" si="45"/>
        <v/>
      </c>
      <c r="AW149" s="1004" t="str">
        <f t="shared" ca="1" si="45"/>
        <v/>
      </c>
      <c r="AX149" s="1004" t="str">
        <f t="shared" ca="1" si="45"/>
        <v/>
      </c>
      <c r="AY149" s="1004" t="str">
        <f t="shared" ca="1" si="45"/>
        <v/>
      </c>
      <c r="AZ149" s="1004" t="str">
        <f t="shared" ca="1" si="45"/>
        <v/>
      </c>
      <c r="BA149" s="1004" t="str">
        <f t="shared" ca="1" si="45"/>
        <v/>
      </c>
      <c r="BB149" s="1004" t="str">
        <f t="shared" ca="1" si="45"/>
        <v/>
      </c>
      <c r="BC149" s="1004" t="str">
        <f t="shared" ca="1" si="45"/>
        <v/>
      </c>
      <c r="BD149" s="1004" t="str">
        <f t="shared" ca="1" si="45"/>
        <v/>
      </c>
      <c r="BE149" s="1004" t="str">
        <f t="shared" ca="1" si="45"/>
        <v/>
      </c>
      <c r="BF149" s="1004" t="str">
        <f t="shared" ca="1" si="45"/>
        <v/>
      </c>
      <c r="BG149" s="1004" t="str">
        <f t="shared" ca="1" si="45"/>
        <v/>
      </c>
      <c r="BH149" s="1004" t="str">
        <f t="shared" ca="1" si="45"/>
        <v/>
      </c>
      <c r="BI149" s="1004" t="str">
        <f t="shared" ca="1" si="45"/>
        <v/>
      </c>
      <c r="BJ149" s="1004" t="str">
        <f t="shared" ca="1" si="45"/>
        <v/>
      </c>
      <c r="BK149" s="1004" t="str">
        <f t="shared" ca="1" si="45"/>
        <v/>
      </c>
      <c r="BL149" s="1004" t="str">
        <f t="shared" ca="1" si="45"/>
        <v/>
      </c>
      <c r="BM149" s="1004" t="str">
        <f t="shared" ca="1" si="45"/>
        <v/>
      </c>
      <c r="BN149" s="1004" t="str">
        <f t="shared" ca="1" si="45"/>
        <v/>
      </c>
      <c r="BO149" s="1004" t="str">
        <f t="shared" ca="1" si="45"/>
        <v/>
      </c>
    </row>
    <row r="150" spans="1:67" ht="20.100000000000001" hidden="1" customHeight="1" outlineLevel="1">
      <c r="B150" s="1924"/>
      <c r="C150" s="1922"/>
      <c r="D150" s="958" t="s">
        <v>4179</v>
      </c>
      <c r="E150" s="958"/>
      <c r="F150" s="1002"/>
      <c r="G150" s="1003" t="s">
        <v>4685</v>
      </c>
      <c r="H150" s="1004"/>
      <c r="I150" s="1004"/>
      <c r="J150" s="1004"/>
      <c r="K150" s="1004"/>
      <c r="L150" s="1004">
        <f t="shared" ca="1" si="45"/>
        <v>0</v>
      </c>
      <c r="M150" s="1004">
        <f t="shared" ca="1" si="45"/>
        <v>0</v>
      </c>
      <c r="N150" s="1004">
        <f t="shared" ca="1" si="45"/>
        <v>0</v>
      </c>
      <c r="O150" s="1004">
        <f t="shared" ca="1" si="45"/>
        <v>0</v>
      </c>
      <c r="P150" s="1004">
        <f t="shared" ca="1" si="45"/>
        <v>0</v>
      </c>
      <c r="Q150" s="1004">
        <f t="shared" ca="1" si="45"/>
        <v>0</v>
      </c>
      <c r="R150" s="1004">
        <f t="shared" ca="1" si="45"/>
        <v>0</v>
      </c>
      <c r="S150" s="1004">
        <f t="shared" ca="1" si="45"/>
        <v>0</v>
      </c>
      <c r="T150" s="1004">
        <f t="shared" ca="1" si="45"/>
        <v>0</v>
      </c>
      <c r="U150" s="1004">
        <f t="shared" ca="1" si="45"/>
        <v>0</v>
      </c>
      <c r="V150" s="1004">
        <f t="shared" ca="1" si="45"/>
        <v>0</v>
      </c>
      <c r="W150" s="1004">
        <f t="shared" ca="1" si="45"/>
        <v>0</v>
      </c>
      <c r="X150" s="1004">
        <f t="shared" ca="1" si="45"/>
        <v>0</v>
      </c>
      <c r="Y150" s="1004">
        <f t="shared" ca="1" si="45"/>
        <v>0</v>
      </c>
      <c r="Z150" s="1004">
        <f t="shared" ca="1" si="45"/>
        <v>0</v>
      </c>
      <c r="AA150" s="1004">
        <f t="shared" ca="1" si="45"/>
        <v>0</v>
      </c>
      <c r="AB150" s="1004" t="str">
        <f t="shared" ca="1" si="45"/>
        <v/>
      </c>
      <c r="AC150" s="1004" t="str">
        <f t="shared" ca="1" si="45"/>
        <v/>
      </c>
      <c r="AD150" s="1004" t="str">
        <f t="shared" ca="1" si="45"/>
        <v/>
      </c>
      <c r="AE150" s="1004" t="str">
        <f t="shared" ca="1" si="45"/>
        <v/>
      </c>
      <c r="AF150" s="1004" t="str">
        <f t="shared" ca="1" si="45"/>
        <v/>
      </c>
      <c r="AG150" s="1004" t="str">
        <f t="shared" ca="1" si="45"/>
        <v/>
      </c>
      <c r="AH150" s="1004" t="str">
        <f t="shared" ca="1" si="45"/>
        <v/>
      </c>
      <c r="AI150" s="1004" t="str">
        <f t="shared" ca="1" si="45"/>
        <v/>
      </c>
      <c r="AJ150" s="1004" t="str">
        <f t="shared" ca="1" si="45"/>
        <v/>
      </c>
      <c r="AK150" s="1004" t="str">
        <f t="shared" ca="1" si="45"/>
        <v/>
      </c>
      <c r="AL150" s="1004" t="str">
        <f t="shared" ca="1" si="45"/>
        <v/>
      </c>
      <c r="AM150" s="1004" t="str">
        <f t="shared" ca="1" si="45"/>
        <v/>
      </c>
      <c r="AN150" s="1004" t="str">
        <f t="shared" ca="1" si="45"/>
        <v/>
      </c>
      <c r="AO150" s="1004" t="str">
        <f t="shared" ca="1" si="45"/>
        <v/>
      </c>
      <c r="AP150" s="1004" t="str">
        <f t="shared" ca="1" si="45"/>
        <v/>
      </c>
      <c r="AQ150" s="1004" t="str">
        <f t="shared" ref="AQ150:BO150" ca="1" si="46">AQ40</f>
        <v/>
      </c>
      <c r="AR150" s="1004" t="str">
        <f t="shared" ca="1" si="46"/>
        <v/>
      </c>
      <c r="AS150" s="1004" t="str">
        <f t="shared" ca="1" si="46"/>
        <v/>
      </c>
      <c r="AT150" s="1004" t="str">
        <f t="shared" ca="1" si="46"/>
        <v/>
      </c>
      <c r="AU150" s="1004" t="str">
        <f t="shared" ca="1" si="46"/>
        <v/>
      </c>
      <c r="AV150" s="1004" t="str">
        <f t="shared" ca="1" si="46"/>
        <v/>
      </c>
      <c r="AW150" s="1004" t="str">
        <f t="shared" ca="1" si="46"/>
        <v/>
      </c>
      <c r="AX150" s="1004" t="str">
        <f t="shared" ca="1" si="46"/>
        <v/>
      </c>
      <c r="AY150" s="1004" t="str">
        <f t="shared" ca="1" si="46"/>
        <v/>
      </c>
      <c r="AZ150" s="1004" t="str">
        <f t="shared" ca="1" si="46"/>
        <v/>
      </c>
      <c r="BA150" s="1004" t="str">
        <f t="shared" ca="1" si="46"/>
        <v/>
      </c>
      <c r="BB150" s="1004" t="str">
        <f t="shared" ca="1" si="46"/>
        <v/>
      </c>
      <c r="BC150" s="1004" t="str">
        <f t="shared" ca="1" si="46"/>
        <v/>
      </c>
      <c r="BD150" s="1004" t="str">
        <f t="shared" ca="1" si="46"/>
        <v/>
      </c>
      <c r="BE150" s="1004" t="str">
        <f t="shared" ca="1" si="46"/>
        <v/>
      </c>
      <c r="BF150" s="1004" t="str">
        <f t="shared" ca="1" si="46"/>
        <v/>
      </c>
      <c r="BG150" s="1004" t="str">
        <f t="shared" ca="1" si="46"/>
        <v/>
      </c>
      <c r="BH150" s="1004" t="str">
        <f t="shared" ca="1" si="46"/>
        <v/>
      </c>
      <c r="BI150" s="1004" t="str">
        <f t="shared" ca="1" si="46"/>
        <v/>
      </c>
      <c r="BJ150" s="1004" t="str">
        <f t="shared" ca="1" si="46"/>
        <v/>
      </c>
      <c r="BK150" s="1004" t="str">
        <f t="shared" ca="1" si="46"/>
        <v/>
      </c>
      <c r="BL150" s="1004" t="str">
        <f t="shared" ca="1" si="46"/>
        <v/>
      </c>
      <c r="BM150" s="1004" t="str">
        <f t="shared" ca="1" si="46"/>
        <v/>
      </c>
      <c r="BN150" s="1004" t="str">
        <f t="shared" ca="1" si="46"/>
        <v/>
      </c>
      <c r="BO150" s="1004" t="str">
        <f t="shared" ca="1" si="46"/>
        <v/>
      </c>
    </row>
    <row r="151" spans="1:67" ht="20.100000000000001" hidden="1" customHeight="1" outlineLevel="1">
      <c r="B151" s="1924"/>
      <c r="C151" s="1922"/>
      <c r="D151" s="958" t="s">
        <v>4180</v>
      </c>
      <c r="E151" s="958"/>
      <c r="F151" s="1002"/>
      <c r="G151" s="1003" t="s">
        <v>4685</v>
      </c>
      <c r="H151" s="1004"/>
      <c r="I151" s="1004"/>
      <c r="J151" s="1004"/>
      <c r="K151" s="1004"/>
      <c r="L151" s="1004">
        <f t="shared" ref="L151:BO155" ca="1" si="47">L41</f>
        <v>0</v>
      </c>
      <c r="M151" s="1004">
        <f t="shared" ca="1" si="47"/>
        <v>0</v>
      </c>
      <c r="N151" s="1004">
        <f t="shared" ca="1" si="47"/>
        <v>0</v>
      </c>
      <c r="O151" s="1004">
        <f t="shared" ca="1" si="47"/>
        <v>0</v>
      </c>
      <c r="P151" s="1004">
        <f t="shared" ca="1" si="47"/>
        <v>0</v>
      </c>
      <c r="Q151" s="1004">
        <f t="shared" ca="1" si="47"/>
        <v>0</v>
      </c>
      <c r="R151" s="1004">
        <f t="shared" ca="1" si="47"/>
        <v>0</v>
      </c>
      <c r="S151" s="1004">
        <f t="shared" ca="1" si="47"/>
        <v>0</v>
      </c>
      <c r="T151" s="1004">
        <f t="shared" ca="1" si="47"/>
        <v>0</v>
      </c>
      <c r="U151" s="1004">
        <f t="shared" ca="1" si="47"/>
        <v>0</v>
      </c>
      <c r="V151" s="1004">
        <f t="shared" ca="1" si="47"/>
        <v>0</v>
      </c>
      <c r="W151" s="1004">
        <f t="shared" ca="1" si="47"/>
        <v>0</v>
      </c>
      <c r="X151" s="1004">
        <f t="shared" ca="1" si="47"/>
        <v>0</v>
      </c>
      <c r="Y151" s="1004">
        <f t="shared" ca="1" si="47"/>
        <v>0</v>
      </c>
      <c r="Z151" s="1004">
        <f t="shared" ca="1" si="47"/>
        <v>0</v>
      </c>
      <c r="AA151" s="1004">
        <f t="shared" ca="1" si="47"/>
        <v>0</v>
      </c>
      <c r="AB151" s="1004" t="str">
        <f t="shared" ca="1" si="47"/>
        <v/>
      </c>
      <c r="AC151" s="1004" t="str">
        <f t="shared" ca="1" si="47"/>
        <v/>
      </c>
      <c r="AD151" s="1004" t="str">
        <f t="shared" ca="1" si="47"/>
        <v/>
      </c>
      <c r="AE151" s="1004" t="str">
        <f t="shared" ca="1" si="47"/>
        <v/>
      </c>
      <c r="AF151" s="1004" t="str">
        <f t="shared" ca="1" si="47"/>
        <v/>
      </c>
      <c r="AG151" s="1004" t="str">
        <f t="shared" ca="1" si="47"/>
        <v/>
      </c>
      <c r="AH151" s="1004" t="str">
        <f t="shared" ca="1" si="47"/>
        <v/>
      </c>
      <c r="AI151" s="1004" t="str">
        <f t="shared" ca="1" si="47"/>
        <v/>
      </c>
      <c r="AJ151" s="1004" t="str">
        <f t="shared" ca="1" si="47"/>
        <v/>
      </c>
      <c r="AK151" s="1004" t="str">
        <f t="shared" ca="1" si="47"/>
        <v/>
      </c>
      <c r="AL151" s="1004" t="str">
        <f t="shared" ca="1" si="47"/>
        <v/>
      </c>
      <c r="AM151" s="1004" t="str">
        <f t="shared" ca="1" si="47"/>
        <v/>
      </c>
      <c r="AN151" s="1004" t="str">
        <f t="shared" ca="1" si="47"/>
        <v/>
      </c>
      <c r="AO151" s="1004" t="str">
        <f t="shared" ca="1" si="47"/>
        <v/>
      </c>
      <c r="AP151" s="1004" t="str">
        <f t="shared" ca="1" si="47"/>
        <v/>
      </c>
      <c r="AQ151" s="1004" t="str">
        <f t="shared" ca="1" si="47"/>
        <v/>
      </c>
      <c r="AR151" s="1004" t="str">
        <f t="shared" ca="1" si="47"/>
        <v/>
      </c>
      <c r="AS151" s="1004" t="str">
        <f t="shared" ca="1" si="47"/>
        <v/>
      </c>
      <c r="AT151" s="1004" t="str">
        <f t="shared" ca="1" si="47"/>
        <v/>
      </c>
      <c r="AU151" s="1004" t="str">
        <f t="shared" ca="1" si="47"/>
        <v/>
      </c>
      <c r="AV151" s="1004" t="str">
        <f t="shared" ca="1" si="47"/>
        <v/>
      </c>
      <c r="AW151" s="1004" t="str">
        <f t="shared" ca="1" si="47"/>
        <v/>
      </c>
      <c r="AX151" s="1004" t="str">
        <f t="shared" ca="1" si="47"/>
        <v/>
      </c>
      <c r="AY151" s="1004" t="str">
        <f t="shared" ca="1" si="47"/>
        <v/>
      </c>
      <c r="AZ151" s="1004" t="str">
        <f t="shared" ca="1" si="47"/>
        <v/>
      </c>
      <c r="BA151" s="1004" t="str">
        <f t="shared" ca="1" si="47"/>
        <v/>
      </c>
      <c r="BB151" s="1004" t="str">
        <f t="shared" ca="1" si="47"/>
        <v/>
      </c>
      <c r="BC151" s="1004" t="str">
        <f t="shared" ca="1" si="47"/>
        <v/>
      </c>
      <c r="BD151" s="1004" t="str">
        <f t="shared" ca="1" si="47"/>
        <v/>
      </c>
      <c r="BE151" s="1004" t="str">
        <f t="shared" ca="1" si="47"/>
        <v/>
      </c>
      <c r="BF151" s="1004" t="str">
        <f t="shared" ca="1" si="47"/>
        <v/>
      </c>
      <c r="BG151" s="1004" t="str">
        <f t="shared" ca="1" si="47"/>
        <v/>
      </c>
      <c r="BH151" s="1004" t="str">
        <f t="shared" ca="1" si="47"/>
        <v/>
      </c>
      <c r="BI151" s="1004" t="str">
        <f t="shared" ca="1" si="47"/>
        <v/>
      </c>
      <c r="BJ151" s="1004" t="str">
        <f t="shared" ca="1" si="47"/>
        <v/>
      </c>
      <c r="BK151" s="1004" t="str">
        <f t="shared" ca="1" si="47"/>
        <v/>
      </c>
      <c r="BL151" s="1004" t="str">
        <f t="shared" ca="1" si="47"/>
        <v/>
      </c>
      <c r="BM151" s="1004" t="str">
        <f t="shared" ca="1" si="47"/>
        <v/>
      </c>
      <c r="BN151" s="1004" t="str">
        <f t="shared" ca="1" si="47"/>
        <v/>
      </c>
      <c r="BO151" s="1004" t="str">
        <f t="shared" ca="1" si="47"/>
        <v/>
      </c>
    </row>
    <row r="152" spans="1:67" ht="20.100000000000001" hidden="1" customHeight="1" outlineLevel="1">
      <c r="B152" s="1924"/>
      <c r="C152" s="1922"/>
      <c r="D152" s="958" t="s">
        <v>4181</v>
      </c>
      <c r="E152" s="958"/>
      <c r="F152" s="1002"/>
      <c r="G152" s="1003" t="s">
        <v>4685</v>
      </c>
      <c r="H152" s="1004"/>
      <c r="I152" s="1004"/>
      <c r="J152" s="1004"/>
      <c r="K152" s="1004"/>
      <c r="L152" s="1004">
        <f t="shared" ca="1" si="47"/>
        <v>0</v>
      </c>
      <c r="M152" s="1004">
        <f t="shared" ca="1" si="47"/>
        <v>0</v>
      </c>
      <c r="N152" s="1004">
        <f t="shared" ca="1" si="47"/>
        <v>0</v>
      </c>
      <c r="O152" s="1004">
        <f t="shared" ca="1" si="47"/>
        <v>0</v>
      </c>
      <c r="P152" s="1004">
        <f t="shared" ca="1" si="47"/>
        <v>0</v>
      </c>
      <c r="Q152" s="1004">
        <f t="shared" ca="1" si="47"/>
        <v>0</v>
      </c>
      <c r="R152" s="1004">
        <f t="shared" ca="1" si="47"/>
        <v>0</v>
      </c>
      <c r="S152" s="1004">
        <f t="shared" ca="1" si="47"/>
        <v>0</v>
      </c>
      <c r="T152" s="1004">
        <f t="shared" ca="1" si="47"/>
        <v>0</v>
      </c>
      <c r="U152" s="1004">
        <f t="shared" ca="1" si="47"/>
        <v>0</v>
      </c>
      <c r="V152" s="1004">
        <f t="shared" ca="1" si="47"/>
        <v>0</v>
      </c>
      <c r="W152" s="1004">
        <f t="shared" ca="1" si="47"/>
        <v>0</v>
      </c>
      <c r="X152" s="1004">
        <f t="shared" ca="1" si="47"/>
        <v>0</v>
      </c>
      <c r="Y152" s="1004">
        <f t="shared" ca="1" si="47"/>
        <v>0</v>
      </c>
      <c r="Z152" s="1004">
        <f t="shared" ca="1" si="47"/>
        <v>0</v>
      </c>
      <c r="AA152" s="1004">
        <f t="shared" ca="1" si="47"/>
        <v>0</v>
      </c>
      <c r="AB152" s="1004" t="str">
        <f t="shared" ca="1" si="47"/>
        <v/>
      </c>
      <c r="AC152" s="1004" t="str">
        <f t="shared" ca="1" si="47"/>
        <v/>
      </c>
      <c r="AD152" s="1004" t="str">
        <f t="shared" ca="1" si="47"/>
        <v/>
      </c>
      <c r="AE152" s="1004" t="str">
        <f t="shared" ca="1" si="47"/>
        <v/>
      </c>
      <c r="AF152" s="1004" t="str">
        <f t="shared" ca="1" si="47"/>
        <v/>
      </c>
      <c r="AG152" s="1004" t="str">
        <f t="shared" ca="1" si="47"/>
        <v/>
      </c>
      <c r="AH152" s="1004" t="str">
        <f t="shared" ca="1" si="47"/>
        <v/>
      </c>
      <c r="AI152" s="1004" t="str">
        <f t="shared" ca="1" si="47"/>
        <v/>
      </c>
      <c r="AJ152" s="1004" t="str">
        <f t="shared" ca="1" si="47"/>
        <v/>
      </c>
      <c r="AK152" s="1004" t="str">
        <f t="shared" ca="1" si="47"/>
        <v/>
      </c>
      <c r="AL152" s="1004" t="str">
        <f t="shared" ca="1" si="47"/>
        <v/>
      </c>
      <c r="AM152" s="1004" t="str">
        <f t="shared" ca="1" si="47"/>
        <v/>
      </c>
      <c r="AN152" s="1004" t="str">
        <f t="shared" ca="1" si="47"/>
        <v/>
      </c>
      <c r="AO152" s="1004" t="str">
        <f t="shared" ca="1" si="47"/>
        <v/>
      </c>
      <c r="AP152" s="1004" t="str">
        <f t="shared" ca="1" si="47"/>
        <v/>
      </c>
      <c r="AQ152" s="1004" t="str">
        <f t="shared" ca="1" si="47"/>
        <v/>
      </c>
      <c r="AR152" s="1004" t="str">
        <f t="shared" ca="1" si="47"/>
        <v/>
      </c>
      <c r="AS152" s="1004" t="str">
        <f t="shared" ca="1" si="47"/>
        <v/>
      </c>
      <c r="AT152" s="1004" t="str">
        <f t="shared" ca="1" si="47"/>
        <v/>
      </c>
      <c r="AU152" s="1004" t="str">
        <f t="shared" ca="1" si="47"/>
        <v/>
      </c>
      <c r="AV152" s="1004" t="str">
        <f t="shared" ca="1" si="47"/>
        <v/>
      </c>
      <c r="AW152" s="1004" t="str">
        <f t="shared" ca="1" si="47"/>
        <v/>
      </c>
      <c r="AX152" s="1004" t="str">
        <f t="shared" ca="1" si="47"/>
        <v/>
      </c>
      <c r="AY152" s="1004" t="str">
        <f t="shared" ca="1" si="47"/>
        <v/>
      </c>
      <c r="AZ152" s="1004" t="str">
        <f t="shared" ca="1" si="47"/>
        <v/>
      </c>
      <c r="BA152" s="1004" t="str">
        <f t="shared" ca="1" si="47"/>
        <v/>
      </c>
      <c r="BB152" s="1004" t="str">
        <f t="shared" ca="1" si="47"/>
        <v/>
      </c>
      <c r="BC152" s="1004" t="str">
        <f t="shared" ca="1" si="47"/>
        <v/>
      </c>
      <c r="BD152" s="1004" t="str">
        <f t="shared" ca="1" si="47"/>
        <v/>
      </c>
      <c r="BE152" s="1004" t="str">
        <f t="shared" ca="1" si="47"/>
        <v/>
      </c>
      <c r="BF152" s="1004" t="str">
        <f t="shared" ca="1" si="47"/>
        <v/>
      </c>
      <c r="BG152" s="1004" t="str">
        <f t="shared" ca="1" si="47"/>
        <v/>
      </c>
      <c r="BH152" s="1004" t="str">
        <f t="shared" ca="1" si="47"/>
        <v/>
      </c>
      <c r="BI152" s="1004" t="str">
        <f t="shared" ca="1" si="47"/>
        <v/>
      </c>
      <c r="BJ152" s="1004" t="str">
        <f t="shared" ca="1" si="47"/>
        <v/>
      </c>
      <c r="BK152" s="1004" t="str">
        <f t="shared" ca="1" si="47"/>
        <v/>
      </c>
      <c r="BL152" s="1004" t="str">
        <f t="shared" ca="1" si="47"/>
        <v/>
      </c>
      <c r="BM152" s="1004" t="str">
        <f t="shared" ca="1" si="47"/>
        <v/>
      </c>
      <c r="BN152" s="1004" t="str">
        <f t="shared" ca="1" si="47"/>
        <v/>
      </c>
      <c r="BO152" s="1004" t="str">
        <f t="shared" ca="1" si="47"/>
        <v/>
      </c>
    </row>
    <row r="153" spans="1:67" ht="20.100000000000001" hidden="1" customHeight="1" outlineLevel="1">
      <c r="B153" s="1924"/>
      <c r="C153" s="1922"/>
      <c r="D153" s="958" t="s">
        <v>4410</v>
      </c>
      <c r="E153" s="1007"/>
      <c r="F153" s="1009"/>
      <c r="G153" s="1003" t="s">
        <v>4685</v>
      </c>
      <c r="H153" s="1004"/>
      <c r="I153" s="1004"/>
      <c r="J153" s="1004"/>
      <c r="K153" s="1004"/>
      <c r="L153" s="1004">
        <f t="shared" ca="1" si="47"/>
        <v>0</v>
      </c>
      <c r="M153" s="1004">
        <f t="shared" ca="1" si="47"/>
        <v>0</v>
      </c>
      <c r="N153" s="1004">
        <f t="shared" ca="1" si="47"/>
        <v>0</v>
      </c>
      <c r="O153" s="1004">
        <f t="shared" ca="1" si="47"/>
        <v>0</v>
      </c>
      <c r="P153" s="1004">
        <f t="shared" ca="1" si="47"/>
        <v>0</v>
      </c>
      <c r="Q153" s="1004">
        <f t="shared" ca="1" si="47"/>
        <v>0</v>
      </c>
      <c r="R153" s="1004">
        <f t="shared" ca="1" si="47"/>
        <v>0</v>
      </c>
      <c r="S153" s="1004">
        <f t="shared" ca="1" si="47"/>
        <v>0</v>
      </c>
      <c r="T153" s="1004">
        <f t="shared" ca="1" si="47"/>
        <v>0</v>
      </c>
      <c r="U153" s="1004">
        <f t="shared" ca="1" si="47"/>
        <v>0</v>
      </c>
      <c r="V153" s="1004">
        <f t="shared" ca="1" si="47"/>
        <v>0</v>
      </c>
      <c r="W153" s="1004">
        <f t="shared" ca="1" si="47"/>
        <v>0</v>
      </c>
      <c r="X153" s="1004">
        <f t="shared" ca="1" si="47"/>
        <v>0</v>
      </c>
      <c r="Y153" s="1004">
        <f t="shared" ca="1" si="47"/>
        <v>0</v>
      </c>
      <c r="Z153" s="1004">
        <f t="shared" ca="1" si="47"/>
        <v>0</v>
      </c>
      <c r="AA153" s="1004">
        <f t="shared" ca="1" si="47"/>
        <v>0</v>
      </c>
      <c r="AB153" s="1004" t="str">
        <f t="shared" ca="1" si="47"/>
        <v/>
      </c>
      <c r="AC153" s="1004" t="str">
        <f t="shared" ca="1" si="47"/>
        <v/>
      </c>
      <c r="AD153" s="1004" t="str">
        <f t="shared" ca="1" si="47"/>
        <v/>
      </c>
      <c r="AE153" s="1004" t="str">
        <f t="shared" ca="1" si="47"/>
        <v/>
      </c>
      <c r="AF153" s="1004" t="str">
        <f t="shared" ca="1" si="47"/>
        <v/>
      </c>
      <c r="AG153" s="1004" t="str">
        <f t="shared" ca="1" si="47"/>
        <v/>
      </c>
      <c r="AH153" s="1004" t="str">
        <f t="shared" ca="1" si="47"/>
        <v/>
      </c>
      <c r="AI153" s="1004" t="str">
        <f t="shared" ca="1" si="47"/>
        <v/>
      </c>
      <c r="AJ153" s="1004" t="str">
        <f t="shared" ca="1" si="47"/>
        <v/>
      </c>
      <c r="AK153" s="1004" t="str">
        <f t="shared" ca="1" si="47"/>
        <v/>
      </c>
      <c r="AL153" s="1004" t="str">
        <f t="shared" ca="1" si="47"/>
        <v/>
      </c>
      <c r="AM153" s="1004" t="str">
        <f t="shared" ca="1" si="47"/>
        <v/>
      </c>
      <c r="AN153" s="1004" t="str">
        <f t="shared" ca="1" si="47"/>
        <v/>
      </c>
      <c r="AO153" s="1004" t="str">
        <f t="shared" ca="1" si="47"/>
        <v/>
      </c>
      <c r="AP153" s="1004" t="str">
        <f t="shared" ca="1" si="47"/>
        <v/>
      </c>
      <c r="AQ153" s="1004" t="str">
        <f t="shared" ca="1" si="47"/>
        <v/>
      </c>
      <c r="AR153" s="1004" t="str">
        <f t="shared" ca="1" si="47"/>
        <v/>
      </c>
      <c r="AS153" s="1004" t="str">
        <f t="shared" ca="1" si="47"/>
        <v/>
      </c>
      <c r="AT153" s="1004" t="str">
        <f t="shared" ca="1" si="47"/>
        <v/>
      </c>
      <c r="AU153" s="1004" t="str">
        <f t="shared" ca="1" si="47"/>
        <v/>
      </c>
      <c r="AV153" s="1004" t="str">
        <f t="shared" ca="1" si="47"/>
        <v/>
      </c>
      <c r="AW153" s="1004" t="str">
        <f t="shared" ca="1" si="47"/>
        <v/>
      </c>
      <c r="AX153" s="1004" t="str">
        <f t="shared" ca="1" si="47"/>
        <v/>
      </c>
      <c r="AY153" s="1004" t="str">
        <f t="shared" ca="1" si="47"/>
        <v/>
      </c>
      <c r="AZ153" s="1004" t="str">
        <f t="shared" ca="1" si="47"/>
        <v/>
      </c>
      <c r="BA153" s="1004" t="str">
        <f t="shared" ca="1" si="47"/>
        <v/>
      </c>
      <c r="BB153" s="1004" t="str">
        <f t="shared" ca="1" si="47"/>
        <v/>
      </c>
      <c r="BC153" s="1004" t="str">
        <f t="shared" ca="1" si="47"/>
        <v/>
      </c>
      <c r="BD153" s="1004" t="str">
        <f t="shared" ca="1" si="47"/>
        <v/>
      </c>
      <c r="BE153" s="1004" t="str">
        <f t="shared" ca="1" si="47"/>
        <v/>
      </c>
      <c r="BF153" s="1004" t="str">
        <f t="shared" ca="1" si="47"/>
        <v/>
      </c>
      <c r="BG153" s="1004" t="str">
        <f t="shared" ca="1" si="47"/>
        <v/>
      </c>
      <c r="BH153" s="1004" t="str">
        <f t="shared" ca="1" si="47"/>
        <v/>
      </c>
      <c r="BI153" s="1004" t="str">
        <f t="shared" ca="1" si="47"/>
        <v/>
      </c>
      <c r="BJ153" s="1004" t="str">
        <f t="shared" ca="1" si="47"/>
        <v/>
      </c>
      <c r="BK153" s="1004" t="str">
        <f t="shared" ca="1" si="47"/>
        <v/>
      </c>
      <c r="BL153" s="1004" t="str">
        <f t="shared" ca="1" si="47"/>
        <v/>
      </c>
      <c r="BM153" s="1004" t="str">
        <f t="shared" ca="1" si="47"/>
        <v/>
      </c>
      <c r="BN153" s="1004" t="str">
        <f t="shared" ca="1" si="47"/>
        <v/>
      </c>
      <c r="BO153" s="1004" t="str">
        <f t="shared" ca="1" si="47"/>
        <v/>
      </c>
    </row>
    <row r="154" spans="1:67" ht="20.100000000000001" hidden="1" customHeight="1" outlineLevel="1">
      <c r="B154" s="1924"/>
      <c r="C154" s="1922"/>
      <c r="D154" s="1008" t="s">
        <v>4183</v>
      </c>
      <c r="E154" s="958"/>
      <c r="F154" s="1002"/>
      <c r="G154" s="1003" t="s">
        <v>4685</v>
      </c>
      <c r="H154" s="1004"/>
      <c r="I154" s="1004"/>
      <c r="J154" s="1004"/>
      <c r="K154" s="1004"/>
      <c r="L154" s="1004">
        <f t="shared" ca="1" si="47"/>
        <v>0</v>
      </c>
      <c r="M154" s="1004">
        <f t="shared" ca="1" si="47"/>
        <v>0</v>
      </c>
      <c r="N154" s="1004">
        <f t="shared" ca="1" si="47"/>
        <v>0</v>
      </c>
      <c r="O154" s="1004">
        <f t="shared" ca="1" si="47"/>
        <v>0</v>
      </c>
      <c r="P154" s="1004">
        <f t="shared" ca="1" si="47"/>
        <v>0</v>
      </c>
      <c r="Q154" s="1004">
        <f t="shared" ca="1" si="47"/>
        <v>0</v>
      </c>
      <c r="R154" s="1004">
        <f t="shared" ca="1" si="47"/>
        <v>0</v>
      </c>
      <c r="S154" s="1004">
        <f t="shared" ca="1" si="47"/>
        <v>0</v>
      </c>
      <c r="T154" s="1004">
        <f t="shared" ca="1" si="47"/>
        <v>0</v>
      </c>
      <c r="U154" s="1004">
        <f t="shared" ca="1" si="47"/>
        <v>0</v>
      </c>
      <c r="V154" s="1004">
        <f t="shared" ca="1" si="47"/>
        <v>0</v>
      </c>
      <c r="W154" s="1004">
        <f t="shared" ca="1" si="47"/>
        <v>0</v>
      </c>
      <c r="X154" s="1004">
        <f t="shared" ca="1" si="47"/>
        <v>0</v>
      </c>
      <c r="Y154" s="1004">
        <f t="shared" ca="1" si="47"/>
        <v>0</v>
      </c>
      <c r="Z154" s="1004">
        <f t="shared" ca="1" si="47"/>
        <v>0</v>
      </c>
      <c r="AA154" s="1004">
        <f t="shared" ca="1" si="47"/>
        <v>0</v>
      </c>
      <c r="AB154" s="1004" t="str">
        <f t="shared" ca="1" si="47"/>
        <v/>
      </c>
      <c r="AC154" s="1004" t="str">
        <f t="shared" ca="1" si="47"/>
        <v/>
      </c>
      <c r="AD154" s="1004" t="str">
        <f t="shared" ca="1" si="47"/>
        <v/>
      </c>
      <c r="AE154" s="1004" t="str">
        <f t="shared" ca="1" si="47"/>
        <v/>
      </c>
      <c r="AF154" s="1004" t="str">
        <f t="shared" ca="1" si="47"/>
        <v/>
      </c>
      <c r="AG154" s="1004" t="str">
        <f t="shared" ca="1" si="47"/>
        <v/>
      </c>
      <c r="AH154" s="1004" t="str">
        <f t="shared" ca="1" si="47"/>
        <v/>
      </c>
      <c r="AI154" s="1004" t="str">
        <f t="shared" ca="1" si="47"/>
        <v/>
      </c>
      <c r="AJ154" s="1004" t="str">
        <f t="shared" ca="1" si="47"/>
        <v/>
      </c>
      <c r="AK154" s="1004" t="str">
        <f t="shared" ca="1" si="47"/>
        <v/>
      </c>
      <c r="AL154" s="1004" t="str">
        <f t="shared" ca="1" si="47"/>
        <v/>
      </c>
      <c r="AM154" s="1004" t="str">
        <f t="shared" ca="1" si="47"/>
        <v/>
      </c>
      <c r="AN154" s="1004" t="str">
        <f t="shared" ca="1" si="47"/>
        <v/>
      </c>
      <c r="AO154" s="1004" t="str">
        <f t="shared" ca="1" si="47"/>
        <v/>
      </c>
      <c r="AP154" s="1004" t="str">
        <f t="shared" ca="1" si="47"/>
        <v/>
      </c>
      <c r="AQ154" s="1004" t="str">
        <f t="shared" ca="1" si="47"/>
        <v/>
      </c>
      <c r="AR154" s="1004" t="str">
        <f t="shared" ca="1" si="47"/>
        <v/>
      </c>
      <c r="AS154" s="1004" t="str">
        <f t="shared" ca="1" si="47"/>
        <v/>
      </c>
      <c r="AT154" s="1004" t="str">
        <f t="shared" ca="1" si="47"/>
        <v/>
      </c>
      <c r="AU154" s="1004" t="str">
        <f t="shared" ca="1" si="47"/>
        <v/>
      </c>
      <c r="AV154" s="1004" t="str">
        <f t="shared" ca="1" si="47"/>
        <v/>
      </c>
      <c r="AW154" s="1004" t="str">
        <f t="shared" ca="1" si="47"/>
        <v/>
      </c>
      <c r="AX154" s="1004" t="str">
        <f t="shared" ca="1" si="47"/>
        <v/>
      </c>
      <c r="AY154" s="1004" t="str">
        <f t="shared" ca="1" si="47"/>
        <v/>
      </c>
      <c r="AZ154" s="1004" t="str">
        <f t="shared" ca="1" si="47"/>
        <v/>
      </c>
      <c r="BA154" s="1004" t="str">
        <f t="shared" ca="1" si="47"/>
        <v/>
      </c>
      <c r="BB154" s="1004" t="str">
        <f t="shared" ca="1" si="47"/>
        <v/>
      </c>
      <c r="BC154" s="1004" t="str">
        <f t="shared" ca="1" si="47"/>
        <v/>
      </c>
      <c r="BD154" s="1004" t="str">
        <f t="shared" ca="1" si="47"/>
        <v/>
      </c>
      <c r="BE154" s="1004" t="str">
        <f t="shared" ca="1" si="47"/>
        <v/>
      </c>
      <c r="BF154" s="1004" t="str">
        <f t="shared" ca="1" si="47"/>
        <v/>
      </c>
      <c r="BG154" s="1004" t="str">
        <f t="shared" ca="1" si="47"/>
        <v/>
      </c>
      <c r="BH154" s="1004" t="str">
        <f t="shared" ca="1" si="47"/>
        <v/>
      </c>
      <c r="BI154" s="1004" t="str">
        <f t="shared" ca="1" si="47"/>
        <v/>
      </c>
      <c r="BJ154" s="1004" t="str">
        <f t="shared" ca="1" si="47"/>
        <v/>
      </c>
      <c r="BK154" s="1004" t="str">
        <f t="shared" ca="1" si="47"/>
        <v/>
      </c>
      <c r="BL154" s="1004" t="str">
        <f t="shared" ca="1" si="47"/>
        <v/>
      </c>
      <c r="BM154" s="1004" t="str">
        <f t="shared" ca="1" si="47"/>
        <v/>
      </c>
      <c r="BN154" s="1004" t="str">
        <f t="shared" ca="1" si="47"/>
        <v/>
      </c>
      <c r="BO154" s="1004" t="str">
        <f t="shared" ca="1" si="47"/>
        <v/>
      </c>
    </row>
    <row r="155" spans="1:67" ht="20.100000000000001" hidden="1" customHeight="1" outlineLevel="1">
      <c r="B155" s="1924"/>
      <c r="C155" s="1922"/>
      <c r="D155" s="1008" t="s">
        <v>4184</v>
      </c>
      <c r="E155" s="1010"/>
      <c r="F155" s="1002"/>
      <c r="G155" s="1003" t="s">
        <v>4685</v>
      </c>
      <c r="H155" s="1004"/>
      <c r="I155" s="1004"/>
      <c r="J155" s="1004"/>
      <c r="K155" s="1004"/>
      <c r="L155" s="1004">
        <f t="shared" ca="1" si="47"/>
        <v>0</v>
      </c>
      <c r="M155" s="1004">
        <f t="shared" ca="1" si="47"/>
        <v>0</v>
      </c>
      <c r="N155" s="1004">
        <f t="shared" ca="1" si="47"/>
        <v>0</v>
      </c>
      <c r="O155" s="1004">
        <f t="shared" ca="1" si="47"/>
        <v>0</v>
      </c>
      <c r="P155" s="1004">
        <f t="shared" ca="1" si="47"/>
        <v>0</v>
      </c>
      <c r="Q155" s="1004">
        <f t="shared" ca="1" si="47"/>
        <v>0</v>
      </c>
      <c r="R155" s="1004">
        <f t="shared" ca="1" si="47"/>
        <v>0</v>
      </c>
      <c r="S155" s="1004">
        <f t="shared" ca="1" si="47"/>
        <v>0</v>
      </c>
      <c r="T155" s="1004">
        <f t="shared" ca="1" si="47"/>
        <v>0</v>
      </c>
      <c r="U155" s="1004">
        <f t="shared" ca="1" si="47"/>
        <v>0</v>
      </c>
      <c r="V155" s="1004">
        <f t="shared" ca="1" si="47"/>
        <v>0</v>
      </c>
      <c r="W155" s="1004">
        <f t="shared" ca="1" si="47"/>
        <v>0</v>
      </c>
      <c r="X155" s="1004">
        <f t="shared" ca="1" si="47"/>
        <v>0</v>
      </c>
      <c r="Y155" s="1004">
        <f t="shared" ca="1" si="47"/>
        <v>0</v>
      </c>
      <c r="Z155" s="1004">
        <f t="shared" ca="1" si="47"/>
        <v>0</v>
      </c>
      <c r="AA155" s="1004">
        <f t="shared" ca="1" si="47"/>
        <v>0</v>
      </c>
      <c r="AB155" s="1004" t="str">
        <f t="shared" ca="1" si="47"/>
        <v/>
      </c>
      <c r="AC155" s="1004" t="str">
        <f t="shared" ca="1" si="47"/>
        <v/>
      </c>
      <c r="AD155" s="1004" t="str">
        <f t="shared" ca="1" si="47"/>
        <v/>
      </c>
      <c r="AE155" s="1004" t="str">
        <f t="shared" ca="1" si="47"/>
        <v/>
      </c>
      <c r="AF155" s="1004" t="str">
        <f t="shared" ca="1" si="47"/>
        <v/>
      </c>
      <c r="AG155" s="1004" t="str">
        <f t="shared" ca="1" si="47"/>
        <v/>
      </c>
      <c r="AH155" s="1004" t="str">
        <f t="shared" ca="1" si="47"/>
        <v/>
      </c>
      <c r="AI155" s="1004" t="str">
        <f t="shared" ca="1" si="47"/>
        <v/>
      </c>
      <c r="AJ155" s="1004" t="str">
        <f t="shared" ca="1" si="47"/>
        <v/>
      </c>
      <c r="AK155" s="1004" t="str">
        <f t="shared" ca="1" si="47"/>
        <v/>
      </c>
      <c r="AL155" s="1004" t="str">
        <f t="shared" ca="1" si="47"/>
        <v/>
      </c>
      <c r="AM155" s="1004" t="str">
        <f t="shared" ca="1" si="47"/>
        <v/>
      </c>
      <c r="AN155" s="1004" t="str">
        <f t="shared" ca="1" si="47"/>
        <v/>
      </c>
      <c r="AO155" s="1004" t="str">
        <f t="shared" ca="1" si="47"/>
        <v/>
      </c>
      <c r="AP155" s="1004" t="str">
        <f t="shared" ca="1" si="47"/>
        <v/>
      </c>
      <c r="AQ155" s="1004" t="str">
        <f t="shared" ref="AQ155:BO155" ca="1" si="48">AQ45</f>
        <v/>
      </c>
      <c r="AR155" s="1004" t="str">
        <f t="shared" ca="1" si="48"/>
        <v/>
      </c>
      <c r="AS155" s="1004" t="str">
        <f t="shared" ca="1" si="48"/>
        <v/>
      </c>
      <c r="AT155" s="1004" t="str">
        <f t="shared" ca="1" si="48"/>
        <v/>
      </c>
      <c r="AU155" s="1004" t="str">
        <f t="shared" ca="1" si="48"/>
        <v/>
      </c>
      <c r="AV155" s="1004" t="str">
        <f t="shared" ca="1" si="48"/>
        <v/>
      </c>
      <c r="AW155" s="1004" t="str">
        <f t="shared" ca="1" si="48"/>
        <v/>
      </c>
      <c r="AX155" s="1004" t="str">
        <f t="shared" ca="1" si="48"/>
        <v/>
      </c>
      <c r="AY155" s="1004" t="str">
        <f t="shared" ca="1" si="48"/>
        <v/>
      </c>
      <c r="AZ155" s="1004" t="str">
        <f t="shared" ca="1" si="48"/>
        <v/>
      </c>
      <c r="BA155" s="1004" t="str">
        <f t="shared" ca="1" si="48"/>
        <v/>
      </c>
      <c r="BB155" s="1004" t="str">
        <f t="shared" ca="1" si="48"/>
        <v/>
      </c>
      <c r="BC155" s="1004" t="str">
        <f t="shared" ca="1" si="48"/>
        <v/>
      </c>
      <c r="BD155" s="1004" t="str">
        <f t="shared" ca="1" si="48"/>
        <v/>
      </c>
      <c r="BE155" s="1004" t="str">
        <f t="shared" ca="1" si="48"/>
        <v/>
      </c>
      <c r="BF155" s="1004" t="str">
        <f t="shared" ca="1" si="48"/>
        <v/>
      </c>
      <c r="BG155" s="1004" t="str">
        <f t="shared" ca="1" si="48"/>
        <v/>
      </c>
      <c r="BH155" s="1004" t="str">
        <f t="shared" ca="1" si="48"/>
        <v/>
      </c>
      <c r="BI155" s="1004" t="str">
        <f t="shared" ca="1" si="48"/>
        <v/>
      </c>
      <c r="BJ155" s="1004" t="str">
        <f t="shared" ca="1" si="48"/>
        <v/>
      </c>
      <c r="BK155" s="1004" t="str">
        <f t="shared" ca="1" si="48"/>
        <v/>
      </c>
      <c r="BL155" s="1004" t="str">
        <f t="shared" ca="1" si="48"/>
        <v/>
      </c>
      <c r="BM155" s="1004" t="str">
        <f t="shared" ca="1" si="48"/>
        <v/>
      </c>
      <c r="BN155" s="1004" t="str">
        <f t="shared" ca="1" si="48"/>
        <v/>
      </c>
      <c r="BO155" s="1004" t="str">
        <f t="shared" ca="1" si="48"/>
        <v/>
      </c>
    </row>
    <row r="156" spans="1:67" ht="20.100000000000001" hidden="1" customHeight="1" outlineLevel="1">
      <c r="B156" s="1924"/>
      <c r="C156" s="1922"/>
      <c r="D156" s="1008" t="s">
        <v>4411</v>
      </c>
      <c r="E156" s="1005"/>
      <c r="F156" s="1002"/>
      <c r="G156" s="1003" t="s">
        <v>4685</v>
      </c>
      <c r="H156" s="1004"/>
      <c r="I156" s="1004"/>
      <c r="J156" s="1004"/>
      <c r="K156" s="1004"/>
      <c r="L156" s="1004">
        <f t="shared" ref="L156:BO160" ca="1" si="49">L46</f>
        <v>0</v>
      </c>
      <c r="M156" s="1004">
        <f t="shared" ca="1" si="49"/>
        <v>0</v>
      </c>
      <c r="N156" s="1004">
        <f t="shared" ca="1" si="49"/>
        <v>0</v>
      </c>
      <c r="O156" s="1004">
        <f t="shared" ca="1" si="49"/>
        <v>0</v>
      </c>
      <c r="P156" s="1004">
        <f t="shared" ca="1" si="49"/>
        <v>0</v>
      </c>
      <c r="Q156" s="1004">
        <f t="shared" ca="1" si="49"/>
        <v>0</v>
      </c>
      <c r="R156" s="1004">
        <f t="shared" ca="1" si="49"/>
        <v>0</v>
      </c>
      <c r="S156" s="1004">
        <f t="shared" ca="1" si="49"/>
        <v>0</v>
      </c>
      <c r="T156" s="1004">
        <f t="shared" ca="1" si="49"/>
        <v>0</v>
      </c>
      <c r="U156" s="1004">
        <f t="shared" ca="1" si="49"/>
        <v>0</v>
      </c>
      <c r="V156" s="1004">
        <f t="shared" ca="1" si="49"/>
        <v>0</v>
      </c>
      <c r="W156" s="1004">
        <f t="shared" ca="1" si="49"/>
        <v>0</v>
      </c>
      <c r="X156" s="1004">
        <f t="shared" ca="1" si="49"/>
        <v>0</v>
      </c>
      <c r="Y156" s="1004">
        <f t="shared" ca="1" si="49"/>
        <v>0</v>
      </c>
      <c r="Z156" s="1004">
        <f t="shared" ca="1" si="49"/>
        <v>0</v>
      </c>
      <c r="AA156" s="1004">
        <f t="shared" ca="1" si="49"/>
        <v>0</v>
      </c>
      <c r="AB156" s="1004" t="str">
        <f t="shared" ca="1" si="49"/>
        <v/>
      </c>
      <c r="AC156" s="1004" t="str">
        <f t="shared" ca="1" si="49"/>
        <v/>
      </c>
      <c r="AD156" s="1004" t="str">
        <f t="shared" ca="1" si="49"/>
        <v/>
      </c>
      <c r="AE156" s="1004" t="str">
        <f t="shared" ca="1" si="49"/>
        <v/>
      </c>
      <c r="AF156" s="1004" t="str">
        <f t="shared" ca="1" si="49"/>
        <v/>
      </c>
      <c r="AG156" s="1004" t="str">
        <f t="shared" ca="1" si="49"/>
        <v/>
      </c>
      <c r="AH156" s="1004" t="str">
        <f t="shared" ca="1" si="49"/>
        <v/>
      </c>
      <c r="AI156" s="1004" t="str">
        <f t="shared" ca="1" si="49"/>
        <v/>
      </c>
      <c r="AJ156" s="1004" t="str">
        <f t="shared" ca="1" si="49"/>
        <v/>
      </c>
      <c r="AK156" s="1004" t="str">
        <f t="shared" ca="1" si="49"/>
        <v/>
      </c>
      <c r="AL156" s="1004" t="str">
        <f t="shared" ca="1" si="49"/>
        <v/>
      </c>
      <c r="AM156" s="1004" t="str">
        <f t="shared" ca="1" si="49"/>
        <v/>
      </c>
      <c r="AN156" s="1004" t="str">
        <f t="shared" ca="1" si="49"/>
        <v/>
      </c>
      <c r="AO156" s="1004" t="str">
        <f t="shared" ca="1" si="49"/>
        <v/>
      </c>
      <c r="AP156" s="1004" t="str">
        <f t="shared" ca="1" si="49"/>
        <v/>
      </c>
      <c r="AQ156" s="1004" t="str">
        <f t="shared" ca="1" si="49"/>
        <v/>
      </c>
      <c r="AR156" s="1004" t="str">
        <f t="shared" ca="1" si="49"/>
        <v/>
      </c>
      <c r="AS156" s="1004" t="str">
        <f t="shared" ca="1" si="49"/>
        <v/>
      </c>
      <c r="AT156" s="1004" t="str">
        <f t="shared" ca="1" si="49"/>
        <v/>
      </c>
      <c r="AU156" s="1004" t="str">
        <f t="shared" ca="1" si="49"/>
        <v/>
      </c>
      <c r="AV156" s="1004" t="str">
        <f t="shared" ca="1" si="49"/>
        <v/>
      </c>
      <c r="AW156" s="1004" t="str">
        <f t="shared" ca="1" si="49"/>
        <v/>
      </c>
      <c r="AX156" s="1004" t="str">
        <f t="shared" ca="1" si="49"/>
        <v/>
      </c>
      <c r="AY156" s="1004" t="str">
        <f t="shared" ca="1" si="49"/>
        <v/>
      </c>
      <c r="AZ156" s="1004" t="str">
        <f t="shared" ca="1" si="49"/>
        <v/>
      </c>
      <c r="BA156" s="1004" t="str">
        <f t="shared" ca="1" si="49"/>
        <v/>
      </c>
      <c r="BB156" s="1004" t="str">
        <f t="shared" ca="1" si="49"/>
        <v/>
      </c>
      <c r="BC156" s="1004" t="str">
        <f t="shared" ca="1" si="49"/>
        <v/>
      </c>
      <c r="BD156" s="1004" t="str">
        <f t="shared" ca="1" si="49"/>
        <v/>
      </c>
      <c r="BE156" s="1004" t="str">
        <f t="shared" ca="1" si="49"/>
        <v/>
      </c>
      <c r="BF156" s="1004" t="str">
        <f t="shared" ca="1" si="49"/>
        <v/>
      </c>
      <c r="BG156" s="1004" t="str">
        <f t="shared" ca="1" si="49"/>
        <v/>
      </c>
      <c r="BH156" s="1004" t="str">
        <f t="shared" ca="1" si="49"/>
        <v/>
      </c>
      <c r="BI156" s="1004" t="str">
        <f t="shared" ca="1" si="49"/>
        <v/>
      </c>
      <c r="BJ156" s="1004" t="str">
        <f t="shared" ca="1" si="49"/>
        <v/>
      </c>
      <c r="BK156" s="1004" t="str">
        <f t="shared" ca="1" si="49"/>
        <v/>
      </c>
      <c r="BL156" s="1004" t="str">
        <f t="shared" ca="1" si="49"/>
        <v/>
      </c>
      <c r="BM156" s="1004" t="str">
        <f t="shared" ca="1" si="49"/>
        <v/>
      </c>
      <c r="BN156" s="1004" t="str">
        <f t="shared" ca="1" si="49"/>
        <v/>
      </c>
      <c r="BO156" s="1004" t="str">
        <f t="shared" ca="1" si="49"/>
        <v/>
      </c>
    </row>
    <row r="157" spans="1:67" ht="20.100000000000001" hidden="1" customHeight="1" outlineLevel="1">
      <c r="B157" s="1925"/>
      <c r="C157" s="1922"/>
      <c r="D157" s="1008" t="s">
        <v>4412</v>
      </c>
      <c r="E157" s="958"/>
      <c r="F157" s="1002"/>
      <c r="G157" s="1003" t="s">
        <v>4685</v>
      </c>
      <c r="H157" s="1004"/>
      <c r="I157" s="1004"/>
      <c r="J157" s="1004"/>
      <c r="K157" s="1004"/>
      <c r="L157" s="1004">
        <f t="shared" ca="1" si="49"/>
        <v>0</v>
      </c>
      <c r="M157" s="1004">
        <f t="shared" ca="1" si="49"/>
        <v>0</v>
      </c>
      <c r="N157" s="1004">
        <f t="shared" ca="1" si="49"/>
        <v>0</v>
      </c>
      <c r="O157" s="1004">
        <f t="shared" ca="1" si="49"/>
        <v>0</v>
      </c>
      <c r="P157" s="1004">
        <f t="shared" ca="1" si="49"/>
        <v>0</v>
      </c>
      <c r="Q157" s="1004">
        <f t="shared" ca="1" si="49"/>
        <v>0</v>
      </c>
      <c r="R157" s="1004">
        <f t="shared" ca="1" si="49"/>
        <v>0</v>
      </c>
      <c r="S157" s="1004">
        <f t="shared" ca="1" si="49"/>
        <v>0</v>
      </c>
      <c r="T157" s="1004">
        <f t="shared" ca="1" si="49"/>
        <v>0</v>
      </c>
      <c r="U157" s="1004">
        <f t="shared" ca="1" si="49"/>
        <v>0</v>
      </c>
      <c r="V157" s="1004">
        <f t="shared" ca="1" si="49"/>
        <v>0</v>
      </c>
      <c r="W157" s="1004">
        <f t="shared" ca="1" si="49"/>
        <v>0</v>
      </c>
      <c r="X157" s="1004">
        <f t="shared" ca="1" si="49"/>
        <v>0</v>
      </c>
      <c r="Y157" s="1004">
        <f t="shared" ca="1" si="49"/>
        <v>0</v>
      </c>
      <c r="Z157" s="1004">
        <f t="shared" ca="1" si="49"/>
        <v>0</v>
      </c>
      <c r="AA157" s="1004">
        <f t="shared" ca="1" si="49"/>
        <v>0</v>
      </c>
      <c r="AB157" s="1004" t="str">
        <f t="shared" ca="1" si="49"/>
        <v/>
      </c>
      <c r="AC157" s="1004" t="str">
        <f t="shared" ca="1" si="49"/>
        <v/>
      </c>
      <c r="AD157" s="1004" t="str">
        <f t="shared" ca="1" si="49"/>
        <v/>
      </c>
      <c r="AE157" s="1004" t="str">
        <f t="shared" ca="1" si="49"/>
        <v/>
      </c>
      <c r="AF157" s="1004" t="str">
        <f t="shared" ca="1" si="49"/>
        <v/>
      </c>
      <c r="AG157" s="1004" t="str">
        <f t="shared" ca="1" si="49"/>
        <v/>
      </c>
      <c r="AH157" s="1004" t="str">
        <f t="shared" ca="1" si="49"/>
        <v/>
      </c>
      <c r="AI157" s="1004" t="str">
        <f t="shared" ca="1" si="49"/>
        <v/>
      </c>
      <c r="AJ157" s="1004" t="str">
        <f t="shared" ca="1" si="49"/>
        <v/>
      </c>
      <c r="AK157" s="1004" t="str">
        <f t="shared" ca="1" si="49"/>
        <v/>
      </c>
      <c r="AL157" s="1004" t="str">
        <f t="shared" ca="1" si="49"/>
        <v/>
      </c>
      <c r="AM157" s="1004" t="str">
        <f t="shared" ca="1" si="49"/>
        <v/>
      </c>
      <c r="AN157" s="1004" t="str">
        <f t="shared" ca="1" si="49"/>
        <v/>
      </c>
      <c r="AO157" s="1004" t="str">
        <f t="shared" ca="1" si="49"/>
        <v/>
      </c>
      <c r="AP157" s="1004" t="str">
        <f t="shared" ca="1" si="49"/>
        <v/>
      </c>
      <c r="AQ157" s="1004" t="str">
        <f t="shared" ca="1" si="49"/>
        <v/>
      </c>
      <c r="AR157" s="1004" t="str">
        <f t="shared" ca="1" si="49"/>
        <v/>
      </c>
      <c r="AS157" s="1004" t="str">
        <f t="shared" ca="1" si="49"/>
        <v/>
      </c>
      <c r="AT157" s="1004" t="str">
        <f t="shared" ca="1" si="49"/>
        <v/>
      </c>
      <c r="AU157" s="1004" t="str">
        <f t="shared" ca="1" si="49"/>
        <v/>
      </c>
      <c r="AV157" s="1004" t="str">
        <f t="shared" ca="1" si="49"/>
        <v/>
      </c>
      <c r="AW157" s="1004" t="str">
        <f t="shared" ca="1" si="49"/>
        <v/>
      </c>
      <c r="AX157" s="1004" t="str">
        <f t="shared" ca="1" si="49"/>
        <v/>
      </c>
      <c r="AY157" s="1004" t="str">
        <f t="shared" ca="1" si="49"/>
        <v/>
      </c>
      <c r="AZ157" s="1004" t="str">
        <f t="shared" ca="1" si="49"/>
        <v/>
      </c>
      <c r="BA157" s="1004" t="str">
        <f t="shared" ca="1" si="49"/>
        <v/>
      </c>
      <c r="BB157" s="1004" t="str">
        <f t="shared" ca="1" si="49"/>
        <v/>
      </c>
      <c r="BC157" s="1004" t="str">
        <f t="shared" ca="1" si="49"/>
        <v/>
      </c>
      <c r="BD157" s="1004" t="str">
        <f t="shared" ca="1" si="49"/>
        <v/>
      </c>
      <c r="BE157" s="1004" t="str">
        <f t="shared" ca="1" si="49"/>
        <v/>
      </c>
      <c r="BF157" s="1004" t="str">
        <f t="shared" ca="1" si="49"/>
        <v/>
      </c>
      <c r="BG157" s="1004" t="str">
        <f t="shared" ca="1" si="49"/>
        <v/>
      </c>
      <c r="BH157" s="1004" t="str">
        <f t="shared" ca="1" si="49"/>
        <v/>
      </c>
      <c r="BI157" s="1004" t="str">
        <f t="shared" ca="1" si="49"/>
        <v/>
      </c>
      <c r="BJ157" s="1004" t="str">
        <f t="shared" ca="1" si="49"/>
        <v/>
      </c>
      <c r="BK157" s="1004" t="str">
        <f t="shared" ca="1" si="49"/>
        <v/>
      </c>
      <c r="BL157" s="1004" t="str">
        <f t="shared" ca="1" si="49"/>
        <v/>
      </c>
      <c r="BM157" s="1004" t="str">
        <f t="shared" ca="1" si="49"/>
        <v/>
      </c>
      <c r="BN157" s="1004" t="str">
        <f t="shared" ca="1" si="49"/>
        <v/>
      </c>
      <c r="BO157" s="1004" t="str">
        <f t="shared" ca="1" si="49"/>
        <v/>
      </c>
    </row>
    <row r="158" spans="1:67" ht="20.100000000000001" hidden="1" customHeight="1" outlineLevel="1">
      <c r="B158" s="1925"/>
      <c r="C158" s="1922"/>
      <c r="D158" s="1008" t="s">
        <v>4413</v>
      </c>
      <c r="E158" s="958"/>
      <c r="F158" s="1002"/>
      <c r="G158" s="1003" t="s">
        <v>4685</v>
      </c>
      <c r="H158" s="1004"/>
      <c r="I158" s="1004"/>
      <c r="J158" s="1004"/>
      <c r="K158" s="1004"/>
      <c r="L158" s="1004">
        <f t="shared" ca="1" si="49"/>
        <v>0</v>
      </c>
      <c r="M158" s="1004">
        <f t="shared" ca="1" si="49"/>
        <v>0</v>
      </c>
      <c r="N158" s="1004">
        <f t="shared" ca="1" si="49"/>
        <v>0</v>
      </c>
      <c r="O158" s="1004">
        <f t="shared" ca="1" si="49"/>
        <v>0</v>
      </c>
      <c r="P158" s="1004">
        <f t="shared" ca="1" si="49"/>
        <v>0</v>
      </c>
      <c r="Q158" s="1004">
        <f t="shared" ca="1" si="49"/>
        <v>0</v>
      </c>
      <c r="R158" s="1004">
        <f t="shared" ca="1" si="49"/>
        <v>0</v>
      </c>
      <c r="S158" s="1004">
        <f t="shared" ca="1" si="49"/>
        <v>0</v>
      </c>
      <c r="T158" s="1004">
        <f t="shared" ca="1" si="49"/>
        <v>0</v>
      </c>
      <c r="U158" s="1004">
        <f t="shared" ca="1" si="49"/>
        <v>0</v>
      </c>
      <c r="V158" s="1004">
        <f t="shared" ca="1" si="49"/>
        <v>0</v>
      </c>
      <c r="W158" s="1004">
        <f t="shared" ca="1" si="49"/>
        <v>0</v>
      </c>
      <c r="X158" s="1004">
        <f t="shared" ca="1" si="49"/>
        <v>0</v>
      </c>
      <c r="Y158" s="1004">
        <f t="shared" ca="1" si="49"/>
        <v>0</v>
      </c>
      <c r="Z158" s="1004">
        <f t="shared" ca="1" si="49"/>
        <v>0</v>
      </c>
      <c r="AA158" s="1004">
        <f t="shared" ca="1" si="49"/>
        <v>0</v>
      </c>
      <c r="AB158" s="1004" t="str">
        <f t="shared" ca="1" si="49"/>
        <v/>
      </c>
      <c r="AC158" s="1004" t="str">
        <f t="shared" ca="1" si="49"/>
        <v/>
      </c>
      <c r="AD158" s="1004" t="str">
        <f t="shared" ca="1" si="49"/>
        <v/>
      </c>
      <c r="AE158" s="1004" t="str">
        <f t="shared" ca="1" si="49"/>
        <v/>
      </c>
      <c r="AF158" s="1004" t="str">
        <f t="shared" ca="1" si="49"/>
        <v/>
      </c>
      <c r="AG158" s="1004" t="str">
        <f t="shared" ca="1" si="49"/>
        <v/>
      </c>
      <c r="AH158" s="1004" t="str">
        <f t="shared" ca="1" si="49"/>
        <v/>
      </c>
      <c r="AI158" s="1004" t="str">
        <f t="shared" ca="1" si="49"/>
        <v/>
      </c>
      <c r="AJ158" s="1004" t="str">
        <f t="shared" ca="1" si="49"/>
        <v/>
      </c>
      <c r="AK158" s="1004" t="str">
        <f t="shared" ca="1" si="49"/>
        <v/>
      </c>
      <c r="AL158" s="1004" t="str">
        <f t="shared" ca="1" si="49"/>
        <v/>
      </c>
      <c r="AM158" s="1004" t="str">
        <f t="shared" ca="1" si="49"/>
        <v/>
      </c>
      <c r="AN158" s="1004" t="str">
        <f t="shared" ca="1" si="49"/>
        <v/>
      </c>
      <c r="AO158" s="1004" t="str">
        <f t="shared" ca="1" si="49"/>
        <v/>
      </c>
      <c r="AP158" s="1004" t="str">
        <f t="shared" ca="1" si="49"/>
        <v/>
      </c>
      <c r="AQ158" s="1004" t="str">
        <f t="shared" ca="1" si="49"/>
        <v/>
      </c>
      <c r="AR158" s="1004" t="str">
        <f t="shared" ca="1" si="49"/>
        <v/>
      </c>
      <c r="AS158" s="1004" t="str">
        <f t="shared" ca="1" si="49"/>
        <v/>
      </c>
      <c r="AT158" s="1004" t="str">
        <f t="shared" ca="1" si="49"/>
        <v/>
      </c>
      <c r="AU158" s="1004" t="str">
        <f t="shared" ca="1" si="49"/>
        <v/>
      </c>
      <c r="AV158" s="1004" t="str">
        <f t="shared" ca="1" si="49"/>
        <v/>
      </c>
      <c r="AW158" s="1004" t="str">
        <f t="shared" ca="1" si="49"/>
        <v/>
      </c>
      <c r="AX158" s="1004" t="str">
        <f t="shared" ca="1" si="49"/>
        <v/>
      </c>
      <c r="AY158" s="1004" t="str">
        <f t="shared" ca="1" si="49"/>
        <v/>
      </c>
      <c r="AZ158" s="1004" t="str">
        <f t="shared" ca="1" si="49"/>
        <v/>
      </c>
      <c r="BA158" s="1004" t="str">
        <f t="shared" ca="1" si="49"/>
        <v/>
      </c>
      <c r="BB158" s="1004" t="str">
        <f t="shared" ca="1" si="49"/>
        <v/>
      </c>
      <c r="BC158" s="1004" t="str">
        <f t="shared" ca="1" si="49"/>
        <v/>
      </c>
      <c r="BD158" s="1004" t="str">
        <f t="shared" ca="1" si="49"/>
        <v/>
      </c>
      <c r="BE158" s="1004" t="str">
        <f t="shared" ca="1" si="49"/>
        <v/>
      </c>
      <c r="BF158" s="1004" t="str">
        <f t="shared" ca="1" si="49"/>
        <v/>
      </c>
      <c r="BG158" s="1004" t="str">
        <f t="shared" ca="1" si="49"/>
        <v/>
      </c>
      <c r="BH158" s="1004" t="str">
        <f t="shared" ca="1" si="49"/>
        <v/>
      </c>
      <c r="BI158" s="1004" t="str">
        <f t="shared" ca="1" si="49"/>
        <v/>
      </c>
      <c r="BJ158" s="1004" t="str">
        <f t="shared" ca="1" si="49"/>
        <v/>
      </c>
      <c r="BK158" s="1004" t="str">
        <f t="shared" ca="1" si="49"/>
        <v/>
      </c>
      <c r="BL158" s="1004" t="str">
        <f t="shared" ca="1" si="49"/>
        <v/>
      </c>
      <c r="BM158" s="1004" t="str">
        <f t="shared" ca="1" si="49"/>
        <v/>
      </c>
      <c r="BN158" s="1004" t="str">
        <f t="shared" ca="1" si="49"/>
        <v/>
      </c>
      <c r="BO158" s="1004" t="str">
        <f t="shared" ca="1" si="49"/>
        <v/>
      </c>
    </row>
    <row r="159" spans="1:67" ht="20.100000000000001" hidden="1" customHeight="1" outlineLevel="1">
      <c r="B159" s="1925"/>
      <c r="C159" s="1922"/>
      <c r="D159" s="1008" t="s">
        <v>4414</v>
      </c>
      <c r="E159" s="958"/>
      <c r="F159" s="1002"/>
      <c r="G159" s="1003" t="s">
        <v>4685</v>
      </c>
      <c r="H159" s="1004"/>
      <c r="I159" s="1004"/>
      <c r="J159" s="1004"/>
      <c r="K159" s="1004"/>
      <c r="L159" s="1004">
        <f t="shared" ca="1" si="49"/>
        <v>0</v>
      </c>
      <c r="M159" s="1004">
        <f t="shared" ca="1" si="49"/>
        <v>0</v>
      </c>
      <c r="N159" s="1004">
        <f t="shared" ca="1" si="49"/>
        <v>0</v>
      </c>
      <c r="O159" s="1004">
        <f t="shared" ca="1" si="49"/>
        <v>0</v>
      </c>
      <c r="P159" s="1004">
        <f t="shared" ca="1" si="49"/>
        <v>0</v>
      </c>
      <c r="Q159" s="1004">
        <f t="shared" ca="1" si="49"/>
        <v>0</v>
      </c>
      <c r="R159" s="1004">
        <f t="shared" ca="1" si="49"/>
        <v>0</v>
      </c>
      <c r="S159" s="1004">
        <f t="shared" ca="1" si="49"/>
        <v>0</v>
      </c>
      <c r="T159" s="1004">
        <f t="shared" ca="1" si="49"/>
        <v>0</v>
      </c>
      <c r="U159" s="1004">
        <f t="shared" ca="1" si="49"/>
        <v>0</v>
      </c>
      <c r="V159" s="1004">
        <f t="shared" ca="1" si="49"/>
        <v>0</v>
      </c>
      <c r="W159" s="1004">
        <f t="shared" ca="1" si="49"/>
        <v>0</v>
      </c>
      <c r="X159" s="1004">
        <f t="shared" ca="1" si="49"/>
        <v>0</v>
      </c>
      <c r="Y159" s="1004">
        <f t="shared" ca="1" si="49"/>
        <v>0</v>
      </c>
      <c r="Z159" s="1004">
        <f t="shared" ca="1" si="49"/>
        <v>0</v>
      </c>
      <c r="AA159" s="1004">
        <f t="shared" ca="1" si="49"/>
        <v>0</v>
      </c>
      <c r="AB159" s="1004" t="str">
        <f t="shared" ca="1" si="49"/>
        <v/>
      </c>
      <c r="AC159" s="1004" t="str">
        <f t="shared" ca="1" si="49"/>
        <v/>
      </c>
      <c r="AD159" s="1004" t="str">
        <f t="shared" ca="1" si="49"/>
        <v/>
      </c>
      <c r="AE159" s="1004" t="str">
        <f t="shared" ca="1" si="49"/>
        <v/>
      </c>
      <c r="AF159" s="1004" t="str">
        <f t="shared" ca="1" si="49"/>
        <v/>
      </c>
      <c r="AG159" s="1004" t="str">
        <f t="shared" ca="1" si="49"/>
        <v/>
      </c>
      <c r="AH159" s="1004" t="str">
        <f t="shared" ca="1" si="49"/>
        <v/>
      </c>
      <c r="AI159" s="1004" t="str">
        <f t="shared" ca="1" si="49"/>
        <v/>
      </c>
      <c r="AJ159" s="1004" t="str">
        <f t="shared" ca="1" si="49"/>
        <v/>
      </c>
      <c r="AK159" s="1004" t="str">
        <f t="shared" ca="1" si="49"/>
        <v/>
      </c>
      <c r="AL159" s="1004" t="str">
        <f t="shared" ca="1" si="49"/>
        <v/>
      </c>
      <c r="AM159" s="1004" t="str">
        <f t="shared" ca="1" si="49"/>
        <v/>
      </c>
      <c r="AN159" s="1004" t="str">
        <f t="shared" ca="1" si="49"/>
        <v/>
      </c>
      <c r="AO159" s="1004" t="str">
        <f t="shared" ca="1" si="49"/>
        <v/>
      </c>
      <c r="AP159" s="1004" t="str">
        <f t="shared" ca="1" si="49"/>
        <v/>
      </c>
      <c r="AQ159" s="1004" t="str">
        <f t="shared" ca="1" si="49"/>
        <v/>
      </c>
      <c r="AR159" s="1004" t="str">
        <f t="shared" ca="1" si="49"/>
        <v/>
      </c>
      <c r="AS159" s="1004" t="str">
        <f t="shared" ca="1" si="49"/>
        <v/>
      </c>
      <c r="AT159" s="1004" t="str">
        <f t="shared" ca="1" si="49"/>
        <v/>
      </c>
      <c r="AU159" s="1004" t="str">
        <f t="shared" ca="1" si="49"/>
        <v/>
      </c>
      <c r="AV159" s="1004" t="str">
        <f t="shared" ca="1" si="49"/>
        <v/>
      </c>
      <c r="AW159" s="1004" t="str">
        <f t="shared" ca="1" si="49"/>
        <v/>
      </c>
      <c r="AX159" s="1004" t="str">
        <f t="shared" ca="1" si="49"/>
        <v/>
      </c>
      <c r="AY159" s="1004" t="str">
        <f t="shared" ca="1" si="49"/>
        <v/>
      </c>
      <c r="AZ159" s="1004" t="str">
        <f t="shared" ca="1" si="49"/>
        <v/>
      </c>
      <c r="BA159" s="1004" t="str">
        <f t="shared" ca="1" si="49"/>
        <v/>
      </c>
      <c r="BB159" s="1004" t="str">
        <f t="shared" ca="1" si="49"/>
        <v/>
      </c>
      <c r="BC159" s="1004" t="str">
        <f t="shared" ca="1" si="49"/>
        <v/>
      </c>
      <c r="BD159" s="1004" t="str">
        <f t="shared" ca="1" si="49"/>
        <v/>
      </c>
      <c r="BE159" s="1004" t="str">
        <f t="shared" ca="1" si="49"/>
        <v/>
      </c>
      <c r="BF159" s="1004" t="str">
        <f t="shared" ca="1" si="49"/>
        <v/>
      </c>
      <c r="BG159" s="1004" t="str">
        <f t="shared" ca="1" si="49"/>
        <v/>
      </c>
      <c r="BH159" s="1004" t="str">
        <f t="shared" ca="1" si="49"/>
        <v/>
      </c>
      <c r="BI159" s="1004" t="str">
        <f t="shared" ca="1" si="49"/>
        <v/>
      </c>
      <c r="BJ159" s="1004" t="str">
        <f t="shared" ca="1" si="49"/>
        <v/>
      </c>
      <c r="BK159" s="1004" t="str">
        <f t="shared" ca="1" si="49"/>
        <v/>
      </c>
      <c r="BL159" s="1004" t="str">
        <f t="shared" ca="1" si="49"/>
        <v/>
      </c>
      <c r="BM159" s="1004" t="str">
        <f t="shared" ca="1" si="49"/>
        <v/>
      </c>
      <c r="BN159" s="1004" t="str">
        <f t="shared" ca="1" si="49"/>
        <v/>
      </c>
      <c r="BO159" s="1004" t="str">
        <f t="shared" ca="1" si="49"/>
        <v/>
      </c>
    </row>
    <row r="160" spans="1:67" ht="20.100000000000001" hidden="1" customHeight="1" outlineLevel="1">
      <c r="B160" s="1924"/>
      <c r="C160" s="1922"/>
      <c r="D160" s="958" t="s">
        <v>4415</v>
      </c>
      <c r="E160" s="958"/>
      <c r="F160" s="1002"/>
      <c r="G160" s="1003" t="s">
        <v>4685</v>
      </c>
      <c r="H160" s="1004"/>
      <c r="I160" s="1004"/>
      <c r="J160" s="1004"/>
      <c r="K160" s="1004"/>
      <c r="L160" s="1004">
        <f t="shared" ca="1" si="49"/>
        <v>0</v>
      </c>
      <c r="M160" s="1004">
        <f t="shared" ca="1" si="49"/>
        <v>0</v>
      </c>
      <c r="N160" s="1004">
        <f t="shared" ca="1" si="49"/>
        <v>0</v>
      </c>
      <c r="O160" s="1004">
        <f t="shared" ca="1" si="49"/>
        <v>0</v>
      </c>
      <c r="P160" s="1004">
        <f t="shared" ca="1" si="49"/>
        <v>0</v>
      </c>
      <c r="Q160" s="1004">
        <f t="shared" ca="1" si="49"/>
        <v>0</v>
      </c>
      <c r="R160" s="1004">
        <f t="shared" ca="1" si="49"/>
        <v>0</v>
      </c>
      <c r="S160" s="1004">
        <f t="shared" ca="1" si="49"/>
        <v>0</v>
      </c>
      <c r="T160" s="1004">
        <f t="shared" ca="1" si="49"/>
        <v>0</v>
      </c>
      <c r="U160" s="1004">
        <f t="shared" ca="1" si="49"/>
        <v>0</v>
      </c>
      <c r="V160" s="1004">
        <f t="shared" ca="1" si="49"/>
        <v>0</v>
      </c>
      <c r="W160" s="1004">
        <f t="shared" ca="1" si="49"/>
        <v>0</v>
      </c>
      <c r="X160" s="1004">
        <f t="shared" ca="1" si="49"/>
        <v>0</v>
      </c>
      <c r="Y160" s="1004">
        <f t="shared" ca="1" si="49"/>
        <v>0</v>
      </c>
      <c r="Z160" s="1004">
        <f t="shared" ca="1" si="49"/>
        <v>0</v>
      </c>
      <c r="AA160" s="1004">
        <f t="shared" ca="1" si="49"/>
        <v>0</v>
      </c>
      <c r="AB160" s="1004" t="str">
        <f t="shared" ca="1" si="49"/>
        <v/>
      </c>
      <c r="AC160" s="1004" t="str">
        <f t="shared" ca="1" si="49"/>
        <v/>
      </c>
      <c r="AD160" s="1004" t="str">
        <f t="shared" ca="1" si="49"/>
        <v/>
      </c>
      <c r="AE160" s="1004" t="str">
        <f t="shared" ca="1" si="49"/>
        <v/>
      </c>
      <c r="AF160" s="1004" t="str">
        <f t="shared" ca="1" si="49"/>
        <v/>
      </c>
      <c r="AG160" s="1004" t="str">
        <f t="shared" ca="1" si="49"/>
        <v/>
      </c>
      <c r="AH160" s="1004" t="str">
        <f t="shared" ca="1" si="49"/>
        <v/>
      </c>
      <c r="AI160" s="1004" t="str">
        <f t="shared" ca="1" si="49"/>
        <v/>
      </c>
      <c r="AJ160" s="1004" t="str">
        <f t="shared" ca="1" si="49"/>
        <v/>
      </c>
      <c r="AK160" s="1004" t="str">
        <f t="shared" ca="1" si="49"/>
        <v/>
      </c>
      <c r="AL160" s="1004" t="str">
        <f t="shared" ca="1" si="49"/>
        <v/>
      </c>
      <c r="AM160" s="1004" t="str">
        <f t="shared" ca="1" si="49"/>
        <v/>
      </c>
      <c r="AN160" s="1004" t="str">
        <f t="shared" ca="1" si="49"/>
        <v/>
      </c>
      <c r="AO160" s="1004" t="str">
        <f t="shared" ca="1" si="49"/>
        <v/>
      </c>
      <c r="AP160" s="1004" t="str">
        <f t="shared" ca="1" si="49"/>
        <v/>
      </c>
      <c r="AQ160" s="1004" t="str">
        <f t="shared" ref="AQ160:BO160" ca="1" si="50">AQ50</f>
        <v/>
      </c>
      <c r="AR160" s="1004" t="str">
        <f t="shared" ca="1" si="50"/>
        <v/>
      </c>
      <c r="AS160" s="1004" t="str">
        <f t="shared" ca="1" si="50"/>
        <v/>
      </c>
      <c r="AT160" s="1004" t="str">
        <f t="shared" ca="1" si="50"/>
        <v/>
      </c>
      <c r="AU160" s="1004" t="str">
        <f t="shared" ca="1" si="50"/>
        <v/>
      </c>
      <c r="AV160" s="1004" t="str">
        <f t="shared" ca="1" si="50"/>
        <v/>
      </c>
      <c r="AW160" s="1004" t="str">
        <f t="shared" ca="1" si="50"/>
        <v/>
      </c>
      <c r="AX160" s="1004" t="str">
        <f t="shared" ca="1" si="50"/>
        <v/>
      </c>
      <c r="AY160" s="1004" t="str">
        <f t="shared" ca="1" si="50"/>
        <v/>
      </c>
      <c r="AZ160" s="1004" t="str">
        <f t="shared" ca="1" si="50"/>
        <v/>
      </c>
      <c r="BA160" s="1004" t="str">
        <f t="shared" ca="1" si="50"/>
        <v/>
      </c>
      <c r="BB160" s="1004" t="str">
        <f t="shared" ca="1" si="50"/>
        <v/>
      </c>
      <c r="BC160" s="1004" t="str">
        <f t="shared" ca="1" si="50"/>
        <v/>
      </c>
      <c r="BD160" s="1004" t="str">
        <f t="shared" ca="1" si="50"/>
        <v/>
      </c>
      <c r="BE160" s="1004" t="str">
        <f t="shared" ca="1" si="50"/>
        <v/>
      </c>
      <c r="BF160" s="1004" t="str">
        <f t="shared" ca="1" si="50"/>
        <v/>
      </c>
      <c r="BG160" s="1004" t="str">
        <f t="shared" ca="1" si="50"/>
        <v/>
      </c>
      <c r="BH160" s="1004" t="str">
        <f t="shared" ca="1" si="50"/>
        <v/>
      </c>
      <c r="BI160" s="1004" t="str">
        <f t="shared" ca="1" si="50"/>
        <v/>
      </c>
      <c r="BJ160" s="1004" t="str">
        <f t="shared" ca="1" si="50"/>
        <v/>
      </c>
      <c r="BK160" s="1004" t="str">
        <f t="shared" ca="1" si="50"/>
        <v/>
      </c>
      <c r="BL160" s="1004" t="str">
        <f t="shared" ca="1" si="50"/>
        <v/>
      </c>
      <c r="BM160" s="1004" t="str">
        <f t="shared" ca="1" si="50"/>
        <v/>
      </c>
      <c r="BN160" s="1004" t="str">
        <f t="shared" ca="1" si="50"/>
        <v/>
      </c>
      <c r="BO160" s="1004" t="str">
        <f t="shared" ca="1" si="50"/>
        <v/>
      </c>
    </row>
    <row r="161" spans="1:68" ht="20.100000000000001" hidden="1" customHeight="1" outlineLevel="1">
      <c r="B161" s="1924"/>
      <c r="C161" s="1922"/>
      <c r="D161" s="958" t="s">
        <v>4416</v>
      </c>
      <c r="E161" s="958"/>
      <c r="F161" s="1002"/>
      <c r="G161" s="1003" t="s">
        <v>4685</v>
      </c>
      <c r="H161" s="1004"/>
      <c r="I161" s="1004"/>
      <c r="J161" s="1004"/>
      <c r="K161" s="1004"/>
      <c r="L161" s="1004">
        <f t="shared" ref="L161:BO165" ca="1" si="51">L51</f>
        <v>0</v>
      </c>
      <c r="M161" s="1004">
        <f t="shared" ca="1" si="51"/>
        <v>0</v>
      </c>
      <c r="N161" s="1004">
        <f t="shared" ca="1" si="51"/>
        <v>0</v>
      </c>
      <c r="O161" s="1004">
        <f t="shared" ca="1" si="51"/>
        <v>0</v>
      </c>
      <c r="P161" s="1004">
        <f t="shared" ca="1" si="51"/>
        <v>0</v>
      </c>
      <c r="Q161" s="1004">
        <f t="shared" ca="1" si="51"/>
        <v>0</v>
      </c>
      <c r="R161" s="1004">
        <f t="shared" ca="1" si="51"/>
        <v>0</v>
      </c>
      <c r="S161" s="1004">
        <f t="shared" ca="1" si="51"/>
        <v>0</v>
      </c>
      <c r="T161" s="1004">
        <f t="shared" ca="1" si="51"/>
        <v>0</v>
      </c>
      <c r="U161" s="1004">
        <f t="shared" ca="1" si="51"/>
        <v>0</v>
      </c>
      <c r="V161" s="1004">
        <f t="shared" ca="1" si="51"/>
        <v>0</v>
      </c>
      <c r="W161" s="1004">
        <f t="shared" ca="1" si="51"/>
        <v>0</v>
      </c>
      <c r="X161" s="1004">
        <f t="shared" ca="1" si="51"/>
        <v>0</v>
      </c>
      <c r="Y161" s="1004">
        <f t="shared" ca="1" si="51"/>
        <v>0</v>
      </c>
      <c r="Z161" s="1004">
        <f t="shared" ca="1" si="51"/>
        <v>0</v>
      </c>
      <c r="AA161" s="1004">
        <f t="shared" ca="1" si="51"/>
        <v>0</v>
      </c>
      <c r="AB161" s="1004" t="str">
        <f t="shared" ca="1" si="51"/>
        <v/>
      </c>
      <c r="AC161" s="1004" t="str">
        <f t="shared" ca="1" si="51"/>
        <v/>
      </c>
      <c r="AD161" s="1004" t="str">
        <f t="shared" ca="1" si="51"/>
        <v/>
      </c>
      <c r="AE161" s="1004" t="str">
        <f t="shared" ca="1" si="51"/>
        <v/>
      </c>
      <c r="AF161" s="1004" t="str">
        <f t="shared" ca="1" si="51"/>
        <v/>
      </c>
      <c r="AG161" s="1004" t="str">
        <f t="shared" ca="1" si="51"/>
        <v/>
      </c>
      <c r="AH161" s="1004" t="str">
        <f t="shared" ca="1" si="51"/>
        <v/>
      </c>
      <c r="AI161" s="1004" t="str">
        <f t="shared" ca="1" si="51"/>
        <v/>
      </c>
      <c r="AJ161" s="1004" t="str">
        <f t="shared" ca="1" si="51"/>
        <v/>
      </c>
      <c r="AK161" s="1004" t="str">
        <f t="shared" ca="1" si="51"/>
        <v/>
      </c>
      <c r="AL161" s="1004" t="str">
        <f t="shared" ca="1" si="51"/>
        <v/>
      </c>
      <c r="AM161" s="1004" t="str">
        <f t="shared" ca="1" si="51"/>
        <v/>
      </c>
      <c r="AN161" s="1004" t="str">
        <f t="shared" ca="1" si="51"/>
        <v/>
      </c>
      <c r="AO161" s="1004" t="str">
        <f t="shared" ca="1" si="51"/>
        <v/>
      </c>
      <c r="AP161" s="1004" t="str">
        <f t="shared" ca="1" si="51"/>
        <v/>
      </c>
      <c r="AQ161" s="1004" t="str">
        <f t="shared" ca="1" si="51"/>
        <v/>
      </c>
      <c r="AR161" s="1004" t="str">
        <f t="shared" ca="1" si="51"/>
        <v/>
      </c>
      <c r="AS161" s="1004" t="str">
        <f t="shared" ca="1" si="51"/>
        <v/>
      </c>
      <c r="AT161" s="1004" t="str">
        <f t="shared" ca="1" si="51"/>
        <v/>
      </c>
      <c r="AU161" s="1004" t="str">
        <f t="shared" ca="1" si="51"/>
        <v/>
      </c>
      <c r="AV161" s="1004" t="str">
        <f t="shared" ca="1" si="51"/>
        <v/>
      </c>
      <c r="AW161" s="1004" t="str">
        <f t="shared" ca="1" si="51"/>
        <v/>
      </c>
      <c r="AX161" s="1004" t="str">
        <f t="shared" ca="1" si="51"/>
        <v/>
      </c>
      <c r="AY161" s="1004" t="str">
        <f t="shared" ca="1" si="51"/>
        <v/>
      </c>
      <c r="AZ161" s="1004" t="str">
        <f t="shared" ca="1" si="51"/>
        <v/>
      </c>
      <c r="BA161" s="1004" t="str">
        <f t="shared" ca="1" si="51"/>
        <v/>
      </c>
      <c r="BB161" s="1004" t="str">
        <f t="shared" ca="1" si="51"/>
        <v/>
      </c>
      <c r="BC161" s="1004" t="str">
        <f t="shared" ca="1" si="51"/>
        <v/>
      </c>
      <c r="BD161" s="1004" t="str">
        <f t="shared" ca="1" si="51"/>
        <v/>
      </c>
      <c r="BE161" s="1004" t="str">
        <f t="shared" ca="1" si="51"/>
        <v/>
      </c>
      <c r="BF161" s="1004" t="str">
        <f t="shared" ca="1" si="51"/>
        <v/>
      </c>
      <c r="BG161" s="1004" t="str">
        <f t="shared" ca="1" si="51"/>
        <v/>
      </c>
      <c r="BH161" s="1004" t="str">
        <f t="shared" ca="1" si="51"/>
        <v/>
      </c>
      <c r="BI161" s="1004" t="str">
        <f t="shared" ca="1" si="51"/>
        <v/>
      </c>
      <c r="BJ161" s="1004" t="str">
        <f t="shared" ca="1" si="51"/>
        <v/>
      </c>
      <c r="BK161" s="1004" t="str">
        <f t="shared" ca="1" si="51"/>
        <v/>
      </c>
      <c r="BL161" s="1004" t="str">
        <f t="shared" ca="1" si="51"/>
        <v/>
      </c>
      <c r="BM161" s="1004" t="str">
        <f t="shared" ca="1" si="51"/>
        <v/>
      </c>
      <c r="BN161" s="1004" t="str">
        <f t="shared" ca="1" si="51"/>
        <v/>
      </c>
      <c r="BO161" s="1004" t="str">
        <f t="shared" ca="1" si="51"/>
        <v/>
      </c>
    </row>
    <row r="162" spans="1:68" ht="20.100000000000001" hidden="1" customHeight="1" outlineLevel="1">
      <c r="B162" s="1924"/>
      <c r="C162" s="1922"/>
      <c r="D162" s="958" t="s">
        <v>4417</v>
      </c>
      <c r="E162" s="958"/>
      <c r="F162" s="1002"/>
      <c r="G162" s="1003" t="s">
        <v>4685</v>
      </c>
      <c r="H162" s="1004"/>
      <c r="I162" s="1004"/>
      <c r="J162" s="1004"/>
      <c r="K162" s="1004"/>
      <c r="L162" s="1004">
        <f t="shared" ca="1" si="51"/>
        <v>0</v>
      </c>
      <c r="M162" s="1004">
        <f t="shared" ca="1" si="51"/>
        <v>0</v>
      </c>
      <c r="N162" s="1004">
        <f t="shared" ca="1" si="51"/>
        <v>0</v>
      </c>
      <c r="O162" s="1004">
        <f t="shared" ca="1" si="51"/>
        <v>0</v>
      </c>
      <c r="P162" s="1004">
        <f t="shared" ca="1" si="51"/>
        <v>0</v>
      </c>
      <c r="Q162" s="1004">
        <f t="shared" ca="1" si="51"/>
        <v>0</v>
      </c>
      <c r="R162" s="1004">
        <f t="shared" ca="1" si="51"/>
        <v>0</v>
      </c>
      <c r="S162" s="1004">
        <f t="shared" ca="1" si="51"/>
        <v>0</v>
      </c>
      <c r="T162" s="1004">
        <f t="shared" ca="1" si="51"/>
        <v>0</v>
      </c>
      <c r="U162" s="1004">
        <f t="shared" ca="1" si="51"/>
        <v>0</v>
      </c>
      <c r="V162" s="1004">
        <f t="shared" ca="1" si="51"/>
        <v>0</v>
      </c>
      <c r="W162" s="1004">
        <f t="shared" ca="1" si="51"/>
        <v>0</v>
      </c>
      <c r="X162" s="1004">
        <f t="shared" ca="1" si="51"/>
        <v>0</v>
      </c>
      <c r="Y162" s="1004">
        <f t="shared" ca="1" si="51"/>
        <v>0</v>
      </c>
      <c r="Z162" s="1004">
        <f t="shared" ca="1" si="51"/>
        <v>0</v>
      </c>
      <c r="AA162" s="1004">
        <f t="shared" ca="1" si="51"/>
        <v>0</v>
      </c>
      <c r="AB162" s="1004" t="str">
        <f t="shared" ca="1" si="51"/>
        <v/>
      </c>
      <c r="AC162" s="1004" t="str">
        <f t="shared" ca="1" si="51"/>
        <v/>
      </c>
      <c r="AD162" s="1004" t="str">
        <f t="shared" ca="1" si="51"/>
        <v/>
      </c>
      <c r="AE162" s="1004" t="str">
        <f t="shared" ca="1" si="51"/>
        <v/>
      </c>
      <c r="AF162" s="1004" t="str">
        <f t="shared" ca="1" si="51"/>
        <v/>
      </c>
      <c r="AG162" s="1004" t="str">
        <f t="shared" ca="1" si="51"/>
        <v/>
      </c>
      <c r="AH162" s="1004" t="str">
        <f t="shared" ca="1" si="51"/>
        <v/>
      </c>
      <c r="AI162" s="1004" t="str">
        <f t="shared" ca="1" si="51"/>
        <v/>
      </c>
      <c r="AJ162" s="1004" t="str">
        <f t="shared" ca="1" si="51"/>
        <v/>
      </c>
      <c r="AK162" s="1004" t="str">
        <f t="shared" ca="1" si="51"/>
        <v/>
      </c>
      <c r="AL162" s="1004" t="str">
        <f t="shared" ca="1" si="51"/>
        <v/>
      </c>
      <c r="AM162" s="1004" t="str">
        <f t="shared" ca="1" si="51"/>
        <v/>
      </c>
      <c r="AN162" s="1004" t="str">
        <f t="shared" ca="1" si="51"/>
        <v/>
      </c>
      <c r="AO162" s="1004" t="str">
        <f t="shared" ca="1" si="51"/>
        <v/>
      </c>
      <c r="AP162" s="1004" t="str">
        <f t="shared" ca="1" si="51"/>
        <v/>
      </c>
      <c r="AQ162" s="1004" t="str">
        <f t="shared" ca="1" si="51"/>
        <v/>
      </c>
      <c r="AR162" s="1004" t="str">
        <f t="shared" ca="1" si="51"/>
        <v/>
      </c>
      <c r="AS162" s="1004" t="str">
        <f t="shared" ca="1" si="51"/>
        <v/>
      </c>
      <c r="AT162" s="1004" t="str">
        <f t="shared" ca="1" si="51"/>
        <v/>
      </c>
      <c r="AU162" s="1004" t="str">
        <f t="shared" ca="1" si="51"/>
        <v/>
      </c>
      <c r="AV162" s="1004" t="str">
        <f t="shared" ca="1" si="51"/>
        <v/>
      </c>
      <c r="AW162" s="1004" t="str">
        <f t="shared" ca="1" si="51"/>
        <v/>
      </c>
      <c r="AX162" s="1004" t="str">
        <f t="shared" ca="1" si="51"/>
        <v/>
      </c>
      <c r="AY162" s="1004" t="str">
        <f t="shared" ca="1" si="51"/>
        <v/>
      </c>
      <c r="AZ162" s="1004" t="str">
        <f t="shared" ca="1" si="51"/>
        <v/>
      </c>
      <c r="BA162" s="1004" t="str">
        <f t="shared" ca="1" si="51"/>
        <v/>
      </c>
      <c r="BB162" s="1004" t="str">
        <f t="shared" ca="1" si="51"/>
        <v/>
      </c>
      <c r="BC162" s="1004" t="str">
        <f t="shared" ca="1" si="51"/>
        <v/>
      </c>
      <c r="BD162" s="1004" t="str">
        <f t="shared" ca="1" si="51"/>
        <v/>
      </c>
      <c r="BE162" s="1004" t="str">
        <f t="shared" ca="1" si="51"/>
        <v/>
      </c>
      <c r="BF162" s="1004" t="str">
        <f t="shared" ca="1" si="51"/>
        <v/>
      </c>
      <c r="BG162" s="1004" t="str">
        <f t="shared" ca="1" si="51"/>
        <v/>
      </c>
      <c r="BH162" s="1004" t="str">
        <f t="shared" ca="1" si="51"/>
        <v/>
      </c>
      <c r="BI162" s="1004" t="str">
        <f t="shared" ca="1" si="51"/>
        <v/>
      </c>
      <c r="BJ162" s="1004" t="str">
        <f t="shared" ca="1" si="51"/>
        <v/>
      </c>
      <c r="BK162" s="1004" t="str">
        <f t="shared" ca="1" si="51"/>
        <v/>
      </c>
      <c r="BL162" s="1004" t="str">
        <f t="shared" ca="1" si="51"/>
        <v/>
      </c>
      <c r="BM162" s="1004" t="str">
        <f t="shared" ca="1" si="51"/>
        <v/>
      </c>
      <c r="BN162" s="1004" t="str">
        <f t="shared" ca="1" si="51"/>
        <v/>
      </c>
      <c r="BO162" s="1004" t="str">
        <f t="shared" ca="1" si="51"/>
        <v/>
      </c>
    </row>
    <row r="163" spans="1:68" ht="20.100000000000001" hidden="1" customHeight="1" outlineLevel="1">
      <c r="B163" s="1924"/>
      <c r="C163" s="1922"/>
      <c r="D163" s="958" t="s">
        <v>4192</v>
      </c>
      <c r="E163" s="958"/>
      <c r="F163" s="1002"/>
      <c r="G163" s="1003" t="s">
        <v>4685</v>
      </c>
      <c r="H163" s="1004"/>
      <c r="I163" s="1004"/>
      <c r="J163" s="1004"/>
      <c r="K163" s="1004"/>
      <c r="L163" s="1004">
        <f t="shared" ca="1" si="51"/>
        <v>0</v>
      </c>
      <c r="M163" s="1004">
        <f t="shared" ca="1" si="51"/>
        <v>0</v>
      </c>
      <c r="N163" s="1004">
        <f t="shared" ca="1" si="51"/>
        <v>0</v>
      </c>
      <c r="O163" s="1004">
        <f t="shared" ca="1" si="51"/>
        <v>0</v>
      </c>
      <c r="P163" s="1004">
        <f t="shared" ca="1" si="51"/>
        <v>0</v>
      </c>
      <c r="Q163" s="1004">
        <f t="shared" ca="1" si="51"/>
        <v>0</v>
      </c>
      <c r="R163" s="1004">
        <f t="shared" ca="1" si="51"/>
        <v>0</v>
      </c>
      <c r="S163" s="1004">
        <f t="shared" ca="1" si="51"/>
        <v>0</v>
      </c>
      <c r="T163" s="1004">
        <f t="shared" ca="1" si="51"/>
        <v>0</v>
      </c>
      <c r="U163" s="1004">
        <f t="shared" ca="1" si="51"/>
        <v>0</v>
      </c>
      <c r="V163" s="1004">
        <f t="shared" ca="1" si="51"/>
        <v>0</v>
      </c>
      <c r="W163" s="1004">
        <f t="shared" ca="1" si="51"/>
        <v>0</v>
      </c>
      <c r="X163" s="1004">
        <f t="shared" ca="1" si="51"/>
        <v>0</v>
      </c>
      <c r="Y163" s="1004">
        <f t="shared" ca="1" si="51"/>
        <v>0</v>
      </c>
      <c r="Z163" s="1004">
        <f t="shared" ca="1" si="51"/>
        <v>0</v>
      </c>
      <c r="AA163" s="1004">
        <f t="shared" ca="1" si="51"/>
        <v>0</v>
      </c>
      <c r="AB163" s="1004" t="str">
        <f t="shared" ca="1" si="51"/>
        <v/>
      </c>
      <c r="AC163" s="1004" t="str">
        <f t="shared" ca="1" si="51"/>
        <v/>
      </c>
      <c r="AD163" s="1004" t="str">
        <f t="shared" ca="1" si="51"/>
        <v/>
      </c>
      <c r="AE163" s="1004" t="str">
        <f t="shared" ca="1" si="51"/>
        <v/>
      </c>
      <c r="AF163" s="1004" t="str">
        <f t="shared" ca="1" si="51"/>
        <v/>
      </c>
      <c r="AG163" s="1004" t="str">
        <f t="shared" ca="1" si="51"/>
        <v/>
      </c>
      <c r="AH163" s="1004" t="str">
        <f t="shared" ca="1" si="51"/>
        <v/>
      </c>
      <c r="AI163" s="1004" t="str">
        <f t="shared" ca="1" si="51"/>
        <v/>
      </c>
      <c r="AJ163" s="1004" t="str">
        <f t="shared" ca="1" si="51"/>
        <v/>
      </c>
      <c r="AK163" s="1004" t="str">
        <f t="shared" ca="1" si="51"/>
        <v/>
      </c>
      <c r="AL163" s="1004" t="str">
        <f t="shared" ca="1" si="51"/>
        <v/>
      </c>
      <c r="AM163" s="1004" t="str">
        <f t="shared" ca="1" si="51"/>
        <v/>
      </c>
      <c r="AN163" s="1004" t="str">
        <f t="shared" ca="1" si="51"/>
        <v/>
      </c>
      <c r="AO163" s="1004" t="str">
        <f t="shared" ca="1" si="51"/>
        <v/>
      </c>
      <c r="AP163" s="1004" t="str">
        <f t="shared" ca="1" si="51"/>
        <v/>
      </c>
      <c r="AQ163" s="1004" t="str">
        <f t="shared" ca="1" si="51"/>
        <v/>
      </c>
      <c r="AR163" s="1004" t="str">
        <f t="shared" ca="1" si="51"/>
        <v/>
      </c>
      <c r="AS163" s="1004" t="str">
        <f t="shared" ca="1" si="51"/>
        <v/>
      </c>
      <c r="AT163" s="1004" t="str">
        <f t="shared" ca="1" si="51"/>
        <v/>
      </c>
      <c r="AU163" s="1004" t="str">
        <f t="shared" ca="1" si="51"/>
        <v/>
      </c>
      <c r="AV163" s="1004" t="str">
        <f t="shared" ca="1" si="51"/>
        <v/>
      </c>
      <c r="AW163" s="1004" t="str">
        <f t="shared" ca="1" si="51"/>
        <v/>
      </c>
      <c r="AX163" s="1004" t="str">
        <f t="shared" ca="1" si="51"/>
        <v/>
      </c>
      <c r="AY163" s="1004" t="str">
        <f t="shared" ca="1" si="51"/>
        <v/>
      </c>
      <c r="AZ163" s="1004" t="str">
        <f t="shared" ca="1" si="51"/>
        <v/>
      </c>
      <c r="BA163" s="1004" t="str">
        <f t="shared" ca="1" si="51"/>
        <v/>
      </c>
      <c r="BB163" s="1004" t="str">
        <f t="shared" ca="1" si="51"/>
        <v/>
      </c>
      <c r="BC163" s="1004" t="str">
        <f t="shared" ca="1" si="51"/>
        <v/>
      </c>
      <c r="BD163" s="1004" t="str">
        <f t="shared" ca="1" si="51"/>
        <v/>
      </c>
      <c r="BE163" s="1004" t="str">
        <f t="shared" ca="1" si="51"/>
        <v/>
      </c>
      <c r="BF163" s="1004" t="str">
        <f t="shared" ca="1" si="51"/>
        <v/>
      </c>
      <c r="BG163" s="1004" t="str">
        <f t="shared" ca="1" si="51"/>
        <v/>
      </c>
      <c r="BH163" s="1004" t="str">
        <f t="shared" ca="1" si="51"/>
        <v/>
      </c>
      <c r="BI163" s="1004" t="str">
        <f t="shared" ca="1" si="51"/>
        <v/>
      </c>
      <c r="BJ163" s="1004" t="str">
        <f t="shared" ca="1" si="51"/>
        <v/>
      </c>
      <c r="BK163" s="1004" t="str">
        <f t="shared" ca="1" si="51"/>
        <v/>
      </c>
      <c r="BL163" s="1004" t="str">
        <f t="shared" ca="1" si="51"/>
        <v/>
      </c>
      <c r="BM163" s="1004" t="str">
        <f t="shared" ca="1" si="51"/>
        <v/>
      </c>
      <c r="BN163" s="1004" t="str">
        <f t="shared" ca="1" si="51"/>
        <v/>
      </c>
      <c r="BO163" s="1004" t="str">
        <f t="shared" ca="1" si="51"/>
        <v/>
      </c>
    </row>
    <row r="164" spans="1:68" ht="20.100000000000001" hidden="1" customHeight="1" outlineLevel="1">
      <c r="B164" s="1924"/>
      <c r="C164" s="1922"/>
      <c r="D164" s="958" t="s">
        <v>4418</v>
      </c>
      <c r="E164" s="1007"/>
      <c r="F164" s="1009"/>
      <c r="G164" s="1003" t="s">
        <v>4685</v>
      </c>
      <c r="H164" s="1004"/>
      <c r="I164" s="1004"/>
      <c r="J164" s="1004"/>
      <c r="K164" s="1004"/>
      <c r="L164" s="1004">
        <f t="shared" ca="1" si="51"/>
        <v>0</v>
      </c>
      <c r="M164" s="1004">
        <f t="shared" ca="1" si="51"/>
        <v>0</v>
      </c>
      <c r="N164" s="1004">
        <f t="shared" ca="1" si="51"/>
        <v>0</v>
      </c>
      <c r="O164" s="1004">
        <f t="shared" ca="1" si="51"/>
        <v>0</v>
      </c>
      <c r="P164" s="1004">
        <f t="shared" ca="1" si="51"/>
        <v>0</v>
      </c>
      <c r="Q164" s="1004">
        <f t="shared" ca="1" si="51"/>
        <v>0</v>
      </c>
      <c r="R164" s="1004">
        <f t="shared" ca="1" si="51"/>
        <v>0</v>
      </c>
      <c r="S164" s="1004">
        <f t="shared" ca="1" si="51"/>
        <v>0</v>
      </c>
      <c r="T164" s="1004">
        <f t="shared" ca="1" si="51"/>
        <v>0</v>
      </c>
      <c r="U164" s="1004">
        <f t="shared" ca="1" si="51"/>
        <v>0</v>
      </c>
      <c r="V164" s="1004">
        <f t="shared" ca="1" si="51"/>
        <v>0</v>
      </c>
      <c r="W164" s="1004">
        <f t="shared" ca="1" si="51"/>
        <v>0</v>
      </c>
      <c r="X164" s="1004">
        <f t="shared" ca="1" si="51"/>
        <v>0</v>
      </c>
      <c r="Y164" s="1004">
        <f t="shared" ca="1" si="51"/>
        <v>0</v>
      </c>
      <c r="Z164" s="1004">
        <f t="shared" ca="1" si="51"/>
        <v>0</v>
      </c>
      <c r="AA164" s="1004">
        <f t="shared" ca="1" si="51"/>
        <v>0</v>
      </c>
      <c r="AB164" s="1004" t="str">
        <f t="shared" ca="1" si="51"/>
        <v/>
      </c>
      <c r="AC164" s="1004" t="str">
        <f t="shared" ca="1" si="51"/>
        <v/>
      </c>
      <c r="AD164" s="1004" t="str">
        <f t="shared" ca="1" si="51"/>
        <v/>
      </c>
      <c r="AE164" s="1004" t="str">
        <f t="shared" ca="1" si="51"/>
        <v/>
      </c>
      <c r="AF164" s="1004" t="str">
        <f t="shared" ca="1" si="51"/>
        <v/>
      </c>
      <c r="AG164" s="1004" t="str">
        <f t="shared" ca="1" si="51"/>
        <v/>
      </c>
      <c r="AH164" s="1004" t="str">
        <f t="shared" ca="1" si="51"/>
        <v/>
      </c>
      <c r="AI164" s="1004" t="str">
        <f t="shared" ca="1" si="51"/>
        <v/>
      </c>
      <c r="AJ164" s="1004" t="str">
        <f t="shared" ca="1" si="51"/>
        <v/>
      </c>
      <c r="AK164" s="1004" t="str">
        <f t="shared" ca="1" si="51"/>
        <v/>
      </c>
      <c r="AL164" s="1004" t="str">
        <f t="shared" ca="1" si="51"/>
        <v/>
      </c>
      <c r="AM164" s="1004" t="str">
        <f t="shared" ca="1" si="51"/>
        <v/>
      </c>
      <c r="AN164" s="1004" t="str">
        <f t="shared" ca="1" si="51"/>
        <v/>
      </c>
      <c r="AO164" s="1004" t="str">
        <f t="shared" ca="1" si="51"/>
        <v/>
      </c>
      <c r="AP164" s="1004" t="str">
        <f t="shared" ca="1" si="51"/>
        <v/>
      </c>
      <c r="AQ164" s="1004" t="str">
        <f t="shared" ca="1" si="51"/>
        <v/>
      </c>
      <c r="AR164" s="1004" t="str">
        <f t="shared" ca="1" si="51"/>
        <v/>
      </c>
      <c r="AS164" s="1004" t="str">
        <f t="shared" ca="1" si="51"/>
        <v/>
      </c>
      <c r="AT164" s="1004" t="str">
        <f t="shared" ca="1" si="51"/>
        <v/>
      </c>
      <c r="AU164" s="1004" t="str">
        <f t="shared" ca="1" si="51"/>
        <v/>
      </c>
      <c r="AV164" s="1004" t="str">
        <f t="shared" ca="1" si="51"/>
        <v/>
      </c>
      <c r="AW164" s="1004" t="str">
        <f t="shared" ca="1" si="51"/>
        <v/>
      </c>
      <c r="AX164" s="1004" t="str">
        <f t="shared" ca="1" si="51"/>
        <v/>
      </c>
      <c r="AY164" s="1004" t="str">
        <f t="shared" ca="1" si="51"/>
        <v/>
      </c>
      <c r="AZ164" s="1004" t="str">
        <f t="shared" ca="1" si="51"/>
        <v/>
      </c>
      <c r="BA164" s="1004" t="str">
        <f t="shared" ca="1" si="51"/>
        <v/>
      </c>
      <c r="BB164" s="1004" t="str">
        <f t="shared" ca="1" si="51"/>
        <v/>
      </c>
      <c r="BC164" s="1004" t="str">
        <f t="shared" ca="1" si="51"/>
        <v/>
      </c>
      <c r="BD164" s="1004" t="str">
        <f t="shared" ca="1" si="51"/>
        <v/>
      </c>
      <c r="BE164" s="1004" t="str">
        <f t="shared" ca="1" si="51"/>
        <v/>
      </c>
      <c r="BF164" s="1004" t="str">
        <f t="shared" ca="1" si="51"/>
        <v/>
      </c>
      <c r="BG164" s="1004" t="str">
        <f t="shared" ca="1" si="51"/>
        <v/>
      </c>
      <c r="BH164" s="1004" t="str">
        <f t="shared" ca="1" si="51"/>
        <v/>
      </c>
      <c r="BI164" s="1004" t="str">
        <f t="shared" ca="1" si="51"/>
        <v/>
      </c>
      <c r="BJ164" s="1004" t="str">
        <f t="shared" ca="1" si="51"/>
        <v/>
      </c>
      <c r="BK164" s="1004" t="str">
        <f t="shared" ca="1" si="51"/>
        <v/>
      </c>
      <c r="BL164" s="1004" t="str">
        <f t="shared" ca="1" si="51"/>
        <v/>
      </c>
      <c r="BM164" s="1004" t="str">
        <f t="shared" ca="1" si="51"/>
        <v/>
      </c>
      <c r="BN164" s="1004" t="str">
        <f t="shared" ca="1" si="51"/>
        <v/>
      </c>
      <c r="BO164" s="1004" t="str">
        <f t="shared" ca="1" si="51"/>
        <v/>
      </c>
    </row>
    <row r="165" spans="1:68" ht="20.100000000000001" hidden="1" customHeight="1" outlineLevel="1">
      <c r="B165" s="1924"/>
      <c r="C165" s="1922"/>
      <c r="D165" s="958" t="s">
        <v>4419</v>
      </c>
      <c r="E165" s="1007"/>
      <c r="F165" s="1009"/>
      <c r="G165" s="1003" t="s">
        <v>4685</v>
      </c>
      <c r="H165" s="1004"/>
      <c r="I165" s="1004"/>
      <c r="J165" s="1004"/>
      <c r="K165" s="1004"/>
      <c r="L165" s="1004">
        <f t="shared" ca="1" si="51"/>
        <v>0</v>
      </c>
      <c r="M165" s="1004">
        <f t="shared" ca="1" si="51"/>
        <v>0</v>
      </c>
      <c r="N165" s="1004">
        <f t="shared" ca="1" si="51"/>
        <v>0</v>
      </c>
      <c r="O165" s="1004">
        <f t="shared" ca="1" si="51"/>
        <v>0</v>
      </c>
      <c r="P165" s="1004">
        <f t="shared" ca="1" si="51"/>
        <v>0</v>
      </c>
      <c r="Q165" s="1004">
        <f t="shared" ca="1" si="51"/>
        <v>0</v>
      </c>
      <c r="R165" s="1004">
        <f t="shared" ca="1" si="51"/>
        <v>0</v>
      </c>
      <c r="S165" s="1004">
        <f t="shared" ca="1" si="51"/>
        <v>0</v>
      </c>
      <c r="T165" s="1004">
        <f t="shared" ca="1" si="51"/>
        <v>0</v>
      </c>
      <c r="U165" s="1004">
        <f t="shared" ca="1" si="51"/>
        <v>0</v>
      </c>
      <c r="V165" s="1004">
        <f t="shared" ca="1" si="51"/>
        <v>0</v>
      </c>
      <c r="W165" s="1004">
        <f t="shared" ca="1" si="51"/>
        <v>0</v>
      </c>
      <c r="X165" s="1004">
        <f t="shared" ca="1" si="51"/>
        <v>0</v>
      </c>
      <c r="Y165" s="1004">
        <f t="shared" ca="1" si="51"/>
        <v>0</v>
      </c>
      <c r="Z165" s="1004">
        <f t="shared" ca="1" si="51"/>
        <v>0</v>
      </c>
      <c r="AA165" s="1004">
        <f t="shared" ca="1" si="51"/>
        <v>0</v>
      </c>
      <c r="AB165" s="1004" t="str">
        <f t="shared" ca="1" si="51"/>
        <v/>
      </c>
      <c r="AC165" s="1004" t="str">
        <f t="shared" ca="1" si="51"/>
        <v/>
      </c>
      <c r="AD165" s="1004" t="str">
        <f t="shared" ca="1" si="51"/>
        <v/>
      </c>
      <c r="AE165" s="1004" t="str">
        <f t="shared" ca="1" si="51"/>
        <v/>
      </c>
      <c r="AF165" s="1004" t="str">
        <f t="shared" ca="1" si="51"/>
        <v/>
      </c>
      <c r="AG165" s="1004" t="str">
        <f t="shared" ca="1" si="51"/>
        <v/>
      </c>
      <c r="AH165" s="1004" t="str">
        <f t="shared" ca="1" si="51"/>
        <v/>
      </c>
      <c r="AI165" s="1004" t="str">
        <f t="shared" ca="1" si="51"/>
        <v/>
      </c>
      <c r="AJ165" s="1004" t="str">
        <f t="shared" ca="1" si="51"/>
        <v/>
      </c>
      <c r="AK165" s="1004" t="str">
        <f t="shared" ca="1" si="51"/>
        <v/>
      </c>
      <c r="AL165" s="1004" t="str">
        <f t="shared" ca="1" si="51"/>
        <v/>
      </c>
      <c r="AM165" s="1004" t="str">
        <f t="shared" ca="1" si="51"/>
        <v/>
      </c>
      <c r="AN165" s="1004" t="str">
        <f t="shared" ca="1" si="51"/>
        <v/>
      </c>
      <c r="AO165" s="1004" t="str">
        <f t="shared" ca="1" si="51"/>
        <v/>
      </c>
      <c r="AP165" s="1004" t="str">
        <f t="shared" ca="1" si="51"/>
        <v/>
      </c>
      <c r="AQ165" s="1004" t="str">
        <f t="shared" ref="AQ165:BO165" ca="1" si="52">AQ55</f>
        <v/>
      </c>
      <c r="AR165" s="1004" t="str">
        <f t="shared" ca="1" si="52"/>
        <v/>
      </c>
      <c r="AS165" s="1004" t="str">
        <f t="shared" ca="1" si="52"/>
        <v/>
      </c>
      <c r="AT165" s="1004" t="str">
        <f t="shared" ca="1" si="52"/>
        <v/>
      </c>
      <c r="AU165" s="1004" t="str">
        <f t="shared" ca="1" si="52"/>
        <v/>
      </c>
      <c r="AV165" s="1004" t="str">
        <f t="shared" ca="1" si="52"/>
        <v/>
      </c>
      <c r="AW165" s="1004" t="str">
        <f t="shared" ca="1" si="52"/>
        <v/>
      </c>
      <c r="AX165" s="1004" t="str">
        <f t="shared" ca="1" si="52"/>
        <v/>
      </c>
      <c r="AY165" s="1004" t="str">
        <f t="shared" ca="1" si="52"/>
        <v/>
      </c>
      <c r="AZ165" s="1004" t="str">
        <f t="shared" ca="1" si="52"/>
        <v/>
      </c>
      <c r="BA165" s="1004" t="str">
        <f t="shared" ca="1" si="52"/>
        <v/>
      </c>
      <c r="BB165" s="1004" t="str">
        <f t="shared" ca="1" si="52"/>
        <v/>
      </c>
      <c r="BC165" s="1004" t="str">
        <f t="shared" ca="1" si="52"/>
        <v/>
      </c>
      <c r="BD165" s="1004" t="str">
        <f t="shared" ca="1" si="52"/>
        <v/>
      </c>
      <c r="BE165" s="1004" t="str">
        <f t="shared" ca="1" si="52"/>
        <v/>
      </c>
      <c r="BF165" s="1004" t="str">
        <f t="shared" ca="1" si="52"/>
        <v/>
      </c>
      <c r="BG165" s="1004" t="str">
        <f t="shared" ca="1" si="52"/>
        <v/>
      </c>
      <c r="BH165" s="1004" t="str">
        <f t="shared" ca="1" si="52"/>
        <v/>
      </c>
      <c r="BI165" s="1004" t="str">
        <f t="shared" ca="1" si="52"/>
        <v/>
      </c>
      <c r="BJ165" s="1004" t="str">
        <f t="shared" ca="1" si="52"/>
        <v/>
      </c>
      <c r="BK165" s="1004" t="str">
        <f t="shared" ca="1" si="52"/>
        <v/>
      </c>
      <c r="BL165" s="1004" t="str">
        <f t="shared" ca="1" si="52"/>
        <v/>
      </c>
      <c r="BM165" s="1004" t="str">
        <f t="shared" ca="1" si="52"/>
        <v/>
      </c>
      <c r="BN165" s="1004" t="str">
        <f t="shared" ca="1" si="52"/>
        <v/>
      </c>
      <c r="BO165" s="1004" t="str">
        <f t="shared" ca="1" si="52"/>
        <v/>
      </c>
      <c r="BP165" s="841"/>
    </row>
    <row r="166" spans="1:68" ht="20.100000000000001" hidden="1" customHeight="1" outlineLevel="1">
      <c r="A166" s="952">
        <v>56</v>
      </c>
      <c r="B166" s="1869" t="s">
        <v>4420</v>
      </c>
      <c r="C166" s="1872" t="s">
        <v>4421</v>
      </c>
      <c r="D166" s="824" t="s">
        <v>4422</v>
      </c>
      <c r="E166" s="829"/>
      <c r="F166" s="849"/>
      <c r="G166" s="891" t="s">
        <v>4685</v>
      </c>
      <c r="H166" s="953">
        <f ca="1">IFERROR(OFFSET(貼付け_2024実績,$A166,6),"")</f>
        <v>6.54E-2</v>
      </c>
      <c r="I166" s="953">
        <f ca="1">IFERROR(OFFSET(貼付け_2025実績,$A166,6),"")</f>
        <v>6.54E-2</v>
      </c>
      <c r="J166" s="953">
        <f ca="1">IFERROR(OFFSET(貼付け_2026実績,$A166,6),"")</f>
        <v>6.54E-2</v>
      </c>
      <c r="K166" s="953">
        <f ca="1">IFERROR(OFFSET(貼付け_2027実績,$A166,6),"")</f>
        <v>6.54E-2</v>
      </c>
      <c r="L166" s="954">
        <f ca="1">IFERROR($H166*参考2_エネ使用量経年!L57,"")</f>
        <v>0</v>
      </c>
      <c r="M166" s="954">
        <f ca="1">IFERROR($I166*参考2_エネ使用量経年!M57,"")</f>
        <v>0</v>
      </c>
      <c r="N166" s="954">
        <f ca="1">IFERROR($J166*参考2_エネ使用量経年!N57,"")</f>
        <v>0</v>
      </c>
      <c r="O166" s="954">
        <f ca="1">IFERROR($K166*参考2_エネ使用量経年!O57,"")</f>
        <v>0</v>
      </c>
      <c r="P166" s="954">
        <f ca="1">IFERROR($H166*参考2_エネ使用量経年!P57,"")</f>
        <v>0</v>
      </c>
      <c r="Q166" s="954">
        <f ca="1">IFERROR($I166*参考2_エネ使用量経年!Q57,"")</f>
        <v>0</v>
      </c>
      <c r="R166" s="954">
        <f ca="1">IFERROR($J166*参考2_エネ使用量経年!R57,"")</f>
        <v>0</v>
      </c>
      <c r="S166" s="954">
        <f ca="1">IFERROR($K166*参考2_エネ使用量経年!S57,"")</f>
        <v>0</v>
      </c>
      <c r="T166" s="954">
        <f ca="1">IFERROR($H166*参考2_エネ使用量経年!T57,"")</f>
        <v>0</v>
      </c>
      <c r="U166" s="954">
        <f ca="1">IFERROR($I166*参考2_エネ使用量経年!U57,"")</f>
        <v>0</v>
      </c>
      <c r="V166" s="954">
        <f ca="1">IFERROR($J166*参考2_エネ使用量経年!V57,"")</f>
        <v>0</v>
      </c>
      <c r="W166" s="954">
        <f ca="1">IFERROR($K166*参考2_エネ使用量経年!W57,"")</f>
        <v>0</v>
      </c>
      <c r="X166" s="954">
        <f ca="1">IFERROR($H166*参考2_エネ使用量経年!X57,"")</f>
        <v>0</v>
      </c>
      <c r="Y166" s="954">
        <f ca="1">IFERROR($I166*参考2_エネ使用量経年!Y57,"")</f>
        <v>0</v>
      </c>
      <c r="Z166" s="954">
        <f ca="1">IFERROR($J166*参考2_エネ使用量経年!Z57,"")</f>
        <v>0</v>
      </c>
      <c r="AA166" s="954">
        <f ca="1">IFERROR($K166*参考2_エネ使用量経年!AA57,"")</f>
        <v>0</v>
      </c>
      <c r="AB166" s="954" t="str">
        <f ca="1">IFERROR($H166*参考2_エネ使用量経年!AB57,"")</f>
        <v/>
      </c>
      <c r="AC166" s="954" t="str">
        <f ca="1">IFERROR($I166*参考2_エネ使用量経年!AC57,"")</f>
        <v/>
      </c>
      <c r="AD166" s="954" t="str">
        <f ca="1">IFERROR($J166*参考2_エネ使用量経年!AD57,"")</f>
        <v/>
      </c>
      <c r="AE166" s="954" t="str">
        <f ca="1">IFERROR($K166*参考2_エネ使用量経年!AE57,"")</f>
        <v/>
      </c>
      <c r="AF166" s="954" t="str">
        <f ca="1">IFERROR($H166*参考2_エネ使用量経年!AF57,"")</f>
        <v/>
      </c>
      <c r="AG166" s="954" t="str">
        <f ca="1">IFERROR($I166*参考2_エネ使用量経年!AG57,"")</f>
        <v/>
      </c>
      <c r="AH166" s="954" t="str">
        <f ca="1">IFERROR($J166*参考2_エネ使用量経年!AH57,"")</f>
        <v/>
      </c>
      <c r="AI166" s="954" t="str">
        <f ca="1">IFERROR($K166*参考2_エネ使用量経年!AI57,"")</f>
        <v/>
      </c>
      <c r="AJ166" s="954" t="str">
        <f ca="1">IFERROR($H166*参考2_エネ使用量経年!AJ57,"")</f>
        <v/>
      </c>
      <c r="AK166" s="954" t="str">
        <f ca="1">IFERROR($I166*参考2_エネ使用量経年!AK57,"")</f>
        <v/>
      </c>
      <c r="AL166" s="954" t="str">
        <f ca="1">IFERROR($J166*参考2_エネ使用量経年!AL57,"")</f>
        <v/>
      </c>
      <c r="AM166" s="954" t="str">
        <f ca="1">IFERROR($K166*参考2_エネ使用量経年!AM57,"")</f>
        <v/>
      </c>
      <c r="AN166" s="954" t="str">
        <f ca="1">IFERROR($H166*参考2_エネ使用量経年!AN57,"")</f>
        <v/>
      </c>
      <c r="AO166" s="954" t="str">
        <f ca="1">IFERROR($I166*参考2_エネ使用量経年!AO57,"")</f>
        <v/>
      </c>
      <c r="AP166" s="954" t="str">
        <f ca="1">IFERROR($J166*参考2_エネ使用量経年!AP57,"")</f>
        <v/>
      </c>
      <c r="AQ166" s="954" t="str">
        <f ca="1">IFERROR($K166*参考2_エネ使用量経年!AQ57,"")</f>
        <v/>
      </c>
      <c r="AR166" s="954" t="str">
        <f ca="1">IFERROR($H166*参考2_エネ使用量経年!AR57,"")</f>
        <v/>
      </c>
      <c r="AS166" s="954" t="str">
        <f ca="1">IFERROR($I166*参考2_エネ使用量経年!AS57,"")</f>
        <v/>
      </c>
      <c r="AT166" s="954" t="str">
        <f ca="1">IFERROR($J166*参考2_エネ使用量経年!AT57,"")</f>
        <v/>
      </c>
      <c r="AU166" s="954" t="str">
        <f ca="1">IFERROR($K166*参考2_エネ使用量経年!AU57,"")</f>
        <v/>
      </c>
      <c r="AV166" s="954" t="str">
        <f ca="1">IFERROR($H166*参考2_エネ使用量経年!AV57,"")</f>
        <v/>
      </c>
      <c r="AW166" s="954" t="str">
        <f ca="1">IFERROR($I166*参考2_エネ使用量経年!AW57,"")</f>
        <v/>
      </c>
      <c r="AX166" s="954" t="str">
        <f ca="1">IFERROR($J166*参考2_エネ使用量経年!AX57,"")</f>
        <v/>
      </c>
      <c r="AY166" s="954" t="str">
        <f ca="1">IFERROR($K166*参考2_エネ使用量経年!AY57,"")</f>
        <v/>
      </c>
      <c r="AZ166" s="954" t="str">
        <f ca="1">IFERROR($H166*参考2_エネ使用量経年!AZ57,"")</f>
        <v/>
      </c>
      <c r="BA166" s="954" t="str">
        <f ca="1">IFERROR($I166*参考2_エネ使用量経年!BA57,"")</f>
        <v/>
      </c>
      <c r="BB166" s="954" t="str">
        <f ca="1">IFERROR($J166*参考2_エネ使用量経年!BB57,"")</f>
        <v/>
      </c>
      <c r="BC166" s="954" t="str">
        <f ca="1">IFERROR($K166*参考2_エネ使用量経年!BC57,"")</f>
        <v/>
      </c>
      <c r="BD166" s="954" t="str">
        <f ca="1">IFERROR($H166*参考2_エネ使用量経年!BD57,"")</f>
        <v/>
      </c>
      <c r="BE166" s="954" t="str">
        <f ca="1">IFERROR($I166*参考2_エネ使用量経年!BE57,"")</f>
        <v/>
      </c>
      <c r="BF166" s="954" t="str">
        <f ca="1">IFERROR($J166*参考2_エネ使用量経年!BF57,"")</f>
        <v/>
      </c>
      <c r="BG166" s="954" t="str">
        <f ca="1">IFERROR($K166*参考2_エネ使用量経年!BG57,"")</f>
        <v/>
      </c>
      <c r="BH166" s="954" t="str">
        <f ca="1">IFERROR($H166*参考2_エネ使用量経年!BH57,"")</f>
        <v/>
      </c>
      <c r="BI166" s="954" t="str">
        <f ca="1">IFERROR($I166*参考2_エネ使用量経年!BI57,"")</f>
        <v/>
      </c>
      <c r="BJ166" s="954" t="str">
        <f ca="1">IFERROR($J166*参考2_エネ使用量経年!BJ57,"")</f>
        <v/>
      </c>
      <c r="BK166" s="954" t="str">
        <f ca="1">IFERROR($K166*参考2_エネ使用量経年!BK57,"")</f>
        <v/>
      </c>
      <c r="BL166" s="954" t="str">
        <f ca="1">IFERROR($H166*参考2_エネ使用量経年!BL57,"")</f>
        <v/>
      </c>
      <c r="BM166" s="954" t="str">
        <f ca="1">IFERROR($I166*参考2_エネ使用量経年!BM57,"")</f>
        <v/>
      </c>
      <c r="BN166" s="954" t="str">
        <f ca="1">IFERROR($J166*参考2_エネ使用量経年!BN57,"")</f>
        <v/>
      </c>
      <c r="BO166" s="954" t="str">
        <f ca="1">IFERROR($K166*参考2_エネ使用量経年!BO57,"")</f>
        <v/>
      </c>
      <c r="BP166" s="841"/>
    </row>
    <row r="167" spans="1:68" s="1018" customFormat="1" ht="20.100000000000001" hidden="1" customHeight="1" outlineLevel="1">
      <c r="A167" s="1011">
        <v>10</v>
      </c>
      <c r="B167" s="1870"/>
      <c r="C167" s="1872"/>
      <c r="D167" s="1012" t="s">
        <v>4423</v>
      </c>
      <c r="E167" s="1013"/>
      <c r="F167" s="1014"/>
      <c r="G167" s="1015" t="s">
        <v>4685</v>
      </c>
      <c r="H167" s="1016"/>
      <c r="I167" s="1016"/>
      <c r="J167" s="1016"/>
      <c r="K167" s="1016"/>
      <c r="L167" s="954">
        <f ca="1">SUM(SUMIFS(OFFSET(A1_集計2024,$A167,9,1,200),OFFSET(貼付け_2024実績,4,9,1,200),{"横浜*","川崎*","県域*","エネルギー管理指定工場等*"}))</f>
        <v>0</v>
      </c>
      <c r="M167" s="954">
        <f ca="1">SUM(SUMIFS(OFFSET(A1_集計2025,$A167,9,1,200),OFFSET(貼付け_2025実績,4,9,1,200),{"横浜*","川崎*","県域*","エネルギー管理指定工場等*"}))</f>
        <v>0</v>
      </c>
      <c r="N167" s="954">
        <f ca="1">SUM(SUMIFS(OFFSET(A1_集計2026,$A167,9,1,200),OFFSET(貼付け_2026実績,4,9,1,200),{"横浜*","川崎*","県域*","エネルギー管理指定工場等*"}))</f>
        <v>0</v>
      </c>
      <c r="O167" s="954">
        <f ca="1">SUM(SUMIFS(OFFSET(A1_集計2027,$A167,9,1,200),OFFSET(貼付け_2027実績,4,9,1,200),{"横浜*","川崎*","県域*","エネルギー管理指定工場等*"}))</f>
        <v>0</v>
      </c>
      <c r="P167" s="954">
        <f ca="1">SUM(SUMIFS(OFFSET(A1_集計2024,$A167,9,1,200),OFFSET(貼付け_2024実績,4,9,1,200),{"横浜*","川崎*"}))</f>
        <v>0</v>
      </c>
      <c r="Q167" s="954">
        <f ca="1">SUM(SUMIFS(OFFSET(A1_集計2025,$A167,9,1,200),OFFSET(貼付け_2025実績,4,9,1,200),{"横浜*","川崎*"}))</f>
        <v>0</v>
      </c>
      <c r="R167" s="954">
        <f ca="1">SUM(SUMIFS(OFFSET(A1_集計2026,$A167,9,1,200),OFFSET(貼付け_2026実績,4,9,1,200),{"横浜*","川崎*"}))</f>
        <v>0</v>
      </c>
      <c r="S167" s="954">
        <f ca="1">SUM(SUMIFS(OFFSET(A1_集計2027,$A167,9,1,200),OFFSET(貼付け_2027実績,4,9,1,200),{"横浜*","川崎*"}))</f>
        <v>0</v>
      </c>
      <c r="T167" s="954">
        <f ca="1">SUM(SUMIFS(OFFSET(A1_集計2024,$A167,9,1,200),OFFSET(貼付け_2024実績,4,9,1,200),{"県域*","エネルギー管理指定工場等*"}))</f>
        <v>0</v>
      </c>
      <c r="U167" s="954">
        <f ca="1">SUM(SUMIFS(OFFSET(A1_集計2025,$A167,9,1,200),OFFSET(貼付け_2025実績,4,9,1,200),{"県域*","エネルギー管理指定工場等*"}))</f>
        <v>0</v>
      </c>
      <c r="V167" s="954">
        <f ca="1">SUM(SUMIFS(OFFSET(A1_集計2026,$A167,9,1,200),OFFSET(貼付け_2026実績,4,9,1,200),{"県域*","エネルギー管理指定工場等*"}))</f>
        <v>0</v>
      </c>
      <c r="W167" s="954">
        <f ca="1">SUM(SUMIFS(OFFSET(A1_集計2027,$A167,9,1,200),OFFSET(貼付け_2027実績,4,9,1,200),{"県域*","エネルギー管理指定工場等*"}))</f>
        <v>0</v>
      </c>
      <c r="X167" s="954">
        <f ca="1">SUMIFS(OFFSET(A1_集計2024,$A167,9,1,200),OFFSET(貼付け_2024実績,4,9,1,200),"県域*")</f>
        <v>0</v>
      </c>
      <c r="Y167" s="954">
        <f ca="1">SUMIFS(OFFSET(A1_集計2025,$A167,9,1,200),OFFSET(貼付け_2025実績,4,9,1,200),"県域*")</f>
        <v>0</v>
      </c>
      <c r="Z167" s="954">
        <f ca="1">SUMIFS(OFFSET(A1_集計2026,$A167,9,1,200),OFFSET(貼付け_2026実績,4,9,1,200),"県域*")</f>
        <v>0</v>
      </c>
      <c r="AA167" s="954">
        <f ca="1">SUMIFS(OFFSET(A1_集計2027,$A167,9,1,200),OFFSET(貼付け_2027実績,4,9,1,200),"県域*")</f>
        <v>0</v>
      </c>
      <c r="AB167" s="954" t="str">
        <f ca="1">IFERROR(OFFSET(A1_集計2024,$A167,AB$1),"")</f>
        <v/>
      </c>
      <c r="AC167" s="954" t="str">
        <f ca="1">IFERROR(OFFSET(A1_集計2025,$A167,AC$1),"")</f>
        <v/>
      </c>
      <c r="AD167" s="954" t="str">
        <f ca="1">IFERROR(OFFSET(A1_集計2026,$A167,AD$1),"")</f>
        <v/>
      </c>
      <c r="AE167" s="954" t="str">
        <f ca="1">IFERROR(OFFSET(A1_集計2027,$A167,AE$1),"")</f>
        <v/>
      </c>
      <c r="AF167" s="954" t="str">
        <f ca="1">IFERROR(OFFSET(A1_集計2024,$A167,AF$1),"")</f>
        <v/>
      </c>
      <c r="AG167" s="954" t="str">
        <f ca="1">IFERROR(OFFSET(A1_集計2025,$A167,AG$1),"")</f>
        <v/>
      </c>
      <c r="AH167" s="954" t="str">
        <f ca="1">IFERROR(OFFSET(A1_集計2026,$A167,AH$1),"")</f>
        <v/>
      </c>
      <c r="AI167" s="954" t="str">
        <f ca="1">IFERROR(OFFSET(A1_集計2027,$A167,AI$1),"")</f>
        <v/>
      </c>
      <c r="AJ167" s="954" t="str">
        <f ca="1">IFERROR(OFFSET(A1_集計2024,$A167,AJ$1),"")</f>
        <v/>
      </c>
      <c r="AK167" s="954" t="str">
        <f ca="1">IFERROR(OFFSET(A1_集計2025,$A167,AK$1),"")</f>
        <v/>
      </c>
      <c r="AL167" s="954" t="str">
        <f ca="1">IFERROR(OFFSET(A1_集計2026,$A167,AL$1),"")</f>
        <v/>
      </c>
      <c r="AM167" s="954" t="str">
        <f ca="1">IFERROR(OFFSET(A1_集計2027,$A167,AM$1),"")</f>
        <v/>
      </c>
      <c r="AN167" s="954" t="str">
        <f ca="1">IFERROR(OFFSET(A1_集計2024,$A167,AN$1),"")</f>
        <v/>
      </c>
      <c r="AO167" s="954" t="str">
        <f ca="1">IFERROR(OFFSET(A1_集計2025,$A167,AO$1),"")</f>
        <v/>
      </c>
      <c r="AP167" s="954" t="str">
        <f ca="1">IFERROR(OFFSET(A1_集計2026,$A167,AP$1),"")</f>
        <v/>
      </c>
      <c r="AQ167" s="954" t="str">
        <f ca="1">IFERROR(OFFSET(A1_集計2027,$A167,AQ$1),"")</f>
        <v/>
      </c>
      <c r="AR167" s="954" t="str">
        <f ca="1">IFERROR(OFFSET(A1_集計2024,$A167,AR$1),"")</f>
        <v/>
      </c>
      <c r="AS167" s="954" t="str">
        <f ca="1">IFERROR(OFFSET(A1_集計2025,$A167,AS$1),"")</f>
        <v/>
      </c>
      <c r="AT167" s="954" t="str">
        <f ca="1">IFERROR(OFFSET(A1_集計2026,$A167,AT$1),"")</f>
        <v/>
      </c>
      <c r="AU167" s="954" t="str">
        <f ca="1">IFERROR(OFFSET(A1_集計2027,$A167,AU$1),"")</f>
        <v/>
      </c>
      <c r="AV167" s="954" t="str">
        <f ca="1">IFERROR(OFFSET(A1_集計2024,$A167,AV$1),"")</f>
        <v/>
      </c>
      <c r="AW167" s="954" t="str">
        <f ca="1">IFERROR(OFFSET(A1_集計2025,$A167,AW$1),"")</f>
        <v/>
      </c>
      <c r="AX167" s="954" t="str">
        <f ca="1">IFERROR(OFFSET(A1_集計2026,$A167,AX$1),"")</f>
        <v/>
      </c>
      <c r="AY167" s="954" t="str">
        <f ca="1">IFERROR(OFFSET(A1_集計2027,$A167,AY$1),"")</f>
        <v/>
      </c>
      <c r="AZ167" s="954" t="str">
        <f ca="1">IFERROR(OFFSET(A1_集計2024,$A167,AZ$1),"")</f>
        <v/>
      </c>
      <c r="BA167" s="954" t="str">
        <f ca="1">IFERROR(OFFSET(A1_集計2025,$A167,BA$1),"")</f>
        <v/>
      </c>
      <c r="BB167" s="954" t="str">
        <f ca="1">IFERROR(OFFSET(A1_集計2026,$A167,BB$1),"")</f>
        <v/>
      </c>
      <c r="BC167" s="954" t="str">
        <f ca="1">IFERROR(OFFSET(A1_集計2027,$A167,BC$1),"")</f>
        <v/>
      </c>
      <c r="BD167" s="954" t="str">
        <f ca="1">IFERROR(OFFSET(A1_集計2024,$A167,BD$1),"")</f>
        <v/>
      </c>
      <c r="BE167" s="954" t="str">
        <f ca="1">IFERROR(OFFSET(A1_集計2025,$A167,BE$1),"")</f>
        <v/>
      </c>
      <c r="BF167" s="954" t="str">
        <f ca="1">IFERROR(OFFSET(A1_集計2026,$A167,BF$1),"")</f>
        <v/>
      </c>
      <c r="BG167" s="954" t="str">
        <f ca="1">IFERROR(OFFSET(A1_集計2027,$A167,BG$1),"")</f>
        <v/>
      </c>
      <c r="BH167" s="954" t="str">
        <f ca="1">IFERROR(OFFSET(A1_集計2024,$A167,BH$1),"")</f>
        <v/>
      </c>
      <c r="BI167" s="954" t="str">
        <f ca="1">IFERROR(OFFSET(A1_集計2025,$A167,BI$1),"")</f>
        <v/>
      </c>
      <c r="BJ167" s="954" t="str">
        <f ca="1">IFERROR(OFFSET(A1_集計2026,$A167,BJ$1),"")</f>
        <v/>
      </c>
      <c r="BK167" s="954" t="str">
        <f ca="1">IFERROR(OFFSET(A1_集計2027,$A167,BK$1),"")</f>
        <v/>
      </c>
      <c r="BL167" s="954" t="str">
        <f ca="1">IFERROR(OFFSET(A1_集計2024,$A167,BL$1),"")</f>
        <v/>
      </c>
      <c r="BM167" s="954" t="str">
        <f ca="1">IFERROR(OFFSET(A1_集計2025,$A167,BM$1),"")</f>
        <v/>
      </c>
      <c r="BN167" s="954" t="str">
        <f ca="1">IFERROR(OFFSET(A1_集計2026,$A167,BN$1),"")</f>
        <v/>
      </c>
      <c r="BO167" s="954" t="str">
        <f ca="1">IFERROR(OFFSET(A1_集計2027,$A167,BO$1),"")</f>
        <v/>
      </c>
      <c r="BP167" s="1017"/>
    </row>
    <row r="168" spans="1:68" s="1018" customFormat="1" ht="20.100000000000001" hidden="1" customHeight="1" outlineLevel="1">
      <c r="A168" s="1011">
        <v>12</v>
      </c>
      <c r="B168" s="1870"/>
      <c r="C168" s="1872"/>
      <c r="D168" s="1012" t="s">
        <v>4424</v>
      </c>
      <c r="E168" s="1013"/>
      <c r="F168" s="1014"/>
      <c r="G168" s="1015" t="s">
        <v>4685</v>
      </c>
      <c r="H168" s="1016"/>
      <c r="I168" s="1016"/>
      <c r="J168" s="1016"/>
      <c r="K168" s="1016"/>
      <c r="L168" s="954">
        <f ca="1">SUM(SUMIFS(OFFSET(A1_集計2024,$A168,9,1,200),OFFSET(貼付け_2024実績,4,9,1,200),{"横浜*","川崎*","県域*","エネルギー管理指定工場等*"}))</f>
        <v>0</v>
      </c>
      <c r="M168" s="954">
        <f ca="1">SUM(SUMIFS(OFFSET(A1_集計2025,$A168,9,1,200),OFFSET(貼付け_2025実績,4,9,1,200),{"横浜*","川崎*","県域*","エネルギー管理指定工場等*"}))</f>
        <v>0</v>
      </c>
      <c r="N168" s="954">
        <f ca="1">SUM(SUMIFS(OFFSET(A1_集計2026,$A168,9,1,200),OFFSET(貼付け_2026実績,4,9,1,200),{"横浜*","川崎*","県域*","エネルギー管理指定工場等*"}))</f>
        <v>0</v>
      </c>
      <c r="O168" s="954">
        <f ca="1">SUM(SUMIFS(OFFSET(A1_集計2027,$A168,9,1,200),OFFSET(貼付け_2027実績,4,9,1,200),{"横浜*","川崎*","県域*","エネルギー管理指定工場等*"}))</f>
        <v>0</v>
      </c>
      <c r="P168" s="954">
        <f ca="1">SUM(SUMIFS(OFFSET(A1_集計2024,$A168,9,1,200),OFFSET(貼付け_2024実績,4,9,1,200),{"横浜*","川崎*"}))</f>
        <v>0</v>
      </c>
      <c r="Q168" s="954">
        <f ca="1">SUM(SUMIFS(OFFSET(A1_集計2025,$A168,9,1,200),OFFSET(貼付け_2025実績,4,9,1,200),{"横浜*","川崎*"}))</f>
        <v>0</v>
      </c>
      <c r="R168" s="954">
        <f ca="1">SUM(SUMIFS(OFFSET(A1_集計2026,$A168,9,1,200),OFFSET(貼付け_2026実績,4,9,1,200),{"横浜*","川崎*"}))</f>
        <v>0</v>
      </c>
      <c r="S168" s="954">
        <f ca="1">SUM(SUMIFS(OFFSET(A1_集計2027,$A168,9,1,200),OFFSET(貼付け_2027実績,4,9,1,200),{"横浜*","川崎*"}))</f>
        <v>0</v>
      </c>
      <c r="T168" s="954">
        <f ca="1">SUM(SUMIFS(OFFSET(A1_集計2024,$A168,9,1,200),OFFSET(貼付け_2024実績,4,9,1,200),{"県域*","エネルギー管理指定工場等*"}))</f>
        <v>0</v>
      </c>
      <c r="U168" s="954">
        <f ca="1">SUM(SUMIFS(OFFSET(A1_集計2025,$A168,9,1,200),OFFSET(貼付け_2025実績,4,9,1,200),{"県域*","エネルギー管理指定工場等*"}))</f>
        <v>0</v>
      </c>
      <c r="V168" s="954">
        <f ca="1">SUM(SUMIFS(OFFSET(A1_集計2026,$A168,9,1,200),OFFSET(貼付け_2026実績,4,9,1,200),{"県域*","エネルギー管理指定工場等*"}))</f>
        <v>0</v>
      </c>
      <c r="W168" s="954">
        <f ca="1">SUM(SUMIFS(OFFSET(A1_集計2027,$A168,9,1,200),OFFSET(貼付け_2027実績,4,9,1,200),{"県域*","エネルギー管理指定工場等*"}))</f>
        <v>0</v>
      </c>
      <c r="X168" s="954">
        <f ca="1">SUMIFS(OFFSET(A1_集計2024,$A168,9,1,200),OFFSET(貼付け_2024実績,4,9,1,200),"県域*")</f>
        <v>0</v>
      </c>
      <c r="Y168" s="954">
        <f ca="1">SUMIFS(OFFSET(A1_集計2025,$A168,9,1,200),OFFSET(貼付け_2025実績,4,9,1,200),"県域*")</f>
        <v>0</v>
      </c>
      <c r="Z168" s="954">
        <f ca="1">SUMIFS(OFFSET(A1_集計2026,$A168,9,1,200),OFFSET(貼付け_2026実績,4,9,1,200),"県域*")</f>
        <v>0</v>
      </c>
      <c r="AA168" s="954">
        <f ca="1">SUMIFS(OFFSET(A1_集計2027,$A168,9,1,200),OFFSET(貼付け_2027実績,4,9,1,200),"県域*")</f>
        <v>0</v>
      </c>
      <c r="AB168" s="954" t="str">
        <f ca="1">IFERROR(OFFSET(A1_集計2024,$A168,AB$1),"")</f>
        <v/>
      </c>
      <c r="AC168" s="954" t="str">
        <f ca="1">IFERROR(OFFSET(A1_集計2025,$A168,AC$1),"")</f>
        <v/>
      </c>
      <c r="AD168" s="954" t="str">
        <f ca="1">IFERROR(OFFSET(A1_集計2026,$A168,AD$1),"")</f>
        <v/>
      </c>
      <c r="AE168" s="954" t="str">
        <f ca="1">IFERROR(OFFSET(A1_集計2027,$A168,AE$1),"")</f>
        <v/>
      </c>
      <c r="AF168" s="954" t="str">
        <f ca="1">IFERROR(OFFSET(A1_集計2024,$A168,AF$1),"")</f>
        <v/>
      </c>
      <c r="AG168" s="954" t="str">
        <f ca="1">IFERROR(OFFSET(A1_集計2025,$A168,AG$1),"")</f>
        <v/>
      </c>
      <c r="AH168" s="954" t="str">
        <f ca="1">IFERROR(OFFSET(A1_集計2026,$A168,AH$1),"")</f>
        <v/>
      </c>
      <c r="AI168" s="954" t="str">
        <f ca="1">IFERROR(OFFSET(A1_集計2027,$A168,AI$1),"")</f>
        <v/>
      </c>
      <c r="AJ168" s="954" t="str">
        <f ca="1">IFERROR(OFFSET(A1_集計2024,$A168,AJ$1),"")</f>
        <v/>
      </c>
      <c r="AK168" s="954" t="str">
        <f ca="1">IFERROR(OFFSET(A1_集計2025,$A168,AK$1),"")</f>
        <v/>
      </c>
      <c r="AL168" s="954" t="str">
        <f ca="1">IFERROR(OFFSET(A1_集計2026,$A168,AL$1),"")</f>
        <v/>
      </c>
      <c r="AM168" s="954" t="str">
        <f ca="1">IFERROR(OFFSET(A1_集計2027,$A168,AM$1),"")</f>
        <v/>
      </c>
      <c r="AN168" s="954" t="str">
        <f ca="1">IFERROR(OFFSET(A1_集計2024,$A168,AN$1),"")</f>
        <v/>
      </c>
      <c r="AO168" s="954" t="str">
        <f ca="1">IFERROR(OFFSET(A1_集計2025,$A168,AO$1),"")</f>
        <v/>
      </c>
      <c r="AP168" s="954" t="str">
        <f ca="1">IFERROR(OFFSET(A1_集計2026,$A168,AP$1),"")</f>
        <v/>
      </c>
      <c r="AQ168" s="954" t="str">
        <f ca="1">IFERROR(OFFSET(A1_集計2027,$A168,AQ$1),"")</f>
        <v/>
      </c>
      <c r="AR168" s="954" t="str">
        <f ca="1">IFERROR(OFFSET(A1_集計2024,$A168,AR$1),"")</f>
        <v/>
      </c>
      <c r="AS168" s="954" t="str">
        <f ca="1">IFERROR(OFFSET(A1_集計2025,$A168,AS$1),"")</f>
        <v/>
      </c>
      <c r="AT168" s="954" t="str">
        <f ca="1">IFERROR(OFFSET(A1_集計2026,$A168,AT$1),"")</f>
        <v/>
      </c>
      <c r="AU168" s="954" t="str">
        <f ca="1">IFERROR(OFFSET(A1_集計2027,$A168,AU$1),"")</f>
        <v/>
      </c>
      <c r="AV168" s="954" t="str">
        <f ca="1">IFERROR(OFFSET(A1_集計2024,$A168,AV$1),"")</f>
        <v/>
      </c>
      <c r="AW168" s="954" t="str">
        <f ca="1">IFERROR(OFFSET(A1_集計2025,$A168,AW$1),"")</f>
        <v/>
      </c>
      <c r="AX168" s="954" t="str">
        <f ca="1">IFERROR(OFFSET(A1_集計2026,$A168,AX$1),"")</f>
        <v/>
      </c>
      <c r="AY168" s="954" t="str">
        <f ca="1">IFERROR(OFFSET(A1_集計2027,$A168,AY$1),"")</f>
        <v/>
      </c>
      <c r="AZ168" s="954" t="str">
        <f ca="1">IFERROR(OFFSET(A1_集計2024,$A168,AZ$1),"")</f>
        <v/>
      </c>
      <c r="BA168" s="954" t="str">
        <f ca="1">IFERROR(OFFSET(A1_集計2025,$A168,BA$1),"")</f>
        <v/>
      </c>
      <c r="BB168" s="954" t="str">
        <f ca="1">IFERROR(OFFSET(A1_集計2026,$A168,BB$1),"")</f>
        <v/>
      </c>
      <c r="BC168" s="954" t="str">
        <f ca="1">IFERROR(OFFSET(A1_集計2027,$A168,BC$1),"")</f>
        <v/>
      </c>
      <c r="BD168" s="954" t="str">
        <f ca="1">IFERROR(OFFSET(A1_集計2024,$A168,BD$1),"")</f>
        <v/>
      </c>
      <c r="BE168" s="954" t="str">
        <f ca="1">IFERROR(OFFSET(A1_集計2025,$A168,BE$1),"")</f>
        <v/>
      </c>
      <c r="BF168" s="954" t="str">
        <f ca="1">IFERROR(OFFSET(A1_集計2026,$A168,BF$1),"")</f>
        <v/>
      </c>
      <c r="BG168" s="954" t="str">
        <f ca="1">IFERROR(OFFSET(A1_集計2027,$A168,BG$1),"")</f>
        <v/>
      </c>
      <c r="BH168" s="954" t="str">
        <f ca="1">IFERROR(OFFSET(A1_集計2024,$A168,BH$1),"")</f>
        <v/>
      </c>
      <c r="BI168" s="954" t="str">
        <f ca="1">IFERROR(OFFSET(A1_集計2025,$A168,BI$1),"")</f>
        <v/>
      </c>
      <c r="BJ168" s="954" t="str">
        <f ca="1">IFERROR(OFFSET(A1_集計2026,$A168,BJ$1),"")</f>
        <v/>
      </c>
      <c r="BK168" s="954" t="str">
        <f ca="1">IFERROR(OFFSET(A1_集計2027,$A168,BK$1),"")</f>
        <v/>
      </c>
      <c r="BL168" s="954" t="str">
        <f ca="1">IFERROR(OFFSET(A1_集計2024,$A168,BL$1),"")</f>
        <v/>
      </c>
      <c r="BM168" s="954" t="str">
        <f ca="1">IFERROR(OFFSET(A1_集計2025,$A168,BM$1),"")</f>
        <v/>
      </c>
      <c r="BN168" s="954" t="str">
        <f ca="1">IFERROR(OFFSET(A1_集計2026,$A168,BN$1),"")</f>
        <v/>
      </c>
      <c r="BO168" s="954" t="str">
        <f ca="1">IFERROR(OFFSET(A1_集計2027,$A168,BO$1),"")</f>
        <v/>
      </c>
      <c r="BP168" s="1017"/>
    </row>
    <row r="169" spans="1:68" s="1018" customFormat="1" ht="20.100000000000001" hidden="1" customHeight="1" outlineLevel="1">
      <c r="A169" s="1011">
        <v>14</v>
      </c>
      <c r="B169" s="1870"/>
      <c r="C169" s="1872"/>
      <c r="D169" s="1012" t="s">
        <v>4425</v>
      </c>
      <c r="E169" s="1013"/>
      <c r="F169" s="1014"/>
      <c r="G169" s="1015" t="s">
        <v>4685</v>
      </c>
      <c r="H169" s="1016"/>
      <c r="I169" s="1016"/>
      <c r="J169" s="1016"/>
      <c r="K169" s="1016"/>
      <c r="L169" s="954">
        <f ca="1">SUM(SUMIFS(OFFSET(A1_集計2024,$A169,9,1,200),OFFSET(貼付け_2024実績,4,9,1,200),{"横浜*","川崎*","県域*","エネルギー管理指定工場等*"}))</f>
        <v>0</v>
      </c>
      <c r="M169" s="954">
        <f ca="1">SUM(SUMIFS(OFFSET(A1_集計2025,$A169,9,1,200),OFFSET(貼付け_2025実績,4,9,1,200),{"横浜*","川崎*","県域*","エネルギー管理指定工場等*"}))</f>
        <v>0</v>
      </c>
      <c r="N169" s="954">
        <f ca="1">SUM(SUMIFS(OFFSET(A1_集計2026,$A169,9,1,200),OFFSET(貼付け_2026実績,4,9,1,200),{"横浜*","川崎*","県域*","エネルギー管理指定工場等*"}))</f>
        <v>0</v>
      </c>
      <c r="O169" s="954">
        <f ca="1">SUM(SUMIFS(OFFSET(A1_集計2027,$A169,9,1,200),OFFSET(貼付け_2027実績,4,9,1,200),{"横浜*","川崎*","県域*","エネルギー管理指定工場等*"}))</f>
        <v>0</v>
      </c>
      <c r="P169" s="954">
        <f ca="1">SUM(SUMIFS(OFFSET(A1_集計2024,$A169,9,1,200),OFFSET(貼付け_2024実績,4,9,1,200),{"横浜*","川崎*"}))</f>
        <v>0</v>
      </c>
      <c r="Q169" s="954">
        <f ca="1">SUM(SUMIFS(OFFSET(A1_集計2025,$A169,9,1,200),OFFSET(貼付け_2025実績,4,9,1,200),{"横浜*","川崎*"}))</f>
        <v>0</v>
      </c>
      <c r="R169" s="954">
        <f ca="1">SUM(SUMIFS(OFFSET(A1_集計2026,$A169,9,1,200),OFFSET(貼付け_2026実績,4,9,1,200),{"横浜*","川崎*"}))</f>
        <v>0</v>
      </c>
      <c r="S169" s="954">
        <f ca="1">SUM(SUMIFS(OFFSET(A1_集計2027,$A169,9,1,200),OFFSET(貼付け_2027実績,4,9,1,200),{"横浜*","川崎*"}))</f>
        <v>0</v>
      </c>
      <c r="T169" s="954">
        <f ca="1">SUM(SUMIFS(OFFSET(A1_集計2024,$A169,9,1,200),OFFSET(貼付け_2024実績,4,9,1,200),{"県域*","エネルギー管理指定工場等*"}))</f>
        <v>0</v>
      </c>
      <c r="U169" s="954">
        <f ca="1">SUM(SUMIFS(OFFSET(A1_集計2025,$A169,9,1,200),OFFSET(貼付け_2025実績,4,9,1,200),{"県域*","エネルギー管理指定工場等*"}))</f>
        <v>0</v>
      </c>
      <c r="V169" s="954">
        <f ca="1">SUM(SUMIFS(OFFSET(A1_集計2026,$A169,9,1,200),OFFSET(貼付け_2026実績,4,9,1,200),{"県域*","エネルギー管理指定工場等*"}))</f>
        <v>0</v>
      </c>
      <c r="W169" s="954">
        <f ca="1">SUM(SUMIFS(OFFSET(A1_集計2027,$A169,9,1,200),OFFSET(貼付け_2027実績,4,9,1,200),{"県域*","エネルギー管理指定工場等*"}))</f>
        <v>0</v>
      </c>
      <c r="X169" s="954">
        <f ca="1">SUMIFS(OFFSET(A1_集計2024,$A169,9,1,200),OFFSET(貼付け_2024実績,4,9,1,200),"県域*")</f>
        <v>0</v>
      </c>
      <c r="Y169" s="954">
        <f ca="1">SUMIFS(OFFSET(A1_集計2025,$A169,9,1,200),OFFSET(貼付け_2025実績,4,9,1,200),"県域*")</f>
        <v>0</v>
      </c>
      <c r="Z169" s="954">
        <f ca="1">SUMIFS(OFFSET(A1_集計2026,$A169,9,1,200),OFFSET(貼付け_2026実績,4,9,1,200),"県域*")</f>
        <v>0</v>
      </c>
      <c r="AA169" s="954">
        <f ca="1">SUMIFS(OFFSET(A1_集計2027,$A169,9,1,200),OFFSET(貼付け_2027実績,4,9,1,200),"県域*")</f>
        <v>0</v>
      </c>
      <c r="AB169" s="954" t="str">
        <f ca="1">IFERROR(OFFSET(A1_集計2024,$A169,AB$1),"")</f>
        <v/>
      </c>
      <c r="AC169" s="954" t="str">
        <f ca="1">IFERROR(OFFSET(A1_集計2025,$A169,AC$1),"")</f>
        <v/>
      </c>
      <c r="AD169" s="954" t="str">
        <f ca="1">IFERROR(OFFSET(A1_集計2026,$A169,AD$1),"")</f>
        <v/>
      </c>
      <c r="AE169" s="954" t="str">
        <f ca="1">IFERROR(OFFSET(A1_集計2027,$A169,AE$1),"")</f>
        <v/>
      </c>
      <c r="AF169" s="954" t="str">
        <f ca="1">IFERROR(OFFSET(A1_集計2024,$A169,AF$1),"")</f>
        <v/>
      </c>
      <c r="AG169" s="954" t="str">
        <f ca="1">IFERROR(OFFSET(A1_集計2025,$A169,AG$1),"")</f>
        <v/>
      </c>
      <c r="AH169" s="954" t="str">
        <f ca="1">IFERROR(OFFSET(A1_集計2026,$A169,AH$1),"")</f>
        <v/>
      </c>
      <c r="AI169" s="954" t="str">
        <f ca="1">IFERROR(OFFSET(A1_集計2027,$A169,AI$1),"")</f>
        <v/>
      </c>
      <c r="AJ169" s="954" t="str">
        <f ca="1">IFERROR(OFFSET(A1_集計2024,$A169,AJ$1),"")</f>
        <v/>
      </c>
      <c r="AK169" s="954" t="str">
        <f ca="1">IFERROR(OFFSET(A1_集計2025,$A169,AK$1),"")</f>
        <v/>
      </c>
      <c r="AL169" s="954" t="str">
        <f ca="1">IFERROR(OFFSET(A1_集計2026,$A169,AL$1),"")</f>
        <v/>
      </c>
      <c r="AM169" s="954" t="str">
        <f ca="1">IFERROR(OFFSET(A1_集計2027,$A169,AM$1),"")</f>
        <v/>
      </c>
      <c r="AN169" s="954" t="str">
        <f ca="1">IFERROR(OFFSET(A1_集計2024,$A169,AN$1),"")</f>
        <v/>
      </c>
      <c r="AO169" s="954" t="str">
        <f ca="1">IFERROR(OFFSET(A1_集計2025,$A169,AO$1),"")</f>
        <v/>
      </c>
      <c r="AP169" s="954" t="str">
        <f ca="1">IFERROR(OFFSET(A1_集計2026,$A169,AP$1),"")</f>
        <v/>
      </c>
      <c r="AQ169" s="954" t="str">
        <f ca="1">IFERROR(OFFSET(A1_集計2027,$A169,AQ$1),"")</f>
        <v/>
      </c>
      <c r="AR169" s="954" t="str">
        <f ca="1">IFERROR(OFFSET(A1_集計2024,$A169,AR$1),"")</f>
        <v/>
      </c>
      <c r="AS169" s="954" t="str">
        <f ca="1">IFERROR(OFFSET(A1_集計2025,$A169,AS$1),"")</f>
        <v/>
      </c>
      <c r="AT169" s="954" t="str">
        <f ca="1">IFERROR(OFFSET(A1_集計2026,$A169,AT$1),"")</f>
        <v/>
      </c>
      <c r="AU169" s="954" t="str">
        <f ca="1">IFERROR(OFFSET(A1_集計2027,$A169,AU$1),"")</f>
        <v/>
      </c>
      <c r="AV169" s="954" t="str">
        <f ca="1">IFERROR(OFFSET(A1_集計2024,$A169,AV$1),"")</f>
        <v/>
      </c>
      <c r="AW169" s="954" t="str">
        <f ca="1">IFERROR(OFFSET(A1_集計2025,$A169,AW$1),"")</f>
        <v/>
      </c>
      <c r="AX169" s="954" t="str">
        <f ca="1">IFERROR(OFFSET(A1_集計2026,$A169,AX$1),"")</f>
        <v/>
      </c>
      <c r="AY169" s="954" t="str">
        <f ca="1">IFERROR(OFFSET(A1_集計2027,$A169,AY$1),"")</f>
        <v/>
      </c>
      <c r="AZ169" s="954" t="str">
        <f ca="1">IFERROR(OFFSET(A1_集計2024,$A169,AZ$1),"")</f>
        <v/>
      </c>
      <c r="BA169" s="954" t="str">
        <f ca="1">IFERROR(OFFSET(A1_集計2025,$A169,BA$1),"")</f>
        <v/>
      </c>
      <c r="BB169" s="954" t="str">
        <f ca="1">IFERROR(OFFSET(A1_集計2026,$A169,BB$1),"")</f>
        <v/>
      </c>
      <c r="BC169" s="954" t="str">
        <f ca="1">IFERROR(OFFSET(A1_集計2027,$A169,BC$1),"")</f>
        <v/>
      </c>
      <c r="BD169" s="954" t="str">
        <f ca="1">IFERROR(OFFSET(A1_集計2024,$A169,BD$1),"")</f>
        <v/>
      </c>
      <c r="BE169" s="954" t="str">
        <f ca="1">IFERROR(OFFSET(A1_集計2025,$A169,BE$1),"")</f>
        <v/>
      </c>
      <c r="BF169" s="954" t="str">
        <f ca="1">IFERROR(OFFSET(A1_集計2026,$A169,BF$1),"")</f>
        <v/>
      </c>
      <c r="BG169" s="954" t="str">
        <f ca="1">IFERROR(OFFSET(A1_集計2027,$A169,BG$1),"")</f>
        <v/>
      </c>
      <c r="BH169" s="954" t="str">
        <f ca="1">IFERROR(OFFSET(A1_集計2024,$A169,BH$1),"")</f>
        <v/>
      </c>
      <c r="BI169" s="954" t="str">
        <f ca="1">IFERROR(OFFSET(A1_集計2025,$A169,BI$1),"")</f>
        <v/>
      </c>
      <c r="BJ169" s="954" t="str">
        <f ca="1">IFERROR(OFFSET(A1_集計2026,$A169,BJ$1),"")</f>
        <v/>
      </c>
      <c r="BK169" s="954" t="str">
        <f ca="1">IFERROR(OFFSET(A1_集計2027,$A169,BK$1),"")</f>
        <v/>
      </c>
      <c r="BL169" s="954" t="str">
        <f ca="1">IFERROR(OFFSET(A1_集計2024,$A169,BL$1),"")</f>
        <v/>
      </c>
      <c r="BM169" s="954" t="str">
        <f ca="1">IFERROR(OFFSET(A1_集計2025,$A169,BM$1),"")</f>
        <v/>
      </c>
      <c r="BN169" s="954" t="str">
        <f ca="1">IFERROR(OFFSET(A1_集計2026,$A169,BN$1),"")</f>
        <v/>
      </c>
      <c r="BO169" s="954" t="str">
        <f ca="1">IFERROR(OFFSET(A1_集計2027,$A169,BO$1),"")</f>
        <v/>
      </c>
      <c r="BP169" s="1017"/>
    </row>
    <row r="170" spans="1:68" ht="20.100000000000001" hidden="1" customHeight="1" outlineLevel="1">
      <c r="A170" s="952">
        <v>64</v>
      </c>
      <c r="B170" s="1870"/>
      <c r="C170" s="1872"/>
      <c r="D170" s="851" t="s">
        <v>4426</v>
      </c>
      <c r="E170" s="831" t="str">
        <f ca="1">E60</f>
        <v/>
      </c>
      <c r="F170" s="833"/>
      <c r="G170" s="891" t="s">
        <v>4685</v>
      </c>
      <c r="H170" s="953">
        <f ca="1">IFERROR(OFFSET(貼付け_2024実績,$A170,6),"")</f>
        <v>0</v>
      </c>
      <c r="I170" s="953">
        <f ca="1">IFERROR(OFFSET(貼付け_2025実績,$A170,6),"")</f>
        <v>0</v>
      </c>
      <c r="J170" s="953">
        <f ca="1">IFERROR(OFFSET(貼付け_2026実績,$A170,6),"")</f>
        <v>0</v>
      </c>
      <c r="K170" s="953">
        <f ca="1">IFERROR(OFFSET(貼付け_2027実績,$A170,6),"")</f>
        <v>0</v>
      </c>
      <c r="L170" s="954">
        <f ca="1">IFERROR($H170*参考2_エネ使用量経年!L61,"")</f>
        <v>0</v>
      </c>
      <c r="M170" s="954">
        <f ca="1">IFERROR($I170*参考2_エネ使用量経年!M61,"")</f>
        <v>0</v>
      </c>
      <c r="N170" s="954">
        <f ca="1">IFERROR($J170*参考2_エネ使用量経年!N61,"")</f>
        <v>0</v>
      </c>
      <c r="O170" s="954">
        <f ca="1">IFERROR($K170*参考2_エネ使用量経年!O61,"")</f>
        <v>0</v>
      </c>
      <c r="P170" s="954">
        <f ca="1">IFERROR($H170*参考2_エネ使用量経年!P61,"")</f>
        <v>0</v>
      </c>
      <c r="Q170" s="954">
        <f ca="1">IFERROR($I170*参考2_エネ使用量経年!Q61,"")</f>
        <v>0</v>
      </c>
      <c r="R170" s="954">
        <f ca="1">IFERROR($J170*参考2_エネ使用量経年!R61,"")</f>
        <v>0</v>
      </c>
      <c r="S170" s="954">
        <f ca="1">IFERROR($K170*参考2_エネ使用量経年!S61,"")</f>
        <v>0</v>
      </c>
      <c r="T170" s="954">
        <f ca="1">IFERROR($H170*参考2_エネ使用量経年!T61,"")</f>
        <v>0</v>
      </c>
      <c r="U170" s="954">
        <f ca="1">IFERROR($I170*参考2_エネ使用量経年!U61,"")</f>
        <v>0</v>
      </c>
      <c r="V170" s="954">
        <f ca="1">IFERROR($J170*参考2_エネ使用量経年!V61,"")</f>
        <v>0</v>
      </c>
      <c r="W170" s="954">
        <f ca="1">IFERROR($K170*参考2_エネ使用量経年!W61,"")</f>
        <v>0</v>
      </c>
      <c r="X170" s="954">
        <f ca="1">IFERROR($H170*参考2_エネ使用量経年!X61,"")</f>
        <v>0</v>
      </c>
      <c r="Y170" s="954">
        <f ca="1">IFERROR($I170*参考2_エネ使用量経年!Y61,"")</f>
        <v>0</v>
      </c>
      <c r="Z170" s="954">
        <f ca="1">IFERROR($J170*参考2_エネ使用量経年!Z61,"")</f>
        <v>0</v>
      </c>
      <c r="AA170" s="954">
        <f ca="1">IFERROR($K170*参考2_エネ使用量経年!AA61,"")</f>
        <v>0</v>
      </c>
      <c r="AB170" s="954" t="str">
        <f ca="1">IFERROR($H170*参考2_エネ使用量経年!AB61,"")</f>
        <v/>
      </c>
      <c r="AC170" s="954" t="str">
        <f ca="1">IFERROR($I170*参考2_エネ使用量経年!AC61,"")</f>
        <v/>
      </c>
      <c r="AD170" s="954" t="str">
        <f ca="1">IFERROR($J170*参考2_エネ使用量経年!AD61,"")</f>
        <v/>
      </c>
      <c r="AE170" s="954" t="str">
        <f ca="1">IFERROR($K170*参考2_エネ使用量経年!AE61,"")</f>
        <v/>
      </c>
      <c r="AF170" s="954" t="str">
        <f ca="1">IFERROR($H170*参考2_エネ使用量経年!AF61,"")</f>
        <v/>
      </c>
      <c r="AG170" s="954" t="str">
        <f ca="1">IFERROR($I170*参考2_エネ使用量経年!AG61,"")</f>
        <v/>
      </c>
      <c r="AH170" s="954" t="str">
        <f ca="1">IFERROR($J170*参考2_エネ使用量経年!AH61,"")</f>
        <v/>
      </c>
      <c r="AI170" s="954" t="str">
        <f ca="1">IFERROR($K170*参考2_エネ使用量経年!AI61,"")</f>
        <v/>
      </c>
      <c r="AJ170" s="954" t="str">
        <f ca="1">IFERROR($H170*参考2_エネ使用量経年!AJ61,"")</f>
        <v/>
      </c>
      <c r="AK170" s="954" t="str">
        <f ca="1">IFERROR($I170*参考2_エネ使用量経年!AK61,"")</f>
        <v/>
      </c>
      <c r="AL170" s="954" t="str">
        <f ca="1">IFERROR($J170*参考2_エネ使用量経年!AL61,"")</f>
        <v/>
      </c>
      <c r="AM170" s="954" t="str">
        <f ca="1">IFERROR($K170*参考2_エネ使用量経年!AM61,"")</f>
        <v/>
      </c>
      <c r="AN170" s="954" t="str">
        <f ca="1">IFERROR($H170*参考2_エネ使用量経年!AN61,"")</f>
        <v/>
      </c>
      <c r="AO170" s="954" t="str">
        <f ca="1">IFERROR($I170*参考2_エネ使用量経年!AO61,"")</f>
        <v/>
      </c>
      <c r="AP170" s="954" t="str">
        <f ca="1">IFERROR($J170*参考2_エネ使用量経年!AP61,"")</f>
        <v/>
      </c>
      <c r="AQ170" s="954" t="str">
        <f ca="1">IFERROR($K170*参考2_エネ使用量経年!AQ61,"")</f>
        <v/>
      </c>
      <c r="AR170" s="954" t="str">
        <f ca="1">IFERROR($H170*参考2_エネ使用量経年!AR61,"")</f>
        <v/>
      </c>
      <c r="AS170" s="954" t="str">
        <f ca="1">IFERROR($I170*参考2_エネ使用量経年!AS61,"")</f>
        <v/>
      </c>
      <c r="AT170" s="954" t="str">
        <f ca="1">IFERROR($J170*参考2_エネ使用量経年!AT61,"")</f>
        <v/>
      </c>
      <c r="AU170" s="954" t="str">
        <f ca="1">IFERROR($K170*参考2_エネ使用量経年!AU61,"")</f>
        <v/>
      </c>
      <c r="AV170" s="954" t="str">
        <f ca="1">IFERROR($H170*参考2_エネ使用量経年!AV61,"")</f>
        <v/>
      </c>
      <c r="AW170" s="954" t="str">
        <f ca="1">IFERROR($I170*参考2_エネ使用量経年!AW61,"")</f>
        <v/>
      </c>
      <c r="AX170" s="954" t="str">
        <f ca="1">IFERROR($J170*参考2_エネ使用量経年!AX61,"")</f>
        <v/>
      </c>
      <c r="AY170" s="954" t="str">
        <f ca="1">IFERROR($K170*参考2_エネ使用量経年!AY61,"")</f>
        <v/>
      </c>
      <c r="AZ170" s="954" t="str">
        <f ca="1">IFERROR($H170*参考2_エネ使用量経年!AZ61,"")</f>
        <v/>
      </c>
      <c r="BA170" s="954" t="str">
        <f ca="1">IFERROR($I170*参考2_エネ使用量経年!BA61,"")</f>
        <v/>
      </c>
      <c r="BB170" s="954" t="str">
        <f ca="1">IFERROR($J170*参考2_エネ使用量経年!BB61,"")</f>
        <v/>
      </c>
      <c r="BC170" s="954" t="str">
        <f ca="1">IFERROR($K170*参考2_エネ使用量経年!BC61,"")</f>
        <v/>
      </c>
      <c r="BD170" s="954" t="str">
        <f ca="1">IFERROR($H170*参考2_エネ使用量経年!BD61,"")</f>
        <v/>
      </c>
      <c r="BE170" s="954" t="str">
        <f ca="1">IFERROR($I170*参考2_エネ使用量経年!BE61,"")</f>
        <v/>
      </c>
      <c r="BF170" s="954" t="str">
        <f ca="1">IFERROR($J170*参考2_エネ使用量経年!BF61,"")</f>
        <v/>
      </c>
      <c r="BG170" s="954" t="str">
        <f ca="1">IFERROR($K170*参考2_エネ使用量経年!BG61,"")</f>
        <v/>
      </c>
      <c r="BH170" s="954" t="str">
        <f ca="1">IFERROR($H170*参考2_エネ使用量経年!BH61,"")</f>
        <v/>
      </c>
      <c r="BI170" s="954" t="str">
        <f ca="1">IFERROR($I170*参考2_エネ使用量経年!BI61,"")</f>
        <v/>
      </c>
      <c r="BJ170" s="954" t="str">
        <f ca="1">IFERROR($J170*参考2_エネ使用量経年!BJ61,"")</f>
        <v/>
      </c>
      <c r="BK170" s="954" t="str">
        <f ca="1">IFERROR($K170*参考2_エネ使用量経年!BK61,"")</f>
        <v/>
      </c>
      <c r="BL170" s="954" t="str">
        <f ca="1">IFERROR($H170*参考2_エネ使用量経年!BL61,"")</f>
        <v/>
      </c>
      <c r="BM170" s="954" t="str">
        <f ca="1">IFERROR($I170*参考2_エネ使用量経年!BM61,"")</f>
        <v/>
      </c>
      <c r="BN170" s="954" t="str">
        <f ca="1">IFERROR($J170*参考2_エネ使用量経年!BN61,"")</f>
        <v/>
      </c>
      <c r="BO170" s="954" t="str">
        <f ca="1">IFERROR($K170*参考2_エネ使用量経年!BO61,"")</f>
        <v/>
      </c>
      <c r="BP170" s="841"/>
    </row>
    <row r="171" spans="1:68" ht="20.100000000000001" hidden="1" customHeight="1" outlineLevel="1">
      <c r="A171" s="952">
        <v>66</v>
      </c>
      <c r="B171" s="1870"/>
      <c r="C171" s="1872" t="s">
        <v>4427</v>
      </c>
      <c r="D171" s="957" t="s">
        <v>4428</v>
      </c>
      <c r="E171" s="958"/>
      <c r="F171" s="849"/>
      <c r="G171" s="891" t="s">
        <v>4685</v>
      </c>
      <c r="H171" s="959"/>
      <c r="I171" s="959"/>
      <c r="J171" s="959"/>
      <c r="K171" s="959"/>
      <c r="L171" s="959"/>
      <c r="M171" s="959"/>
      <c r="N171" s="959"/>
      <c r="O171" s="959"/>
      <c r="P171" s="959"/>
      <c r="Q171" s="959"/>
      <c r="R171" s="959"/>
      <c r="S171" s="959"/>
      <c r="T171" s="959"/>
      <c r="U171" s="959"/>
      <c r="V171" s="959"/>
      <c r="W171" s="959"/>
      <c r="X171" s="959"/>
      <c r="Y171" s="959"/>
      <c r="Z171" s="959"/>
      <c r="AA171" s="959"/>
      <c r="AB171" s="959"/>
      <c r="AC171" s="959"/>
      <c r="AD171" s="959"/>
      <c r="AE171" s="959"/>
      <c r="AF171" s="959"/>
      <c r="AG171" s="959"/>
      <c r="AH171" s="959"/>
      <c r="AI171" s="959"/>
      <c r="AJ171" s="959"/>
      <c r="AK171" s="959"/>
      <c r="AL171" s="959"/>
      <c r="AM171" s="959"/>
      <c r="AN171" s="959"/>
      <c r="AO171" s="959"/>
      <c r="AP171" s="959"/>
      <c r="AQ171" s="959"/>
      <c r="AR171" s="959"/>
      <c r="AS171" s="959"/>
      <c r="AT171" s="959"/>
      <c r="AU171" s="959"/>
      <c r="AV171" s="959"/>
      <c r="AW171" s="959"/>
      <c r="AX171" s="959"/>
      <c r="AY171" s="959"/>
      <c r="AZ171" s="959"/>
      <c r="BA171" s="959"/>
      <c r="BB171" s="959"/>
      <c r="BC171" s="959"/>
      <c r="BD171" s="959"/>
      <c r="BE171" s="959"/>
      <c r="BF171" s="959"/>
      <c r="BG171" s="959"/>
      <c r="BH171" s="959"/>
      <c r="BI171" s="959"/>
      <c r="BJ171" s="959"/>
      <c r="BK171" s="959"/>
      <c r="BL171" s="959"/>
      <c r="BM171" s="959"/>
      <c r="BN171" s="959"/>
      <c r="BO171" s="959"/>
      <c r="BP171" s="841"/>
    </row>
    <row r="172" spans="1:68" ht="20.100000000000001" hidden="1" customHeight="1" outlineLevel="1">
      <c r="A172" s="952">
        <v>67</v>
      </c>
      <c r="B172" s="1870"/>
      <c r="C172" s="1872"/>
      <c r="D172" s="957" t="s">
        <v>4429</v>
      </c>
      <c r="E172" s="958"/>
      <c r="F172" s="849"/>
      <c r="G172" s="891" t="s">
        <v>4685</v>
      </c>
      <c r="H172" s="959"/>
      <c r="I172" s="959"/>
      <c r="J172" s="959"/>
      <c r="K172" s="959"/>
      <c r="L172" s="959"/>
      <c r="M172" s="959"/>
      <c r="N172" s="959"/>
      <c r="O172" s="959"/>
      <c r="P172" s="959"/>
      <c r="Q172" s="959"/>
      <c r="R172" s="959"/>
      <c r="S172" s="959"/>
      <c r="T172" s="959"/>
      <c r="U172" s="959"/>
      <c r="V172" s="959"/>
      <c r="W172" s="959"/>
      <c r="X172" s="959"/>
      <c r="Y172" s="959"/>
      <c r="Z172" s="959"/>
      <c r="AA172" s="959"/>
      <c r="AB172" s="959"/>
      <c r="AC172" s="959"/>
      <c r="AD172" s="959"/>
      <c r="AE172" s="959"/>
      <c r="AF172" s="959"/>
      <c r="AG172" s="959"/>
      <c r="AH172" s="959"/>
      <c r="AI172" s="959"/>
      <c r="AJ172" s="959"/>
      <c r="AK172" s="959"/>
      <c r="AL172" s="959"/>
      <c r="AM172" s="959"/>
      <c r="AN172" s="959"/>
      <c r="AO172" s="959"/>
      <c r="AP172" s="959"/>
      <c r="AQ172" s="959"/>
      <c r="AR172" s="959"/>
      <c r="AS172" s="959"/>
      <c r="AT172" s="959"/>
      <c r="AU172" s="959"/>
      <c r="AV172" s="959"/>
      <c r="AW172" s="959"/>
      <c r="AX172" s="959"/>
      <c r="AY172" s="959"/>
      <c r="AZ172" s="959"/>
      <c r="BA172" s="959"/>
      <c r="BB172" s="959"/>
      <c r="BC172" s="959"/>
      <c r="BD172" s="959"/>
      <c r="BE172" s="959"/>
      <c r="BF172" s="959"/>
      <c r="BG172" s="959"/>
      <c r="BH172" s="959"/>
      <c r="BI172" s="959"/>
      <c r="BJ172" s="959"/>
      <c r="BK172" s="959"/>
      <c r="BL172" s="959"/>
      <c r="BM172" s="959"/>
      <c r="BN172" s="959"/>
      <c r="BO172" s="959"/>
      <c r="BP172" s="841"/>
    </row>
    <row r="173" spans="1:68" ht="20.100000000000001" hidden="1" customHeight="1" outlineLevel="1">
      <c r="A173" s="952">
        <v>68</v>
      </c>
      <c r="B173" s="1870"/>
      <c r="C173" s="1872"/>
      <c r="D173" s="957" t="s">
        <v>4430</v>
      </c>
      <c r="E173" s="958"/>
      <c r="F173" s="849"/>
      <c r="G173" s="891" t="s">
        <v>4685</v>
      </c>
      <c r="H173" s="959"/>
      <c r="I173" s="959"/>
      <c r="J173" s="959"/>
      <c r="K173" s="959"/>
      <c r="L173" s="959"/>
      <c r="M173" s="959"/>
      <c r="N173" s="959"/>
      <c r="O173" s="959"/>
      <c r="P173" s="959"/>
      <c r="Q173" s="959"/>
      <c r="R173" s="959"/>
      <c r="S173" s="959"/>
      <c r="T173" s="959"/>
      <c r="U173" s="959"/>
      <c r="V173" s="959"/>
      <c r="W173" s="959"/>
      <c r="X173" s="959"/>
      <c r="Y173" s="959"/>
      <c r="Z173" s="959"/>
      <c r="AA173" s="959"/>
      <c r="AB173" s="959"/>
      <c r="AC173" s="959"/>
      <c r="AD173" s="959"/>
      <c r="AE173" s="959"/>
      <c r="AF173" s="959"/>
      <c r="AG173" s="959"/>
      <c r="AH173" s="959"/>
      <c r="AI173" s="959"/>
      <c r="AJ173" s="959"/>
      <c r="AK173" s="959"/>
      <c r="AL173" s="959"/>
      <c r="AM173" s="959"/>
      <c r="AN173" s="959"/>
      <c r="AO173" s="959"/>
      <c r="AP173" s="959"/>
      <c r="AQ173" s="959"/>
      <c r="AR173" s="959"/>
      <c r="AS173" s="959"/>
      <c r="AT173" s="959"/>
      <c r="AU173" s="959"/>
      <c r="AV173" s="959"/>
      <c r="AW173" s="959"/>
      <c r="AX173" s="959"/>
      <c r="AY173" s="959"/>
      <c r="AZ173" s="959"/>
      <c r="BA173" s="959"/>
      <c r="BB173" s="959"/>
      <c r="BC173" s="959"/>
      <c r="BD173" s="959"/>
      <c r="BE173" s="959"/>
      <c r="BF173" s="959"/>
      <c r="BG173" s="959"/>
      <c r="BH173" s="959"/>
      <c r="BI173" s="959"/>
      <c r="BJ173" s="959"/>
      <c r="BK173" s="959"/>
      <c r="BL173" s="959"/>
      <c r="BM173" s="959"/>
      <c r="BN173" s="959"/>
      <c r="BO173" s="959"/>
      <c r="BP173" s="841"/>
    </row>
    <row r="174" spans="1:68" ht="20.100000000000001" hidden="1" customHeight="1" outlineLevel="1">
      <c r="A174" s="952">
        <v>69</v>
      </c>
      <c r="B174" s="1870"/>
      <c r="C174" s="1872"/>
      <c r="D174" s="957" t="s">
        <v>4431</v>
      </c>
      <c r="E174" s="958"/>
      <c r="F174" s="849"/>
      <c r="G174" s="891" t="s">
        <v>4685</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59"/>
      <c r="AL174" s="959"/>
      <c r="AM174" s="959"/>
      <c r="AN174" s="959"/>
      <c r="AO174" s="959"/>
      <c r="AP174" s="959"/>
      <c r="AQ174" s="959"/>
      <c r="AR174" s="959"/>
      <c r="AS174" s="959"/>
      <c r="AT174" s="959"/>
      <c r="AU174" s="959"/>
      <c r="AV174" s="959"/>
      <c r="AW174" s="959"/>
      <c r="AX174" s="959"/>
      <c r="AY174" s="959"/>
      <c r="AZ174" s="959"/>
      <c r="BA174" s="959"/>
      <c r="BB174" s="959"/>
      <c r="BC174" s="959"/>
      <c r="BD174" s="959"/>
      <c r="BE174" s="959"/>
      <c r="BF174" s="959"/>
      <c r="BG174" s="959"/>
      <c r="BH174" s="959"/>
      <c r="BI174" s="959"/>
      <c r="BJ174" s="959"/>
      <c r="BK174" s="959"/>
      <c r="BL174" s="959"/>
      <c r="BM174" s="959"/>
      <c r="BN174" s="959"/>
      <c r="BO174" s="959"/>
      <c r="BP174" s="841"/>
    </row>
    <row r="175" spans="1:68" ht="20.100000000000001" hidden="1" customHeight="1" outlineLevel="1">
      <c r="A175" s="952">
        <v>70</v>
      </c>
      <c r="B175" s="1870"/>
      <c r="C175" s="1872"/>
      <c r="D175" s="853" t="s">
        <v>4432</v>
      </c>
      <c r="E175" s="831" t="str">
        <f ca="1">E65</f>
        <v/>
      </c>
      <c r="F175" s="833"/>
      <c r="G175" s="891" t="s">
        <v>4685</v>
      </c>
      <c r="H175" s="953">
        <f ca="1">IFERROR(OFFSET(貼付け_2024実績,$A175,6),"")</f>
        <v>0</v>
      </c>
      <c r="I175" s="953">
        <f ca="1">IFERROR(OFFSET(貼付け_2025実績,$A175,6),"")</f>
        <v>0</v>
      </c>
      <c r="J175" s="953">
        <f ca="1">IFERROR(OFFSET(貼付け_2026実績,$A175,6),"")</f>
        <v>0</v>
      </c>
      <c r="K175" s="953">
        <f ca="1">IFERROR(OFFSET(貼付け_2027実績,$A175,6),"")</f>
        <v>0</v>
      </c>
      <c r="L175" s="954">
        <f ca="1">IFERROR($H175*参考2_エネ使用量経年!L66,"")</f>
        <v>0</v>
      </c>
      <c r="M175" s="954">
        <f ca="1">IFERROR($I175*参考2_エネ使用量経年!M66,"")</f>
        <v>0</v>
      </c>
      <c r="N175" s="954">
        <f ca="1">IFERROR($J175*参考2_エネ使用量経年!N66,"")</f>
        <v>0</v>
      </c>
      <c r="O175" s="954">
        <f ca="1">IFERROR($K175*参考2_エネ使用量経年!O66,"")</f>
        <v>0</v>
      </c>
      <c r="P175" s="954">
        <f ca="1">IFERROR($H175*参考2_エネ使用量経年!P66,"")</f>
        <v>0</v>
      </c>
      <c r="Q175" s="954">
        <f ca="1">IFERROR($I175*参考2_エネ使用量経年!Q66,"")</f>
        <v>0</v>
      </c>
      <c r="R175" s="954">
        <f ca="1">IFERROR($J175*参考2_エネ使用量経年!R66,"")</f>
        <v>0</v>
      </c>
      <c r="S175" s="954">
        <f ca="1">IFERROR($K175*参考2_エネ使用量経年!S66,"")</f>
        <v>0</v>
      </c>
      <c r="T175" s="954">
        <f ca="1">IFERROR($H175*参考2_エネ使用量経年!T66,"")</f>
        <v>0</v>
      </c>
      <c r="U175" s="954">
        <f ca="1">IFERROR($I175*参考2_エネ使用量経年!U66,"")</f>
        <v>0</v>
      </c>
      <c r="V175" s="954">
        <f ca="1">IFERROR($J175*参考2_エネ使用量経年!V66,"")</f>
        <v>0</v>
      </c>
      <c r="W175" s="954">
        <f ca="1">IFERROR($K175*参考2_エネ使用量経年!W66,"")</f>
        <v>0</v>
      </c>
      <c r="X175" s="954">
        <f ca="1">IFERROR($H175*参考2_エネ使用量経年!X66,"")</f>
        <v>0</v>
      </c>
      <c r="Y175" s="954">
        <f ca="1">IFERROR($I175*参考2_エネ使用量経年!Y66,"")</f>
        <v>0</v>
      </c>
      <c r="Z175" s="954">
        <f ca="1">IFERROR($J175*参考2_エネ使用量経年!Z66,"")</f>
        <v>0</v>
      </c>
      <c r="AA175" s="954">
        <f ca="1">IFERROR($K175*参考2_エネ使用量経年!AA66,"")</f>
        <v>0</v>
      </c>
      <c r="AB175" s="954" t="str">
        <f ca="1">IFERROR($H175*参考2_エネ使用量経年!AB66,"")</f>
        <v/>
      </c>
      <c r="AC175" s="954" t="str">
        <f ca="1">IFERROR($I175*参考2_エネ使用量経年!AC66,"")</f>
        <v/>
      </c>
      <c r="AD175" s="954" t="str">
        <f ca="1">IFERROR($J175*参考2_エネ使用量経年!AD66,"")</f>
        <v/>
      </c>
      <c r="AE175" s="954" t="str">
        <f ca="1">IFERROR($K175*参考2_エネ使用量経年!AE66,"")</f>
        <v/>
      </c>
      <c r="AF175" s="954" t="str">
        <f ca="1">IFERROR($H175*参考2_エネ使用量経年!AF66,"")</f>
        <v/>
      </c>
      <c r="AG175" s="954" t="str">
        <f ca="1">IFERROR($I175*参考2_エネ使用量経年!AG66,"")</f>
        <v/>
      </c>
      <c r="AH175" s="954" t="str">
        <f ca="1">IFERROR($J175*参考2_エネ使用量経年!AH66,"")</f>
        <v/>
      </c>
      <c r="AI175" s="954" t="str">
        <f ca="1">IFERROR($K175*参考2_エネ使用量経年!AI66,"")</f>
        <v/>
      </c>
      <c r="AJ175" s="954" t="str">
        <f ca="1">IFERROR($H175*参考2_エネ使用量経年!AJ66,"")</f>
        <v/>
      </c>
      <c r="AK175" s="954" t="str">
        <f ca="1">IFERROR($I175*参考2_エネ使用量経年!AK66,"")</f>
        <v/>
      </c>
      <c r="AL175" s="954" t="str">
        <f ca="1">IFERROR($J175*参考2_エネ使用量経年!AL66,"")</f>
        <v/>
      </c>
      <c r="AM175" s="954" t="str">
        <f ca="1">IFERROR($K175*参考2_エネ使用量経年!AM66,"")</f>
        <v/>
      </c>
      <c r="AN175" s="954" t="str">
        <f ca="1">IFERROR($H175*参考2_エネ使用量経年!AN66,"")</f>
        <v/>
      </c>
      <c r="AO175" s="954" t="str">
        <f ca="1">IFERROR($I175*参考2_エネ使用量経年!AO66,"")</f>
        <v/>
      </c>
      <c r="AP175" s="954" t="str">
        <f ca="1">IFERROR($J175*参考2_エネ使用量経年!AP66,"")</f>
        <v/>
      </c>
      <c r="AQ175" s="954" t="str">
        <f ca="1">IFERROR($K175*参考2_エネ使用量経年!AQ66,"")</f>
        <v/>
      </c>
      <c r="AR175" s="954" t="str">
        <f ca="1">IFERROR($H175*参考2_エネ使用量経年!AR66,"")</f>
        <v/>
      </c>
      <c r="AS175" s="954" t="str">
        <f ca="1">IFERROR($I175*参考2_エネ使用量経年!AS66,"")</f>
        <v/>
      </c>
      <c r="AT175" s="954" t="str">
        <f ca="1">IFERROR($J175*参考2_エネ使用量経年!AT66,"")</f>
        <v/>
      </c>
      <c r="AU175" s="954" t="str">
        <f ca="1">IFERROR($K175*参考2_エネ使用量経年!AU66,"")</f>
        <v/>
      </c>
      <c r="AV175" s="954" t="str">
        <f ca="1">IFERROR($H175*参考2_エネ使用量経年!AV66,"")</f>
        <v/>
      </c>
      <c r="AW175" s="954" t="str">
        <f ca="1">IFERROR($I175*参考2_エネ使用量経年!AW66,"")</f>
        <v/>
      </c>
      <c r="AX175" s="954" t="str">
        <f ca="1">IFERROR($J175*参考2_エネ使用量経年!AX66,"")</f>
        <v/>
      </c>
      <c r="AY175" s="954" t="str">
        <f ca="1">IFERROR($K175*参考2_エネ使用量経年!AY66,"")</f>
        <v/>
      </c>
      <c r="AZ175" s="954" t="str">
        <f ca="1">IFERROR($H175*参考2_エネ使用量経年!AZ66,"")</f>
        <v/>
      </c>
      <c r="BA175" s="954" t="str">
        <f ca="1">IFERROR($I175*参考2_エネ使用量経年!BA66,"")</f>
        <v/>
      </c>
      <c r="BB175" s="954" t="str">
        <f ca="1">IFERROR($J175*参考2_エネ使用量経年!BB66,"")</f>
        <v/>
      </c>
      <c r="BC175" s="954" t="str">
        <f ca="1">IFERROR($K175*参考2_エネ使用量経年!BC66,"")</f>
        <v/>
      </c>
      <c r="BD175" s="954" t="str">
        <f ca="1">IFERROR($H175*参考2_エネ使用量経年!BD66,"")</f>
        <v/>
      </c>
      <c r="BE175" s="954" t="str">
        <f ca="1">IFERROR($I175*参考2_エネ使用量経年!BE66,"")</f>
        <v/>
      </c>
      <c r="BF175" s="954" t="str">
        <f ca="1">IFERROR($J175*参考2_エネ使用量経年!BF66,"")</f>
        <v/>
      </c>
      <c r="BG175" s="954" t="str">
        <f ca="1">IFERROR($K175*参考2_エネ使用量経年!BG66,"")</f>
        <v/>
      </c>
      <c r="BH175" s="954" t="str">
        <f ca="1">IFERROR($H175*参考2_エネ使用量経年!BH66,"")</f>
        <v/>
      </c>
      <c r="BI175" s="954" t="str">
        <f ca="1">IFERROR($I175*参考2_エネ使用量経年!BI66,"")</f>
        <v/>
      </c>
      <c r="BJ175" s="954" t="str">
        <f ca="1">IFERROR($J175*参考2_エネ使用量経年!BJ66,"")</f>
        <v/>
      </c>
      <c r="BK175" s="954" t="str">
        <f ca="1">IFERROR($K175*参考2_エネ使用量経年!BK66,"")</f>
        <v/>
      </c>
      <c r="BL175" s="954" t="str">
        <f ca="1">IFERROR($H175*参考2_エネ使用量経年!BL66,"")</f>
        <v/>
      </c>
      <c r="BM175" s="954" t="str">
        <f ca="1">IFERROR($I175*参考2_エネ使用量経年!BM66,"")</f>
        <v/>
      </c>
      <c r="BN175" s="954" t="str">
        <f ca="1">IFERROR($J175*参考2_エネ使用量経年!BN66,"")</f>
        <v/>
      </c>
      <c r="BO175" s="954" t="str">
        <f ca="1">IFERROR($K175*参考2_エネ使用量経年!BO66,"")</f>
        <v/>
      </c>
      <c r="BP175" s="841"/>
    </row>
    <row r="176" spans="1:68" ht="20.100000000000001" hidden="1" customHeight="1" outlineLevel="1">
      <c r="A176" s="952">
        <v>71</v>
      </c>
      <c r="B176" s="1870"/>
      <c r="C176" s="1872"/>
      <c r="D176" s="853" t="s">
        <v>4433</v>
      </c>
      <c r="E176" s="831" t="str">
        <f ca="1">E66</f>
        <v/>
      </c>
      <c r="F176" s="833"/>
      <c r="G176" s="891" t="s">
        <v>4685</v>
      </c>
      <c r="H176" s="953">
        <f ca="1">IFERROR(OFFSET(貼付け_2024実績,$A176,6),"")</f>
        <v>0</v>
      </c>
      <c r="I176" s="953">
        <f ca="1">IFERROR(OFFSET(貼付け_2025実績,$A176,6),"")</f>
        <v>0</v>
      </c>
      <c r="J176" s="953">
        <f ca="1">IFERROR(OFFSET(貼付け_2026実績,$A176,6),"")</f>
        <v>0</v>
      </c>
      <c r="K176" s="953">
        <f ca="1">IFERROR(OFFSET(貼付け_2027実績,$A176,6),"")</f>
        <v>0</v>
      </c>
      <c r="L176" s="954">
        <f ca="1">IFERROR($H176*参考2_エネ使用量経年!L67,"")</f>
        <v>0</v>
      </c>
      <c r="M176" s="954">
        <f ca="1">IFERROR($I176*参考2_エネ使用量経年!M67,"")</f>
        <v>0</v>
      </c>
      <c r="N176" s="954">
        <f ca="1">IFERROR($J176*参考2_エネ使用量経年!N67,"")</f>
        <v>0</v>
      </c>
      <c r="O176" s="954">
        <f ca="1">IFERROR($K176*参考2_エネ使用量経年!O67,"")</f>
        <v>0</v>
      </c>
      <c r="P176" s="954">
        <f ca="1">IFERROR($H176*参考2_エネ使用量経年!P67,"")</f>
        <v>0</v>
      </c>
      <c r="Q176" s="954">
        <f ca="1">IFERROR($I176*参考2_エネ使用量経年!Q67,"")</f>
        <v>0</v>
      </c>
      <c r="R176" s="954">
        <f ca="1">IFERROR($J176*参考2_エネ使用量経年!R67,"")</f>
        <v>0</v>
      </c>
      <c r="S176" s="954">
        <f ca="1">IFERROR($K176*参考2_エネ使用量経年!S67,"")</f>
        <v>0</v>
      </c>
      <c r="T176" s="954">
        <f ca="1">IFERROR($H176*参考2_エネ使用量経年!T67,"")</f>
        <v>0</v>
      </c>
      <c r="U176" s="954">
        <f ca="1">IFERROR($I176*参考2_エネ使用量経年!U67,"")</f>
        <v>0</v>
      </c>
      <c r="V176" s="954">
        <f ca="1">IFERROR($J176*参考2_エネ使用量経年!V67,"")</f>
        <v>0</v>
      </c>
      <c r="W176" s="954">
        <f ca="1">IFERROR($K176*参考2_エネ使用量経年!W67,"")</f>
        <v>0</v>
      </c>
      <c r="X176" s="954">
        <f ca="1">IFERROR($H176*参考2_エネ使用量経年!X67,"")</f>
        <v>0</v>
      </c>
      <c r="Y176" s="954">
        <f ca="1">IFERROR($I176*参考2_エネ使用量経年!Y67,"")</f>
        <v>0</v>
      </c>
      <c r="Z176" s="954">
        <f ca="1">IFERROR($J176*参考2_エネ使用量経年!Z67,"")</f>
        <v>0</v>
      </c>
      <c r="AA176" s="954">
        <f ca="1">IFERROR($K176*参考2_エネ使用量経年!AA67,"")</f>
        <v>0</v>
      </c>
      <c r="AB176" s="954" t="str">
        <f ca="1">IFERROR($H176*参考2_エネ使用量経年!AB67,"")</f>
        <v/>
      </c>
      <c r="AC176" s="954" t="str">
        <f ca="1">IFERROR($I176*参考2_エネ使用量経年!AC67,"")</f>
        <v/>
      </c>
      <c r="AD176" s="954" t="str">
        <f ca="1">IFERROR($J176*参考2_エネ使用量経年!AD67,"")</f>
        <v/>
      </c>
      <c r="AE176" s="954" t="str">
        <f ca="1">IFERROR($K176*参考2_エネ使用量経年!AE67,"")</f>
        <v/>
      </c>
      <c r="AF176" s="954" t="str">
        <f ca="1">IFERROR($H176*参考2_エネ使用量経年!AF67,"")</f>
        <v/>
      </c>
      <c r="AG176" s="954" t="str">
        <f ca="1">IFERROR($I176*参考2_エネ使用量経年!AG67,"")</f>
        <v/>
      </c>
      <c r="AH176" s="954" t="str">
        <f ca="1">IFERROR($J176*参考2_エネ使用量経年!AH67,"")</f>
        <v/>
      </c>
      <c r="AI176" s="954" t="str">
        <f ca="1">IFERROR($K176*参考2_エネ使用量経年!AI67,"")</f>
        <v/>
      </c>
      <c r="AJ176" s="954" t="str">
        <f ca="1">IFERROR($H176*参考2_エネ使用量経年!AJ67,"")</f>
        <v/>
      </c>
      <c r="AK176" s="954" t="str">
        <f ca="1">IFERROR($I176*参考2_エネ使用量経年!AK67,"")</f>
        <v/>
      </c>
      <c r="AL176" s="954" t="str">
        <f ca="1">IFERROR($J176*参考2_エネ使用量経年!AL67,"")</f>
        <v/>
      </c>
      <c r="AM176" s="954" t="str">
        <f ca="1">IFERROR($K176*参考2_エネ使用量経年!AM67,"")</f>
        <v/>
      </c>
      <c r="AN176" s="954" t="str">
        <f ca="1">IFERROR($H176*参考2_エネ使用量経年!AN67,"")</f>
        <v/>
      </c>
      <c r="AO176" s="954" t="str">
        <f ca="1">IFERROR($I176*参考2_エネ使用量経年!AO67,"")</f>
        <v/>
      </c>
      <c r="AP176" s="954" t="str">
        <f ca="1">IFERROR($J176*参考2_エネ使用量経年!AP67,"")</f>
        <v/>
      </c>
      <c r="AQ176" s="954" t="str">
        <f ca="1">IFERROR($K176*参考2_エネ使用量経年!AQ67,"")</f>
        <v/>
      </c>
      <c r="AR176" s="954" t="str">
        <f ca="1">IFERROR($H176*参考2_エネ使用量経年!AR67,"")</f>
        <v/>
      </c>
      <c r="AS176" s="954" t="str">
        <f ca="1">IFERROR($I176*参考2_エネ使用量経年!AS67,"")</f>
        <v/>
      </c>
      <c r="AT176" s="954" t="str">
        <f ca="1">IFERROR($J176*参考2_エネ使用量経年!AT67,"")</f>
        <v/>
      </c>
      <c r="AU176" s="954" t="str">
        <f ca="1">IFERROR($K176*参考2_エネ使用量経年!AU67,"")</f>
        <v/>
      </c>
      <c r="AV176" s="954" t="str">
        <f ca="1">IFERROR($H176*参考2_エネ使用量経年!AV67,"")</f>
        <v/>
      </c>
      <c r="AW176" s="954" t="str">
        <f ca="1">IFERROR($I176*参考2_エネ使用量経年!AW67,"")</f>
        <v/>
      </c>
      <c r="AX176" s="954" t="str">
        <f ca="1">IFERROR($J176*参考2_エネ使用量経年!AX67,"")</f>
        <v/>
      </c>
      <c r="AY176" s="954" t="str">
        <f ca="1">IFERROR($K176*参考2_エネ使用量経年!AY67,"")</f>
        <v/>
      </c>
      <c r="AZ176" s="954" t="str">
        <f ca="1">IFERROR($H176*参考2_エネ使用量経年!AZ67,"")</f>
        <v/>
      </c>
      <c r="BA176" s="954" t="str">
        <f ca="1">IFERROR($I176*参考2_エネ使用量経年!BA67,"")</f>
        <v/>
      </c>
      <c r="BB176" s="954" t="str">
        <f ca="1">IFERROR($J176*参考2_エネ使用量経年!BB67,"")</f>
        <v/>
      </c>
      <c r="BC176" s="954" t="str">
        <f ca="1">IFERROR($K176*参考2_エネ使用量経年!BC67,"")</f>
        <v/>
      </c>
      <c r="BD176" s="954" t="str">
        <f ca="1">IFERROR($H176*参考2_エネ使用量経年!BD67,"")</f>
        <v/>
      </c>
      <c r="BE176" s="954" t="str">
        <f ca="1">IFERROR($I176*参考2_エネ使用量経年!BE67,"")</f>
        <v/>
      </c>
      <c r="BF176" s="954" t="str">
        <f ca="1">IFERROR($J176*参考2_エネ使用量経年!BF67,"")</f>
        <v/>
      </c>
      <c r="BG176" s="954" t="str">
        <f ca="1">IFERROR($K176*参考2_エネ使用量経年!BG67,"")</f>
        <v/>
      </c>
      <c r="BH176" s="954" t="str">
        <f ca="1">IFERROR($H176*参考2_エネ使用量経年!BH67,"")</f>
        <v/>
      </c>
      <c r="BI176" s="954" t="str">
        <f ca="1">IFERROR($I176*参考2_エネ使用量経年!BI67,"")</f>
        <v/>
      </c>
      <c r="BJ176" s="954" t="str">
        <f ca="1">IFERROR($J176*参考2_エネ使用量経年!BJ67,"")</f>
        <v/>
      </c>
      <c r="BK176" s="954" t="str">
        <f ca="1">IFERROR($K176*参考2_エネ使用量経年!BK67,"")</f>
        <v/>
      </c>
      <c r="BL176" s="954" t="str">
        <f ca="1">IFERROR($H176*参考2_エネ使用量経年!BL67,"")</f>
        <v/>
      </c>
      <c r="BM176" s="954" t="str">
        <f ca="1">IFERROR($I176*参考2_エネ使用量経年!BM67,"")</f>
        <v/>
      </c>
      <c r="BN176" s="954" t="str">
        <f ca="1">IFERROR($J176*参考2_エネ使用量経年!BN67,"")</f>
        <v/>
      </c>
      <c r="BO176" s="954" t="str">
        <f ca="1">IFERROR($K176*参考2_エネ使用量経年!BO67,"")</f>
        <v/>
      </c>
      <c r="BP176" s="841"/>
    </row>
    <row r="177" spans="1:68" s="1018" customFormat="1" ht="20.100000000000001" hidden="1" customHeight="1" outlineLevel="1">
      <c r="A177" s="1011">
        <v>16</v>
      </c>
      <c r="B177" s="1869" t="s">
        <v>4434</v>
      </c>
      <c r="C177" s="1019" t="s">
        <v>4435</v>
      </c>
      <c r="D177" s="1020"/>
      <c r="E177" s="1013"/>
      <c r="F177" s="1014"/>
      <c r="G177" s="1015" t="s">
        <v>4685</v>
      </c>
      <c r="H177" s="1016"/>
      <c r="I177" s="1016"/>
      <c r="J177" s="1016"/>
      <c r="K177" s="1016"/>
      <c r="L177" s="954">
        <f ca="1">SUM(SUMIFS(OFFSET(A1_集計2024,$A177,9,1,200),OFFSET(貼付け_2024実績,4,9,1,200),{"横浜*","川崎*","県域*","エネルギー管理指定工場等*"}))</f>
        <v>0</v>
      </c>
      <c r="M177" s="954">
        <f ca="1">SUM(SUMIFS(OFFSET(A1_集計2025,$A177,9,1,200),OFFSET(貼付け_2025実績,4,9,1,200),{"横浜*","川崎*","県域*","エネルギー管理指定工場等*"}))</f>
        <v>0</v>
      </c>
      <c r="N177" s="954">
        <f ca="1">SUM(SUMIFS(OFFSET(A1_集計2026,$A177,9,1,200),OFFSET(貼付け_2026実績,4,9,1,200),{"横浜*","川崎*","県域*","エネルギー管理指定工場等*"}))</f>
        <v>0</v>
      </c>
      <c r="O177" s="954">
        <f ca="1">SUM(SUMIFS(OFFSET(A1_集計2027,$A177,9,1,200),OFFSET(貼付け_2027実績,4,9,1,200),{"横浜*","川崎*","県域*","エネルギー管理指定工場等*"}))</f>
        <v>0</v>
      </c>
      <c r="P177" s="954">
        <f ca="1">SUM(SUMIFS(OFFSET(A1_集計2024,$A177,9,1,200),OFFSET(貼付け_2024実績,4,9,1,200),{"横浜*","川崎*"}))</f>
        <v>0</v>
      </c>
      <c r="Q177" s="954">
        <f ca="1">SUM(SUMIFS(OFFSET(A1_集計2025,$A177,9,1,200),OFFSET(貼付け_2025実績,4,9,1,200),{"横浜*","川崎*"}))</f>
        <v>0</v>
      </c>
      <c r="R177" s="954">
        <f ca="1">SUM(SUMIFS(OFFSET(A1_集計2026,$A177,9,1,200),OFFSET(貼付け_2026実績,4,9,1,200),{"横浜*","川崎*"}))</f>
        <v>0</v>
      </c>
      <c r="S177" s="954">
        <f ca="1">SUM(SUMIFS(OFFSET(A1_集計2027,$A177,9,1,200),OFFSET(貼付け_2027実績,4,9,1,200),{"横浜*","川崎*"}))</f>
        <v>0</v>
      </c>
      <c r="T177" s="954">
        <f ca="1">SUM(SUMIFS(OFFSET(A1_集計2024,$A177,9,1,200),OFFSET(貼付け_2024実績,4,9,1,200),{"県域*","エネルギー管理指定工場等*"}))</f>
        <v>0</v>
      </c>
      <c r="U177" s="954">
        <f ca="1">SUM(SUMIFS(OFFSET(A1_集計2025,$A177,9,1,200),OFFSET(貼付け_2025実績,4,9,1,200),{"県域*","エネルギー管理指定工場等*"}))</f>
        <v>0</v>
      </c>
      <c r="V177" s="954">
        <f ca="1">SUM(SUMIFS(OFFSET(A1_集計2026,$A177,9,1,200),OFFSET(貼付け_2026実績,4,9,1,200),{"県域*","エネルギー管理指定工場等*"}))</f>
        <v>0</v>
      </c>
      <c r="W177" s="954">
        <f ca="1">SUM(SUMIFS(OFFSET(A1_集計2027,$A177,9,1,200),OFFSET(貼付け_2027実績,4,9,1,200),{"県域*","エネルギー管理指定工場等*"}))</f>
        <v>0</v>
      </c>
      <c r="X177" s="954">
        <f ca="1">SUMIFS(OFFSET(A1_集計2024,$A177,9,1,200),OFFSET(貼付け_2024実績,4,9,1,200),"県域*")</f>
        <v>0</v>
      </c>
      <c r="Y177" s="954">
        <f ca="1">SUMIFS(OFFSET(A1_集計2025,$A177,9,1,200),OFFSET(貼付け_2025実績,4,9,1,200),"県域*")</f>
        <v>0</v>
      </c>
      <c r="Z177" s="954">
        <f ca="1">SUMIFS(OFFSET(A1_集計2026,$A177,9,1,200),OFFSET(貼付け_2026実績,4,9,1,200),"県域*")</f>
        <v>0</v>
      </c>
      <c r="AA177" s="954">
        <f ca="1">SUMIFS(OFFSET(A1_集計2027,$A177,9,1,200),OFFSET(貼付け_2027実績,4,9,1,200),"県域*")</f>
        <v>0</v>
      </c>
      <c r="AB177" s="954" t="str">
        <f ca="1">IFERROR(OFFSET(A1_集計2024,$A177,AB$1),"")</f>
        <v/>
      </c>
      <c r="AC177" s="954" t="str">
        <f ca="1">IFERROR(OFFSET(A1_集計2025,$A177,AC$1),"")</f>
        <v/>
      </c>
      <c r="AD177" s="954" t="str">
        <f ca="1">IFERROR(OFFSET(A1_集計2026,$A177,AD$1),"")</f>
        <v/>
      </c>
      <c r="AE177" s="954" t="str">
        <f ca="1">IFERROR(OFFSET(A1_集計2027,$A177,AE$1),"")</f>
        <v/>
      </c>
      <c r="AF177" s="954" t="str">
        <f ca="1">IFERROR(OFFSET(A1_集計2024,$A177,AF$1),"")</f>
        <v/>
      </c>
      <c r="AG177" s="954" t="str">
        <f ca="1">IFERROR(OFFSET(A1_集計2025,$A177,AG$1),"")</f>
        <v/>
      </c>
      <c r="AH177" s="954" t="str">
        <f ca="1">IFERROR(OFFSET(A1_集計2026,$A177,AH$1),"")</f>
        <v/>
      </c>
      <c r="AI177" s="954" t="str">
        <f ca="1">IFERROR(OFFSET(A1_集計2027,$A177,AI$1),"")</f>
        <v/>
      </c>
      <c r="AJ177" s="954" t="str">
        <f ca="1">IFERROR(OFFSET(A1_集計2024,$A177,AJ$1),"")</f>
        <v/>
      </c>
      <c r="AK177" s="954" t="str">
        <f ca="1">IFERROR(OFFSET(A1_集計2025,$A177,AK$1),"")</f>
        <v/>
      </c>
      <c r="AL177" s="954" t="str">
        <f ca="1">IFERROR(OFFSET(A1_集計2026,$A177,AL$1),"")</f>
        <v/>
      </c>
      <c r="AM177" s="954" t="str">
        <f ca="1">IFERROR(OFFSET(A1_集計2027,$A177,AM$1),"")</f>
        <v/>
      </c>
      <c r="AN177" s="954" t="str">
        <f ca="1">IFERROR(OFFSET(A1_集計2024,$A177,AN$1),"")</f>
        <v/>
      </c>
      <c r="AO177" s="954" t="str">
        <f ca="1">IFERROR(OFFSET(A1_集計2025,$A177,AO$1),"")</f>
        <v/>
      </c>
      <c r="AP177" s="954" t="str">
        <f ca="1">IFERROR(OFFSET(A1_集計2026,$A177,AP$1),"")</f>
        <v/>
      </c>
      <c r="AQ177" s="954" t="str">
        <f ca="1">IFERROR(OFFSET(A1_集計2027,$A177,AQ$1),"")</f>
        <v/>
      </c>
      <c r="AR177" s="954" t="str">
        <f ca="1">IFERROR(OFFSET(A1_集計2024,$A177,AR$1),"")</f>
        <v/>
      </c>
      <c r="AS177" s="954" t="str">
        <f ca="1">IFERROR(OFFSET(A1_集計2025,$A177,AS$1),"")</f>
        <v/>
      </c>
      <c r="AT177" s="954" t="str">
        <f ca="1">IFERROR(OFFSET(A1_集計2026,$A177,AT$1),"")</f>
        <v/>
      </c>
      <c r="AU177" s="954" t="str">
        <f ca="1">IFERROR(OFFSET(A1_集計2027,$A177,AU$1),"")</f>
        <v/>
      </c>
      <c r="AV177" s="954" t="str">
        <f ca="1">IFERROR(OFFSET(A1_集計2024,$A177,AV$1),"")</f>
        <v/>
      </c>
      <c r="AW177" s="954" t="str">
        <f ca="1">IFERROR(OFFSET(A1_集計2025,$A177,AW$1),"")</f>
        <v/>
      </c>
      <c r="AX177" s="954" t="str">
        <f ca="1">IFERROR(OFFSET(A1_集計2026,$A177,AX$1),"")</f>
        <v/>
      </c>
      <c r="AY177" s="954" t="str">
        <f ca="1">IFERROR(OFFSET(A1_集計2027,$A177,AY$1),"")</f>
        <v/>
      </c>
      <c r="AZ177" s="954" t="str">
        <f ca="1">IFERROR(OFFSET(A1_集計2024,$A177,AZ$1),"")</f>
        <v/>
      </c>
      <c r="BA177" s="954" t="str">
        <f ca="1">IFERROR(OFFSET(A1_集計2025,$A177,BA$1),"")</f>
        <v/>
      </c>
      <c r="BB177" s="954" t="str">
        <f ca="1">IFERROR(OFFSET(A1_集計2026,$A177,BB$1),"")</f>
        <v/>
      </c>
      <c r="BC177" s="954" t="str">
        <f ca="1">IFERROR(OFFSET(A1_集計2027,$A177,BC$1),"")</f>
        <v/>
      </c>
      <c r="BD177" s="954" t="str">
        <f ca="1">IFERROR(OFFSET(A1_集計2024,$A177,BD$1),"")</f>
        <v/>
      </c>
      <c r="BE177" s="954" t="str">
        <f ca="1">IFERROR(OFFSET(A1_集計2025,$A177,BE$1),"")</f>
        <v/>
      </c>
      <c r="BF177" s="954" t="str">
        <f ca="1">IFERROR(OFFSET(A1_集計2026,$A177,BF$1),"")</f>
        <v/>
      </c>
      <c r="BG177" s="954" t="str">
        <f ca="1">IFERROR(OFFSET(A1_集計2027,$A177,BG$1),"")</f>
        <v/>
      </c>
      <c r="BH177" s="954" t="str">
        <f ca="1">IFERROR(OFFSET(A1_集計2024,$A177,BH$1),"")</f>
        <v/>
      </c>
      <c r="BI177" s="954" t="str">
        <f ca="1">IFERROR(OFFSET(A1_集計2025,$A177,BI$1),"")</f>
        <v/>
      </c>
      <c r="BJ177" s="954" t="str">
        <f ca="1">IFERROR(OFFSET(A1_集計2026,$A177,BJ$1),"")</f>
        <v/>
      </c>
      <c r="BK177" s="954" t="str">
        <f ca="1">IFERROR(OFFSET(A1_集計2027,$A177,BK$1),"")</f>
        <v/>
      </c>
      <c r="BL177" s="954" t="str">
        <f ca="1">IFERROR(OFFSET(A1_集計2024,$A177,BL$1),"")</f>
        <v/>
      </c>
      <c r="BM177" s="954" t="str">
        <f ca="1">IFERROR(OFFSET(A1_集計2025,$A177,BM$1),"")</f>
        <v/>
      </c>
      <c r="BN177" s="954" t="str">
        <f ca="1">IFERROR(OFFSET(A1_集計2026,$A177,BN$1),"")</f>
        <v/>
      </c>
      <c r="BO177" s="954" t="str">
        <f ca="1">IFERROR(OFFSET(A1_集計2027,$A177,BO$1),"")</f>
        <v/>
      </c>
      <c r="BP177" s="1017"/>
    </row>
    <row r="178" spans="1:68" s="1018" customFormat="1" ht="20.100000000000001" hidden="1" customHeight="1" outlineLevel="1">
      <c r="A178" s="1011">
        <v>74</v>
      </c>
      <c r="B178" s="1870"/>
      <c r="C178" s="1934" t="s">
        <v>4436</v>
      </c>
      <c r="D178" s="1021" t="s">
        <v>4437</v>
      </c>
      <c r="E178" s="1012"/>
      <c r="F178" s="1014"/>
      <c r="G178" s="1015" t="s">
        <v>4685</v>
      </c>
      <c r="H178" s="1022">
        <f ca="1">IFERROR(OFFSET(貼付け_2024実績,$A178,6),"")</f>
        <v>0</v>
      </c>
      <c r="I178" s="1022">
        <f ca="1">IFERROR(OFFSET(貼付け_2025実績,$A178,6),"")</f>
        <v>0</v>
      </c>
      <c r="J178" s="1022">
        <f ca="1">IFERROR(OFFSET(貼付け_2026実績,$A178,6),"")</f>
        <v>0</v>
      </c>
      <c r="K178" s="1022">
        <f ca="1">IFERROR(OFFSET(貼付け_2027実績,$A178,6),"")</f>
        <v>0</v>
      </c>
      <c r="L178" s="954">
        <f ca="1">IFERROR($H178*参考2_エネ使用量経年!L69*1000,"")</f>
        <v>0</v>
      </c>
      <c r="M178" s="954">
        <f ca="1">IFERROR($I178*参考2_エネ使用量経年!M69*1000,"")</f>
        <v>0</v>
      </c>
      <c r="N178" s="954">
        <f ca="1">IFERROR($J178*参考2_エネ使用量経年!N69*1000,"")</f>
        <v>0</v>
      </c>
      <c r="O178" s="954">
        <f ca="1">IFERROR($K178*参考2_エネ使用量経年!O69*1000,"")</f>
        <v>0</v>
      </c>
      <c r="P178" s="954">
        <f ca="1">IFERROR($H178*参考2_エネ使用量経年!P69*1000,"")</f>
        <v>0</v>
      </c>
      <c r="Q178" s="954">
        <f ca="1">IFERROR($I178*参考2_エネ使用量経年!Q69*1000,"")</f>
        <v>0</v>
      </c>
      <c r="R178" s="954">
        <f ca="1">IFERROR($J178*参考2_エネ使用量経年!R69*1000,"")</f>
        <v>0</v>
      </c>
      <c r="S178" s="954">
        <f ca="1">IFERROR($K178*参考2_エネ使用量経年!S69*1000,"")</f>
        <v>0</v>
      </c>
      <c r="T178" s="954">
        <f ca="1">IFERROR($H178*参考2_エネ使用量経年!T69*1000,"")</f>
        <v>0</v>
      </c>
      <c r="U178" s="954">
        <f ca="1">IFERROR($I178*参考2_エネ使用量経年!U69*1000,"")</f>
        <v>0</v>
      </c>
      <c r="V178" s="954">
        <f ca="1">IFERROR($J178*参考2_エネ使用量経年!V69*1000,"")</f>
        <v>0</v>
      </c>
      <c r="W178" s="954">
        <f ca="1">IFERROR($K178*参考2_エネ使用量経年!W69*1000,"")</f>
        <v>0</v>
      </c>
      <c r="X178" s="954">
        <f ca="1">IFERROR($H178*参考2_エネ使用量経年!X69*1000,"")</f>
        <v>0</v>
      </c>
      <c r="Y178" s="954">
        <f ca="1">IFERROR($I178*参考2_エネ使用量経年!Y69*1000,"")</f>
        <v>0</v>
      </c>
      <c r="Z178" s="954">
        <f ca="1">IFERROR($J178*参考2_エネ使用量経年!Z69*1000,"")</f>
        <v>0</v>
      </c>
      <c r="AA178" s="954">
        <f ca="1">IFERROR($K178*参考2_エネ使用量経年!AA69*1000,"")</f>
        <v>0</v>
      </c>
      <c r="AB178" s="954" t="str">
        <f ca="1">IFERROR($H178*参考2_エネ使用量経年!AB69*1000,"")</f>
        <v/>
      </c>
      <c r="AC178" s="954" t="str">
        <f ca="1">IFERROR($I178*参考2_エネ使用量経年!AC69*1000,"")</f>
        <v/>
      </c>
      <c r="AD178" s="954" t="str">
        <f ca="1">IFERROR($J178*参考2_エネ使用量経年!AD69*1000,"")</f>
        <v/>
      </c>
      <c r="AE178" s="954" t="str">
        <f ca="1">IFERROR($K178*参考2_エネ使用量経年!AE69*1000,"")</f>
        <v/>
      </c>
      <c r="AF178" s="954" t="str">
        <f ca="1">IFERROR($H178*参考2_エネ使用量経年!AF69*1000,"")</f>
        <v/>
      </c>
      <c r="AG178" s="954" t="str">
        <f ca="1">IFERROR($I178*参考2_エネ使用量経年!AG69*1000,"")</f>
        <v/>
      </c>
      <c r="AH178" s="954" t="str">
        <f ca="1">IFERROR($J178*参考2_エネ使用量経年!AH69*1000,"")</f>
        <v/>
      </c>
      <c r="AI178" s="954" t="str">
        <f ca="1">IFERROR($K178*参考2_エネ使用量経年!AI69*1000,"")</f>
        <v/>
      </c>
      <c r="AJ178" s="954" t="str">
        <f ca="1">IFERROR($H178*参考2_エネ使用量経年!AJ69*1000,"")</f>
        <v/>
      </c>
      <c r="AK178" s="954" t="str">
        <f ca="1">IFERROR($I178*参考2_エネ使用量経年!AK69*1000,"")</f>
        <v/>
      </c>
      <c r="AL178" s="954" t="str">
        <f ca="1">IFERROR($J178*参考2_エネ使用量経年!AL69*1000,"")</f>
        <v/>
      </c>
      <c r="AM178" s="954" t="str">
        <f ca="1">IFERROR($K178*参考2_エネ使用量経年!AM69*1000,"")</f>
        <v/>
      </c>
      <c r="AN178" s="954" t="str">
        <f ca="1">IFERROR($H178*参考2_エネ使用量経年!AN69*1000,"")</f>
        <v/>
      </c>
      <c r="AO178" s="954" t="str">
        <f ca="1">IFERROR($I178*参考2_エネ使用量経年!AO69*1000,"")</f>
        <v/>
      </c>
      <c r="AP178" s="954" t="str">
        <f ca="1">IFERROR($J178*参考2_エネ使用量経年!AP69*1000,"")</f>
        <v/>
      </c>
      <c r="AQ178" s="954" t="str">
        <f ca="1">IFERROR($K178*参考2_エネ使用量経年!AQ69*1000,"")</f>
        <v/>
      </c>
      <c r="AR178" s="954" t="str">
        <f ca="1">IFERROR($H178*参考2_エネ使用量経年!AR69*1000,"")</f>
        <v/>
      </c>
      <c r="AS178" s="954" t="str">
        <f ca="1">IFERROR($I178*参考2_エネ使用量経年!AS69*1000,"")</f>
        <v/>
      </c>
      <c r="AT178" s="954" t="str">
        <f ca="1">IFERROR($J178*参考2_エネ使用量経年!AT69*1000,"")</f>
        <v/>
      </c>
      <c r="AU178" s="954" t="str">
        <f ca="1">IFERROR($K178*参考2_エネ使用量経年!AU69*1000,"")</f>
        <v/>
      </c>
      <c r="AV178" s="954" t="str">
        <f ca="1">IFERROR($H178*参考2_エネ使用量経年!AV69*1000,"")</f>
        <v/>
      </c>
      <c r="AW178" s="954" t="str">
        <f ca="1">IFERROR($I178*参考2_エネ使用量経年!AW69*1000,"")</f>
        <v/>
      </c>
      <c r="AX178" s="954" t="str">
        <f ca="1">IFERROR($J178*参考2_エネ使用量経年!AX69*1000,"")</f>
        <v/>
      </c>
      <c r="AY178" s="954" t="str">
        <f ca="1">IFERROR($K178*参考2_エネ使用量経年!AY69*1000,"")</f>
        <v/>
      </c>
      <c r="AZ178" s="954" t="str">
        <f ca="1">IFERROR($H178*参考2_エネ使用量経年!AZ69*1000,"")</f>
        <v/>
      </c>
      <c r="BA178" s="954" t="str">
        <f ca="1">IFERROR($I178*参考2_エネ使用量経年!BA69*1000,"")</f>
        <v/>
      </c>
      <c r="BB178" s="954" t="str">
        <f ca="1">IFERROR($J178*参考2_エネ使用量経年!BB69*1000,"")</f>
        <v/>
      </c>
      <c r="BC178" s="954" t="str">
        <f ca="1">IFERROR($K178*参考2_エネ使用量経年!BC69*1000,"")</f>
        <v/>
      </c>
      <c r="BD178" s="954" t="str">
        <f ca="1">IFERROR($H178*参考2_エネ使用量経年!BD69*1000,"")</f>
        <v/>
      </c>
      <c r="BE178" s="954" t="str">
        <f ca="1">IFERROR($I178*参考2_エネ使用量経年!BE69*1000,"")</f>
        <v/>
      </c>
      <c r="BF178" s="954" t="str">
        <f ca="1">IFERROR($J178*参考2_エネ使用量経年!BF69*1000,"")</f>
        <v/>
      </c>
      <c r="BG178" s="954" t="str">
        <f ca="1">IFERROR($K178*参考2_エネ使用量経年!BG69*1000,"")</f>
        <v/>
      </c>
      <c r="BH178" s="954" t="str">
        <f ca="1">IFERROR($H178*参考2_エネ使用量経年!BH69*1000,"")</f>
        <v/>
      </c>
      <c r="BI178" s="954" t="str">
        <f ca="1">IFERROR($I178*参考2_エネ使用量経年!BI69*1000,"")</f>
        <v/>
      </c>
      <c r="BJ178" s="954" t="str">
        <f ca="1">IFERROR($J178*参考2_エネ使用量経年!BJ69*1000,"")</f>
        <v/>
      </c>
      <c r="BK178" s="954" t="str">
        <f ca="1">IFERROR($K178*参考2_エネ使用量経年!BK69*1000,"")</f>
        <v/>
      </c>
      <c r="BL178" s="954" t="str">
        <f ca="1">IFERROR($H178*参考2_エネ使用量経年!BL69*1000,"")</f>
        <v/>
      </c>
      <c r="BM178" s="954" t="str">
        <f ca="1">IFERROR($I178*参考2_エネ使用量経年!BM69*1000,"")</f>
        <v/>
      </c>
      <c r="BN178" s="954" t="str">
        <f ca="1">IFERROR($J178*参考2_エネ使用量経年!BN69*1000,"")</f>
        <v/>
      </c>
      <c r="BO178" s="954" t="str">
        <f ca="1">IFERROR($K178*参考2_エネ使用量経年!BO69*1000,"")</f>
        <v/>
      </c>
      <c r="BP178" s="1017"/>
    </row>
    <row r="179" spans="1:68" s="1018" customFormat="1" ht="20.100000000000001" hidden="1" customHeight="1" outlineLevel="1">
      <c r="A179" s="1011">
        <v>76</v>
      </c>
      <c r="B179" s="1870"/>
      <c r="C179" s="1934"/>
      <c r="D179" s="1023" t="s">
        <v>4438</v>
      </c>
      <c r="E179" s="1012"/>
      <c r="F179" s="1014"/>
      <c r="G179" s="1015" t="s">
        <v>4685</v>
      </c>
      <c r="H179" s="1022">
        <f ca="1">IFERROR(OFFSET(貼付け_2024実績,$A179,6),"")</f>
        <v>0</v>
      </c>
      <c r="I179" s="1022">
        <f ca="1">IFERROR(OFFSET(貼付け_2025実績,$A179,6),"")</f>
        <v>0</v>
      </c>
      <c r="J179" s="1022">
        <f ca="1">IFERROR(OFFSET(貼付け_2026実績,$A179,6),"")</f>
        <v>0</v>
      </c>
      <c r="K179" s="1022">
        <f ca="1">IFERROR(OFFSET(貼付け_2027実績,$A179,6),"")</f>
        <v>0</v>
      </c>
      <c r="L179" s="954">
        <f ca="1">IFERROR($H179*参考2_エネ使用量経年!L70*1000,"")</f>
        <v>0</v>
      </c>
      <c r="M179" s="954">
        <f ca="1">IFERROR($I179*参考2_エネ使用量経年!M70*1000,"")</f>
        <v>0</v>
      </c>
      <c r="N179" s="954">
        <f ca="1">IFERROR($J179*参考2_エネ使用量経年!N70*1000,"")</f>
        <v>0</v>
      </c>
      <c r="O179" s="954">
        <f ca="1">IFERROR($K179*参考2_エネ使用量経年!O70*1000,"")</f>
        <v>0</v>
      </c>
      <c r="P179" s="954">
        <f ca="1">IFERROR($H179*参考2_エネ使用量経年!P70*1000,"")</f>
        <v>0</v>
      </c>
      <c r="Q179" s="954">
        <f ca="1">IFERROR($I179*参考2_エネ使用量経年!Q70*1000,"")</f>
        <v>0</v>
      </c>
      <c r="R179" s="954">
        <f ca="1">IFERROR($J179*参考2_エネ使用量経年!R70*1000,"")</f>
        <v>0</v>
      </c>
      <c r="S179" s="954">
        <f ca="1">IFERROR($K179*参考2_エネ使用量経年!S70*1000,"")</f>
        <v>0</v>
      </c>
      <c r="T179" s="954">
        <f ca="1">IFERROR($H179*参考2_エネ使用量経年!T70*1000,"")</f>
        <v>0</v>
      </c>
      <c r="U179" s="954">
        <f ca="1">IFERROR($I179*参考2_エネ使用量経年!U70*1000,"")</f>
        <v>0</v>
      </c>
      <c r="V179" s="954">
        <f ca="1">IFERROR($J179*参考2_エネ使用量経年!V70*1000,"")</f>
        <v>0</v>
      </c>
      <c r="W179" s="954">
        <f ca="1">IFERROR($K179*参考2_エネ使用量経年!W70*1000,"")</f>
        <v>0</v>
      </c>
      <c r="X179" s="954">
        <f ca="1">IFERROR($H179*参考2_エネ使用量経年!X70*1000,"")</f>
        <v>0</v>
      </c>
      <c r="Y179" s="954">
        <f ca="1">IFERROR($I179*参考2_エネ使用量経年!Y70*1000,"")</f>
        <v>0</v>
      </c>
      <c r="Z179" s="954">
        <f ca="1">IFERROR($J179*参考2_エネ使用量経年!Z70*1000,"")</f>
        <v>0</v>
      </c>
      <c r="AA179" s="954">
        <f ca="1">IFERROR($K179*参考2_エネ使用量経年!AA70*1000,"")</f>
        <v>0</v>
      </c>
      <c r="AB179" s="954" t="str">
        <f ca="1">IFERROR($H179*参考2_エネ使用量経年!AB70*1000,"")</f>
        <v/>
      </c>
      <c r="AC179" s="954" t="str">
        <f ca="1">IFERROR($I179*参考2_エネ使用量経年!AC70*1000,"")</f>
        <v/>
      </c>
      <c r="AD179" s="954" t="str">
        <f ca="1">IFERROR($J179*参考2_エネ使用量経年!AD70*1000,"")</f>
        <v/>
      </c>
      <c r="AE179" s="954" t="str">
        <f ca="1">IFERROR($K179*参考2_エネ使用量経年!AE70*1000,"")</f>
        <v/>
      </c>
      <c r="AF179" s="954" t="str">
        <f ca="1">IFERROR($H179*参考2_エネ使用量経年!AF70*1000,"")</f>
        <v/>
      </c>
      <c r="AG179" s="954" t="str">
        <f ca="1">IFERROR($I179*参考2_エネ使用量経年!AG70*1000,"")</f>
        <v/>
      </c>
      <c r="AH179" s="954" t="str">
        <f ca="1">IFERROR($J179*参考2_エネ使用量経年!AH70*1000,"")</f>
        <v/>
      </c>
      <c r="AI179" s="954" t="str">
        <f ca="1">IFERROR($K179*参考2_エネ使用量経年!AI70*1000,"")</f>
        <v/>
      </c>
      <c r="AJ179" s="954" t="str">
        <f ca="1">IFERROR($H179*参考2_エネ使用量経年!AJ70*1000,"")</f>
        <v/>
      </c>
      <c r="AK179" s="954" t="str">
        <f ca="1">IFERROR($I179*参考2_エネ使用量経年!AK70*1000,"")</f>
        <v/>
      </c>
      <c r="AL179" s="954" t="str">
        <f ca="1">IFERROR($J179*参考2_エネ使用量経年!AL70*1000,"")</f>
        <v/>
      </c>
      <c r="AM179" s="954" t="str">
        <f ca="1">IFERROR($K179*参考2_エネ使用量経年!AM70*1000,"")</f>
        <v/>
      </c>
      <c r="AN179" s="954" t="str">
        <f ca="1">IFERROR($H179*参考2_エネ使用量経年!AN70*1000,"")</f>
        <v/>
      </c>
      <c r="AO179" s="954" t="str">
        <f ca="1">IFERROR($I179*参考2_エネ使用量経年!AO70*1000,"")</f>
        <v/>
      </c>
      <c r="AP179" s="954" t="str">
        <f ca="1">IFERROR($J179*参考2_エネ使用量経年!AP70*1000,"")</f>
        <v/>
      </c>
      <c r="AQ179" s="954" t="str">
        <f ca="1">IFERROR($K179*参考2_エネ使用量経年!AQ70*1000,"")</f>
        <v/>
      </c>
      <c r="AR179" s="954" t="str">
        <f ca="1">IFERROR($H179*参考2_エネ使用量経年!AR70*1000,"")</f>
        <v/>
      </c>
      <c r="AS179" s="954" t="str">
        <f ca="1">IFERROR($I179*参考2_エネ使用量経年!AS70*1000,"")</f>
        <v/>
      </c>
      <c r="AT179" s="954" t="str">
        <f ca="1">IFERROR($J179*参考2_エネ使用量経年!AT70*1000,"")</f>
        <v/>
      </c>
      <c r="AU179" s="954" t="str">
        <f ca="1">IFERROR($K179*参考2_エネ使用量経年!AU70*1000,"")</f>
        <v/>
      </c>
      <c r="AV179" s="954" t="str">
        <f ca="1">IFERROR($H179*参考2_エネ使用量経年!AV70*1000,"")</f>
        <v/>
      </c>
      <c r="AW179" s="954" t="str">
        <f ca="1">IFERROR($I179*参考2_エネ使用量経年!AW70*1000,"")</f>
        <v/>
      </c>
      <c r="AX179" s="954" t="str">
        <f ca="1">IFERROR($J179*参考2_エネ使用量経年!AX70*1000,"")</f>
        <v/>
      </c>
      <c r="AY179" s="954" t="str">
        <f ca="1">IFERROR($K179*参考2_エネ使用量経年!AY70*1000,"")</f>
        <v/>
      </c>
      <c r="AZ179" s="954" t="str">
        <f ca="1">IFERROR($H179*参考2_エネ使用量経年!AZ70*1000,"")</f>
        <v/>
      </c>
      <c r="BA179" s="954" t="str">
        <f ca="1">IFERROR($I179*参考2_エネ使用量経年!BA70*1000,"")</f>
        <v/>
      </c>
      <c r="BB179" s="954" t="str">
        <f ca="1">IFERROR($J179*参考2_エネ使用量経年!BB70*1000,"")</f>
        <v/>
      </c>
      <c r="BC179" s="954" t="str">
        <f ca="1">IFERROR($K179*参考2_エネ使用量経年!BC70*1000,"")</f>
        <v/>
      </c>
      <c r="BD179" s="954" t="str">
        <f ca="1">IFERROR($H179*参考2_エネ使用量経年!BD70*1000,"")</f>
        <v/>
      </c>
      <c r="BE179" s="954" t="str">
        <f ca="1">IFERROR($I179*参考2_エネ使用量経年!BE70*1000,"")</f>
        <v/>
      </c>
      <c r="BF179" s="954" t="str">
        <f ca="1">IFERROR($J179*参考2_エネ使用量経年!BF70*1000,"")</f>
        <v/>
      </c>
      <c r="BG179" s="954" t="str">
        <f ca="1">IFERROR($K179*参考2_エネ使用量経年!BG70*1000,"")</f>
        <v/>
      </c>
      <c r="BH179" s="954" t="str">
        <f ca="1">IFERROR($H179*参考2_エネ使用量経年!BH70*1000,"")</f>
        <v/>
      </c>
      <c r="BI179" s="954" t="str">
        <f ca="1">IFERROR($I179*参考2_エネ使用量経年!BI70*1000,"")</f>
        <v/>
      </c>
      <c r="BJ179" s="954" t="str">
        <f ca="1">IFERROR($J179*参考2_エネ使用量経年!BJ70*1000,"")</f>
        <v/>
      </c>
      <c r="BK179" s="954" t="str">
        <f ca="1">IFERROR($K179*参考2_エネ使用量経年!BK70*1000,"")</f>
        <v/>
      </c>
      <c r="BL179" s="954" t="str">
        <f ca="1">IFERROR($H179*参考2_エネ使用量経年!BL70*1000,"")</f>
        <v/>
      </c>
      <c r="BM179" s="954" t="str">
        <f ca="1">IFERROR($I179*参考2_エネ使用量経年!BM70*1000,"")</f>
        <v/>
      </c>
      <c r="BN179" s="954" t="str">
        <f ca="1">IFERROR($J179*参考2_エネ使用量経年!BN70*1000,"")</f>
        <v/>
      </c>
      <c r="BO179" s="954" t="str">
        <f ca="1">IFERROR($K179*参考2_エネ使用量経年!BO70*1000,"")</f>
        <v/>
      </c>
      <c r="BP179" s="1017"/>
    </row>
    <row r="180" spans="1:68" s="1018" customFormat="1" ht="20.100000000000001" hidden="1" customHeight="1" outlineLevel="1">
      <c r="A180" s="1011">
        <v>77</v>
      </c>
      <c r="B180" s="1870"/>
      <c r="C180" s="1934"/>
      <c r="D180" s="1023" t="s">
        <v>4250</v>
      </c>
      <c r="E180" s="1024" t="str">
        <f ca="1">E70</f>
        <v/>
      </c>
      <c r="F180" s="1025"/>
      <c r="G180" s="1015" t="s">
        <v>4685</v>
      </c>
      <c r="H180" s="1022">
        <f ca="1">IFERROR(OFFSET(貼付け_2024実績,$A180,6),"")</f>
        <v>0</v>
      </c>
      <c r="I180" s="1022">
        <f ca="1">IFERROR(OFFSET(貼付け_2025実績,$A180,6),"")</f>
        <v>0</v>
      </c>
      <c r="J180" s="1022">
        <f ca="1">IFERROR(OFFSET(貼付け_2026実績,$A180,6),"")</f>
        <v>0</v>
      </c>
      <c r="K180" s="1022">
        <f ca="1">IFERROR(OFFSET(貼付け_2027実績,$A180,6),"")</f>
        <v>0</v>
      </c>
      <c r="L180" s="954">
        <f ca="1">IFERROR($H180*参考2_エネ使用量経年!L71*1000,"")</f>
        <v>0</v>
      </c>
      <c r="M180" s="954">
        <f ca="1">IFERROR($I180*参考2_エネ使用量経年!M71*1000,"")</f>
        <v>0</v>
      </c>
      <c r="N180" s="954">
        <f ca="1">IFERROR($J180*参考2_エネ使用量経年!N71*1000,"")</f>
        <v>0</v>
      </c>
      <c r="O180" s="954">
        <f ca="1">IFERROR($K180*参考2_エネ使用量経年!O71*1000,"")</f>
        <v>0</v>
      </c>
      <c r="P180" s="954">
        <f ca="1">IFERROR($H180*参考2_エネ使用量経年!P71*1000,"")</f>
        <v>0</v>
      </c>
      <c r="Q180" s="954">
        <f ca="1">IFERROR($I180*参考2_エネ使用量経年!Q71*1000,"")</f>
        <v>0</v>
      </c>
      <c r="R180" s="954">
        <f ca="1">IFERROR($J180*参考2_エネ使用量経年!R71*1000,"")</f>
        <v>0</v>
      </c>
      <c r="S180" s="954">
        <f ca="1">IFERROR($K180*参考2_エネ使用量経年!S71*1000,"")</f>
        <v>0</v>
      </c>
      <c r="T180" s="954">
        <f ca="1">IFERROR($H180*参考2_エネ使用量経年!T71*1000,"")</f>
        <v>0</v>
      </c>
      <c r="U180" s="954">
        <f ca="1">IFERROR($I180*参考2_エネ使用量経年!U71*1000,"")</f>
        <v>0</v>
      </c>
      <c r="V180" s="954">
        <f ca="1">IFERROR($J180*参考2_エネ使用量経年!V71*1000,"")</f>
        <v>0</v>
      </c>
      <c r="W180" s="954">
        <f ca="1">IFERROR($K180*参考2_エネ使用量経年!W71*1000,"")</f>
        <v>0</v>
      </c>
      <c r="X180" s="954">
        <f ca="1">IFERROR($H180*参考2_エネ使用量経年!X71*1000,"")</f>
        <v>0</v>
      </c>
      <c r="Y180" s="954">
        <f ca="1">IFERROR($I180*参考2_エネ使用量経年!Y71*1000,"")</f>
        <v>0</v>
      </c>
      <c r="Z180" s="954">
        <f ca="1">IFERROR($J180*参考2_エネ使用量経年!Z71*1000,"")</f>
        <v>0</v>
      </c>
      <c r="AA180" s="954">
        <f ca="1">IFERROR($K180*参考2_エネ使用量経年!AA71*1000,"")</f>
        <v>0</v>
      </c>
      <c r="AB180" s="954" t="str">
        <f ca="1">IFERROR($H180*参考2_エネ使用量経年!AB71*1000,"")</f>
        <v/>
      </c>
      <c r="AC180" s="954" t="str">
        <f ca="1">IFERROR($I180*参考2_エネ使用量経年!AC71*1000,"")</f>
        <v/>
      </c>
      <c r="AD180" s="954" t="str">
        <f ca="1">IFERROR($J180*参考2_エネ使用量経年!AD71*1000,"")</f>
        <v/>
      </c>
      <c r="AE180" s="954" t="str">
        <f ca="1">IFERROR($K180*参考2_エネ使用量経年!AE71*1000,"")</f>
        <v/>
      </c>
      <c r="AF180" s="954" t="str">
        <f ca="1">IFERROR($H180*参考2_エネ使用量経年!AF71*1000,"")</f>
        <v/>
      </c>
      <c r="AG180" s="954" t="str">
        <f ca="1">IFERROR($I180*参考2_エネ使用量経年!AG71*1000,"")</f>
        <v/>
      </c>
      <c r="AH180" s="954" t="str">
        <f ca="1">IFERROR($J180*参考2_エネ使用量経年!AH71*1000,"")</f>
        <v/>
      </c>
      <c r="AI180" s="954" t="str">
        <f ca="1">IFERROR($K180*参考2_エネ使用量経年!AI71*1000,"")</f>
        <v/>
      </c>
      <c r="AJ180" s="954" t="str">
        <f ca="1">IFERROR($H180*参考2_エネ使用量経年!AJ71*1000,"")</f>
        <v/>
      </c>
      <c r="AK180" s="954" t="str">
        <f ca="1">IFERROR($I180*参考2_エネ使用量経年!AK71*1000,"")</f>
        <v/>
      </c>
      <c r="AL180" s="954" t="str">
        <f ca="1">IFERROR($J180*参考2_エネ使用量経年!AL71*1000,"")</f>
        <v/>
      </c>
      <c r="AM180" s="954" t="str">
        <f ca="1">IFERROR($K180*参考2_エネ使用量経年!AM71*1000,"")</f>
        <v/>
      </c>
      <c r="AN180" s="954" t="str">
        <f ca="1">IFERROR($H180*参考2_エネ使用量経年!AN71*1000,"")</f>
        <v/>
      </c>
      <c r="AO180" s="954" t="str">
        <f ca="1">IFERROR($I180*参考2_エネ使用量経年!AO71*1000,"")</f>
        <v/>
      </c>
      <c r="AP180" s="954" t="str">
        <f ca="1">IFERROR($J180*参考2_エネ使用量経年!AP71*1000,"")</f>
        <v/>
      </c>
      <c r="AQ180" s="954" t="str">
        <f ca="1">IFERROR($K180*参考2_エネ使用量経年!AQ71*1000,"")</f>
        <v/>
      </c>
      <c r="AR180" s="954" t="str">
        <f ca="1">IFERROR($H180*参考2_エネ使用量経年!AR71*1000,"")</f>
        <v/>
      </c>
      <c r="AS180" s="954" t="str">
        <f ca="1">IFERROR($I180*参考2_エネ使用量経年!AS71*1000,"")</f>
        <v/>
      </c>
      <c r="AT180" s="954" t="str">
        <f ca="1">IFERROR($J180*参考2_エネ使用量経年!AT71*1000,"")</f>
        <v/>
      </c>
      <c r="AU180" s="954" t="str">
        <f ca="1">IFERROR($K180*参考2_エネ使用量経年!AU71*1000,"")</f>
        <v/>
      </c>
      <c r="AV180" s="954" t="str">
        <f ca="1">IFERROR($H180*参考2_エネ使用量経年!AV71*1000,"")</f>
        <v/>
      </c>
      <c r="AW180" s="954" t="str">
        <f ca="1">IFERROR($I180*参考2_エネ使用量経年!AW71*1000,"")</f>
        <v/>
      </c>
      <c r="AX180" s="954" t="str">
        <f ca="1">IFERROR($J180*参考2_エネ使用量経年!AX71*1000,"")</f>
        <v/>
      </c>
      <c r="AY180" s="954" t="str">
        <f ca="1">IFERROR($K180*参考2_エネ使用量経年!AY71*1000,"")</f>
        <v/>
      </c>
      <c r="AZ180" s="954" t="str">
        <f ca="1">IFERROR($H180*参考2_エネ使用量経年!AZ71*1000,"")</f>
        <v/>
      </c>
      <c r="BA180" s="954" t="str">
        <f ca="1">IFERROR($I180*参考2_エネ使用量経年!BA71*1000,"")</f>
        <v/>
      </c>
      <c r="BB180" s="954" t="str">
        <f ca="1">IFERROR($J180*参考2_エネ使用量経年!BB71*1000,"")</f>
        <v/>
      </c>
      <c r="BC180" s="954" t="str">
        <f ca="1">IFERROR($K180*参考2_エネ使用量経年!BC71*1000,"")</f>
        <v/>
      </c>
      <c r="BD180" s="954" t="str">
        <f ca="1">IFERROR($H180*参考2_エネ使用量経年!BD71*1000,"")</f>
        <v/>
      </c>
      <c r="BE180" s="954" t="str">
        <f ca="1">IFERROR($I180*参考2_エネ使用量経年!BE71*1000,"")</f>
        <v/>
      </c>
      <c r="BF180" s="954" t="str">
        <f ca="1">IFERROR($J180*参考2_エネ使用量経年!BF71*1000,"")</f>
        <v/>
      </c>
      <c r="BG180" s="954" t="str">
        <f ca="1">IFERROR($K180*参考2_エネ使用量経年!BG71*1000,"")</f>
        <v/>
      </c>
      <c r="BH180" s="954" t="str">
        <f ca="1">IFERROR($H180*参考2_エネ使用量経年!BH71*1000,"")</f>
        <v/>
      </c>
      <c r="BI180" s="954" t="str">
        <f ca="1">IFERROR($I180*参考2_エネ使用量経年!BI71*1000,"")</f>
        <v/>
      </c>
      <c r="BJ180" s="954" t="str">
        <f ca="1">IFERROR($J180*参考2_エネ使用量経年!BJ71*1000,"")</f>
        <v/>
      </c>
      <c r="BK180" s="954" t="str">
        <f ca="1">IFERROR($K180*参考2_エネ使用量経年!BK71*1000,"")</f>
        <v/>
      </c>
      <c r="BL180" s="954" t="str">
        <f ca="1">IFERROR($H180*参考2_エネ使用量経年!BL71*1000,"")</f>
        <v/>
      </c>
      <c r="BM180" s="954" t="str">
        <f ca="1">IFERROR($I180*参考2_エネ使用量経年!BM71*1000,"")</f>
        <v/>
      </c>
      <c r="BN180" s="954" t="str">
        <f ca="1">IFERROR($J180*参考2_エネ使用量経年!BN71*1000,"")</f>
        <v/>
      </c>
      <c r="BO180" s="954" t="str">
        <f ca="1">IFERROR($K180*参考2_エネ使用量経年!BO71*1000,"")</f>
        <v/>
      </c>
      <c r="BP180" s="1017"/>
    </row>
    <row r="181" spans="1:68" s="1018" customFormat="1" ht="20.100000000000001" hidden="1" customHeight="1" outlineLevel="1">
      <c r="A181" s="1011">
        <v>80</v>
      </c>
      <c r="B181" s="1870"/>
      <c r="C181" s="1934"/>
      <c r="D181" s="1026" t="s">
        <v>4251</v>
      </c>
      <c r="E181" s="1024" t="str">
        <f ca="1">E71</f>
        <v/>
      </c>
      <c r="F181" s="1025"/>
      <c r="G181" s="1015" t="s">
        <v>4685</v>
      </c>
      <c r="H181" s="1022">
        <f ca="1">IFERROR(OFFSET(貼付け_2024実績,$A181,6),"")</f>
        <v>0</v>
      </c>
      <c r="I181" s="1022">
        <f ca="1">IFERROR(OFFSET(貼付け_2025実績,$A181,6),"")</f>
        <v>0</v>
      </c>
      <c r="J181" s="1022">
        <f ca="1">IFERROR(OFFSET(貼付け_2026実績,$A181,6),"")</f>
        <v>0</v>
      </c>
      <c r="K181" s="1022">
        <f ca="1">IFERROR(OFFSET(貼付け_2027実績,$A181,6),"")</f>
        <v>0</v>
      </c>
      <c r="L181" s="954">
        <f ca="1">IFERROR($H181*参考2_エネ使用量経年!L73*1000,"")</f>
        <v>0</v>
      </c>
      <c r="M181" s="954">
        <f ca="1">IFERROR($I181*参考2_エネ使用量経年!M73*1000,"")</f>
        <v>0</v>
      </c>
      <c r="N181" s="954">
        <f ca="1">IFERROR($J181*参考2_エネ使用量経年!N73*1000,"")</f>
        <v>0</v>
      </c>
      <c r="O181" s="954">
        <f ca="1">IFERROR($K181*参考2_エネ使用量経年!O73*1000,"")</f>
        <v>0</v>
      </c>
      <c r="P181" s="954">
        <f ca="1">IFERROR($H181*参考2_エネ使用量経年!P73*1000,"")</f>
        <v>0</v>
      </c>
      <c r="Q181" s="954">
        <f ca="1">IFERROR($I181*参考2_エネ使用量経年!Q73*1000,"")</f>
        <v>0</v>
      </c>
      <c r="R181" s="954">
        <f ca="1">IFERROR($J181*参考2_エネ使用量経年!R73*1000,"")</f>
        <v>0</v>
      </c>
      <c r="S181" s="954">
        <f ca="1">IFERROR($K181*参考2_エネ使用量経年!S73*1000,"")</f>
        <v>0</v>
      </c>
      <c r="T181" s="954">
        <f ca="1">IFERROR($H181*参考2_エネ使用量経年!T73*1000,"")</f>
        <v>0</v>
      </c>
      <c r="U181" s="954">
        <f ca="1">IFERROR($I181*参考2_エネ使用量経年!U73*1000,"")</f>
        <v>0</v>
      </c>
      <c r="V181" s="954">
        <f ca="1">IFERROR($J181*参考2_エネ使用量経年!V73*1000,"")</f>
        <v>0</v>
      </c>
      <c r="W181" s="954">
        <f ca="1">IFERROR($K181*参考2_エネ使用量経年!W73*1000,"")</f>
        <v>0</v>
      </c>
      <c r="X181" s="954">
        <f ca="1">IFERROR($H181*参考2_エネ使用量経年!X73*1000,"")</f>
        <v>0</v>
      </c>
      <c r="Y181" s="954">
        <f ca="1">IFERROR($I181*参考2_エネ使用量経年!Y73*1000,"")</f>
        <v>0</v>
      </c>
      <c r="Z181" s="954">
        <f ca="1">IFERROR($J181*参考2_エネ使用量経年!Z73*1000,"")</f>
        <v>0</v>
      </c>
      <c r="AA181" s="954">
        <f ca="1">IFERROR($K181*参考2_エネ使用量経年!AA73*1000,"")</f>
        <v>0</v>
      </c>
      <c r="AB181" s="954" t="str">
        <f ca="1">IFERROR($H181*参考2_エネ使用量経年!AB73*1000,"")</f>
        <v/>
      </c>
      <c r="AC181" s="954" t="str">
        <f ca="1">IFERROR($I181*参考2_エネ使用量経年!AC73*1000,"")</f>
        <v/>
      </c>
      <c r="AD181" s="954" t="str">
        <f ca="1">IFERROR($J181*参考2_エネ使用量経年!AD73*1000,"")</f>
        <v/>
      </c>
      <c r="AE181" s="954" t="str">
        <f ca="1">IFERROR($K181*参考2_エネ使用量経年!AE73*1000,"")</f>
        <v/>
      </c>
      <c r="AF181" s="954" t="str">
        <f ca="1">IFERROR($H181*参考2_エネ使用量経年!AF73*1000,"")</f>
        <v/>
      </c>
      <c r="AG181" s="954" t="str">
        <f ca="1">IFERROR($I181*参考2_エネ使用量経年!AG73*1000,"")</f>
        <v/>
      </c>
      <c r="AH181" s="954" t="str">
        <f ca="1">IFERROR($J181*参考2_エネ使用量経年!AH73*1000,"")</f>
        <v/>
      </c>
      <c r="AI181" s="954" t="str">
        <f ca="1">IFERROR($K181*参考2_エネ使用量経年!AI73*1000,"")</f>
        <v/>
      </c>
      <c r="AJ181" s="954" t="str">
        <f ca="1">IFERROR($H181*参考2_エネ使用量経年!AJ73*1000,"")</f>
        <v/>
      </c>
      <c r="AK181" s="954" t="str">
        <f ca="1">IFERROR($I181*参考2_エネ使用量経年!AK73*1000,"")</f>
        <v/>
      </c>
      <c r="AL181" s="954" t="str">
        <f ca="1">IFERROR($J181*参考2_エネ使用量経年!AL73*1000,"")</f>
        <v/>
      </c>
      <c r="AM181" s="954" t="str">
        <f ca="1">IFERROR($K181*参考2_エネ使用量経年!AM73*1000,"")</f>
        <v/>
      </c>
      <c r="AN181" s="954" t="str">
        <f ca="1">IFERROR($H181*参考2_エネ使用量経年!AN73*1000,"")</f>
        <v/>
      </c>
      <c r="AO181" s="954" t="str">
        <f ca="1">IFERROR($I181*参考2_エネ使用量経年!AO73*1000,"")</f>
        <v/>
      </c>
      <c r="AP181" s="954" t="str">
        <f ca="1">IFERROR($J181*参考2_エネ使用量経年!AP73*1000,"")</f>
        <v/>
      </c>
      <c r="AQ181" s="954" t="str">
        <f ca="1">IFERROR($K181*参考2_エネ使用量経年!AQ73*1000,"")</f>
        <v/>
      </c>
      <c r="AR181" s="954" t="str">
        <f ca="1">IFERROR($H181*参考2_エネ使用量経年!AR73*1000,"")</f>
        <v/>
      </c>
      <c r="AS181" s="954" t="str">
        <f ca="1">IFERROR($I181*参考2_エネ使用量経年!AS73*1000,"")</f>
        <v/>
      </c>
      <c r="AT181" s="954" t="str">
        <f ca="1">IFERROR($J181*参考2_エネ使用量経年!AT73*1000,"")</f>
        <v/>
      </c>
      <c r="AU181" s="954" t="str">
        <f ca="1">IFERROR($K181*参考2_エネ使用量経年!AU73*1000,"")</f>
        <v/>
      </c>
      <c r="AV181" s="954" t="str">
        <f ca="1">IFERROR($H181*参考2_エネ使用量経年!AV73*1000,"")</f>
        <v/>
      </c>
      <c r="AW181" s="954" t="str">
        <f ca="1">IFERROR($I181*参考2_エネ使用量経年!AW73*1000,"")</f>
        <v/>
      </c>
      <c r="AX181" s="954" t="str">
        <f ca="1">IFERROR($J181*参考2_エネ使用量経年!AX73*1000,"")</f>
        <v/>
      </c>
      <c r="AY181" s="954" t="str">
        <f ca="1">IFERROR($K181*参考2_エネ使用量経年!AY73*1000,"")</f>
        <v/>
      </c>
      <c r="AZ181" s="954" t="str">
        <f ca="1">IFERROR($H181*参考2_エネ使用量経年!AZ73*1000,"")</f>
        <v/>
      </c>
      <c r="BA181" s="954" t="str">
        <f ca="1">IFERROR($I181*参考2_エネ使用量経年!BA73*1000,"")</f>
        <v/>
      </c>
      <c r="BB181" s="954" t="str">
        <f ca="1">IFERROR($J181*参考2_エネ使用量経年!BB73*1000,"")</f>
        <v/>
      </c>
      <c r="BC181" s="954" t="str">
        <f ca="1">IFERROR($K181*参考2_エネ使用量経年!BC73*1000,"")</f>
        <v/>
      </c>
      <c r="BD181" s="954" t="str">
        <f ca="1">IFERROR($H181*参考2_エネ使用量経年!BD73*1000,"")</f>
        <v/>
      </c>
      <c r="BE181" s="954" t="str">
        <f ca="1">IFERROR($I181*参考2_エネ使用量経年!BE73*1000,"")</f>
        <v/>
      </c>
      <c r="BF181" s="954" t="str">
        <f ca="1">IFERROR($J181*参考2_エネ使用量経年!BF73*1000,"")</f>
        <v/>
      </c>
      <c r="BG181" s="954" t="str">
        <f ca="1">IFERROR($K181*参考2_エネ使用量経年!BG73*1000,"")</f>
        <v/>
      </c>
      <c r="BH181" s="954" t="str">
        <f ca="1">IFERROR($H181*参考2_エネ使用量経年!BH73*1000,"")</f>
        <v/>
      </c>
      <c r="BI181" s="954" t="str">
        <f ca="1">IFERROR($I181*参考2_エネ使用量経年!BI73*1000,"")</f>
        <v/>
      </c>
      <c r="BJ181" s="954" t="str">
        <f ca="1">IFERROR($J181*参考2_エネ使用量経年!BJ73*1000,"")</f>
        <v/>
      </c>
      <c r="BK181" s="954" t="str">
        <f ca="1">IFERROR($K181*参考2_エネ使用量経年!BK73*1000,"")</f>
        <v/>
      </c>
      <c r="BL181" s="954" t="str">
        <f ca="1">IFERROR($H181*参考2_エネ使用量経年!BL73*1000,"")</f>
        <v/>
      </c>
      <c r="BM181" s="954" t="str">
        <f ca="1">IFERROR($I181*参考2_エネ使用量経年!BM73*1000,"")</f>
        <v/>
      </c>
      <c r="BN181" s="954" t="str">
        <f ca="1">IFERROR($J181*参考2_エネ使用量経年!BN73*1000,"")</f>
        <v/>
      </c>
      <c r="BO181" s="954" t="str">
        <f ca="1">IFERROR($K181*参考2_エネ使用量経年!BO73*1000,"")</f>
        <v/>
      </c>
      <c r="BP181" s="1017"/>
    </row>
    <row r="182" spans="1:68" ht="20.100000000000001" hidden="1" customHeight="1" outlineLevel="1">
      <c r="A182" s="952"/>
      <c r="B182" s="1870"/>
      <c r="C182" s="1921" t="s">
        <v>4439</v>
      </c>
      <c r="D182" s="961" t="s">
        <v>4440</v>
      </c>
      <c r="E182" s="958"/>
      <c r="F182" s="875"/>
      <c r="G182" s="891" t="s">
        <v>4685</v>
      </c>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c r="AR182" s="959"/>
      <c r="AS182" s="959"/>
      <c r="AT182" s="959"/>
      <c r="AU182" s="959"/>
      <c r="AV182" s="959"/>
      <c r="AW182" s="959"/>
      <c r="AX182" s="959"/>
      <c r="AY182" s="959"/>
      <c r="AZ182" s="959"/>
      <c r="BA182" s="959"/>
      <c r="BB182" s="959"/>
      <c r="BC182" s="959"/>
      <c r="BD182" s="959"/>
      <c r="BE182" s="959"/>
      <c r="BF182" s="959"/>
      <c r="BG182" s="959"/>
      <c r="BH182" s="959"/>
      <c r="BI182" s="959"/>
      <c r="BJ182" s="959"/>
      <c r="BK182" s="959"/>
      <c r="BL182" s="959"/>
      <c r="BM182" s="959"/>
      <c r="BN182" s="959"/>
      <c r="BO182" s="959"/>
      <c r="BP182" s="841"/>
    </row>
    <row r="183" spans="1:68" ht="20.100000000000001" hidden="1" customHeight="1" outlineLevel="1">
      <c r="A183" s="952"/>
      <c r="B183" s="1870"/>
      <c r="C183" s="1922"/>
      <c r="D183" s="961" t="s">
        <v>4441</v>
      </c>
      <c r="E183" s="958"/>
      <c r="F183" s="875"/>
      <c r="G183" s="891" t="s">
        <v>4685</v>
      </c>
      <c r="H183" s="959"/>
      <c r="I183" s="959"/>
      <c r="J183" s="959"/>
      <c r="K183" s="959"/>
      <c r="L183" s="959"/>
      <c r="M183" s="959"/>
      <c r="N183" s="959"/>
      <c r="O183" s="959"/>
      <c r="P183" s="959"/>
      <c r="Q183" s="959"/>
      <c r="R183" s="959"/>
      <c r="S183" s="959"/>
      <c r="T183" s="959"/>
      <c r="U183" s="959"/>
      <c r="V183" s="959"/>
      <c r="W183" s="959"/>
      <c r="X183" s="959"/>
      <c r="Y183" s="959"/>
      <c r="Z183" s="959"/>
      <c r="AA183" s="959"/>
      <c r="AB183" s="959"/>
      <c r="AC183" s="959"/>
      <c r="AD183" s="959"/>
      <c r="AE183" s="959"/>
      <c r="AF183" s="959"/>
      <c r="AG183" s="959"/>
      <c r="AH183" s="959"/>
      <c r="AI183" s="959"/>
      <c r="AJ183" s="959"/>
      <c r="AK183" s="959"/>
      <c r="AL183" s="959"/>
      <c r="AM183" s="959"/>
      <c r="AN183" s="959"/>
      <c r="AO183" s="959"/>
      <c r="AP183" s="959"/>
      <c r="AQ183" s="959"/>
      <c r="AR183" s="959"/>
      <c r="AS183" s="959"/>
      <c r="AT183" s="959"/>
      <c r="AU183" s="959"/>
      <c r="AV183" s="959"/>
      <c r="AW183" s="959"/>
      <c r="AX183" s="959"/>
      <c r="AY183" s="959"/>
      <c r="AZ183" s="959"/>
      <c r="BA183" s="959"/>
      <c r="BB183" s="959"/>
      <c r="BC183" s="959"/>
      <c r="BD183" s="959"/>
      <c r="BE183" s="959"/>
      <c r="BF183" s="959"/>
      <c r="BG183" s="959"/>
      <c r="BH183" s="959"/>
      <c r="BI183" s="959"/>
      <c r="BJ183" s="959"/>
      <c r="BK183" s="959"/>
      <c r="BL183" s="959"/>
      <c r="BM183" s="959"/>
      <c r="BN183" s="959"/>
      <c r="BO183" s="959"/>
      <c r="BP183" s="841"/>
    </row>
    <row r="184" spans="1:68" ht="20.100000000000001" hidden="1" customHeight="1" outlineLevel="1">
      <c r="A184" s="952"/>
      <c r="B184" s="1870"/>
      <c r="C184" s="1922"/>
      <c r="D184" s="961" t="s">
        <v>4442</v>
      </c>
      <c r="E184" s="958"/>
      <c r="F184" s="875"/>
      <c r="G184" s="891" t="s">
        <v>4685</v>
      </c>
      <c r="H184" s="959"/>
      <c r="I184" s="959"/>
      <c r="J184" s="959"/>
      <c r="K184" s="959"/>
      <c r="L184" s="959"/>
      <c r="M184" s="959"/>
      <c r="N184" s="959"/>
      <c r="O184" s="959"/>
      <c r="P184" s="959"/>
      <c r="Q184" s="959"/>
      <c r="R184" s="959"/>
      <c r="S184" s="959"/>
      <c r="T184" s="959"/>
      <c r="U184" s="959"/>
      <c r="V184" s="959"/>
      <c r="W184" s="959"/>
      <c r="X184" s="959"/>
      <c r="Y184" s="959"/>
      <c r="Z184" s="959"/>
      <c r="AA184" s="959"/>
      <c r="AB184" s="959"/>
      <c r="AC184" s="959"/>
      <c r="AD184" s="959"/>
      <c r="AE184" s="959"/>
      <c r="AF184" s="959"/>
      <c r="AG184" s="959"/>
      <c r="AH184" s="959"/>
      <c r="AI184" s="959"/>
      <c r="AJ184" s="959"/>
      <c r="AK184" s="959"/>
      <c r="AL184" s="959"/>
      <c r="AM184" s="959"/>
      <c r="AN184" s="959"/>
      <c r="AO184" s="959"/>
      <c r="AP184" s="959"/>
      <c r="AQ184" s="959"/>
      <c r="AR184" s="959"/>
      <c r="AS184" s="959"/>
      <c r="AT184" s="959"/>
      <c r="AU184" s="959"/>
      <c r="AV184" s="959"/>
      <c r="AW184" s="959"/>
      <c r="AX184" s="959"/>
      <c r="AY184" s="959"/>
      <c r="AZ184" s="959"/>
      <c r="BA184" s="959"/>
      <c r="BB184" s="959"/>
      <c r="BC184" s="959"/>
      <c r="BD184" s="959"/>
      <c r="BE184" s="959"/>
      <c r="BF184" s="959"/>
      <c r="BG184" s="959"/>
      <c r="BH184" s="959"/>
      <c r="BI184" s="959"/>
      <c r="BJ184" s="959"/>
      <c r="BK184" s="959"/>
      <c r="BL184" s="959"/>
      <c r="BM184" s="959"/>
      <c r="BN184" s="959"/>
      <c r="BO184" s="959"/>
      <c r="BP184" s="841"/>
    </row>
    <row r="185" spans="1:68" ht="20.100000000000001" hidden="1" customHeight="1" outlineLevel="1">
      <c r="A185" s="952"/>
      <c r="B185" s="1870"/>
      <c r="C185" s="1922"/>
      <c r="D185" s="961" t="s">
        <v>4443</v>
      </c>
      <c r="E185" s="958"/>
      <c r="F185" s="875"/>
      <c r="G185" s="891" t="s">
        <v>4685</v>
      </c>
      <c r="H185" s="959"/>
      <c r="I185" s="959"/>
      <c r="J185" s="959"/>
      <c r="K185" s="959"/>
      <c r="L185" s="959"/>
      <c r="M185" s="959"/>
      <c r="N185" s="959"/>
      <c r="O185" s="959"/>
      <c r="P185" s="959"/>
      <c r="Q185" s="959"/>
      <c r="R185" s="959"/>
      <c r="S185" s="959"/>
      <c r="T185" s="959"/>
      <c r="U185" s="959"/>
      <c r="V185" s="959"/>
      <c r="W185" s="959"/>
      <c r="X185" s="959"/>
      <c r="Y185" s="959"/>
      <c r="Z185" s="959"/>
      <c r="AA185" s="959"/>
      <c r="AB185" s="959"/>
      <c r="AC185" s="959"/>
      <c r="AD185" s="959"/>
      <c r="AE185" s="959"/>
      <c r="AF185" s="959"/>
      <c r="AG185" s="959"/>
      <c r="AH185" s="959"/>
      <c r="AI185" s="959"/>
      <c r="AJ185" s="959"/>
      <c r="AK185" s="959"/>
      <c r="AL185" s="959"/>
      <c r="AM185" s="959"/>
      <c r="AN185" s="959"/>
      <c r="AO185" s="959"/>
      <c r="AP185" s="959"/>
      <c r="AQ185" s="959"/>
      <c r="AR185" s="959"/>
      <c r="AS185" s="959"/>
      <c r="AT185" s="959"/>
      <c r="AU185" s="959"/>
      <c r="AV185" s="959"/>
      <c r="AW185" s="959"/>
      <c r="AX185" s="959"/>
      <c r="AY185" s="959"/>
      <c r="AZ185" s="959"/>
      <c r="BA185" s="959"/>
      <c r="BB185" s="959"/>
      <c r="BC185" s="959"/>
      <c r="BD185" s="959"/>
      <c r="BE185" s="959"/>
      <c r="BF185" s="959"/>
      <c r="BG185" s="959"/>
      <c r="BH185" s="959"/>
      <c r="BI185" s="959"/>
      <c r="BJ185" s="959"/>
      <c r="BK185" s="959"/>
      <c r="BL185" s="959"/>
      <c r="BM185" s="959"/>
      <c r="BN185" s="959"/>
      <c r="BO185" s="959"/>
      <c r="BP185" s="841"/>
    </row>
    <row r="186" spans="1:68" ht="20.100000000000001" hidden="1" customHeight="1" outlineLevel="1">
      <c r="A186" s="952"/>
      <c r="B186" s="1870"/>
      <c r="C186" s="1922"/>
      <c r="D186" s="961" t="s">
        <v>4444</v>
      </c>
      <c r="E186" s="958"/>
      <c r="F186" s="875"/>
      <c r="G186" s="891" t="s">
        <v>4685</v>
      </c>
      <c r="H186" s="959"/>
      <c r="I186" s="959"/>
      <c r="J186" s="959"/>
      <c r="K186" s="959"/>
      <c r="L186" s="959"/>
      <c r="M186" s="959"/>
      <c r="N186" s="959"/>
      <c r="O186" s="959"/>
      <c r="P186" s="959"/>
      <c r="Q186" s="959"/>
      <c r="R186" s="959"/>
      <c r="S186" s="959"/>
      <c r="T186" s="959"/>
      <c r="U186" s="959"/>
      <c r="V186" s="959"/>
      <c r="W186" s="959"/>
      <c r="X186" s="959"/>
      <c r="Y186" s="959"/>
      <c r="Z186" s="959"/>
      <c r="AA186" s="959"/>
      <c r="AB186" s="959"/>
      <c r="AC186" s="959"/>
      <c r="AD186" s="959"/>
      <c r="AE186" s="959"/>
      <c r="AF186" s="959"/>
      <c r="AG186" s="959"/>
      <c r="AH186" s="959"/>
      <c r="AI186" s="959"/>
      <c r="AJ186" s="959"/>
      <c r="AK186" s="959"/>
      <c r="AL186" s="959"/>
      <c r="AM186" s="959"/>
      <c r="AN186" s="959"/>
      <c r="AO186" s="959"/>
      <c r="AP186" s="959"/>
      <c r="AQ186" s="959"/>
      <c r="AR186" s="959"/>
      <c r="AS186" s="959"/>
      <c r="AT186" s="959"/>
      <c r="AU186" s="959"/>
      <c r="AV186" s="959"/>
      <c r="AW186" s="959"/>
      <c r="AX186" s="959"/>
      <c r="AY186" s="959"/>
      <c r="AZ186" s="959"/>
      <c r="BA186" s="959"/>
      <c r="BB186" s="959"/>
      <c r="BC186" s="959"/>
      <c r="BD186" s="959"/>
      <c r="BE186" s="959"/>
      <c r="BF186" s="959"/>
      <c r="BG186" s="959"/>
      <c r="BH186" s="959"/>
      <c r="BI186" s="959"/>
      <c r="BJ186" s="959"/>
      <c r="BK186" s="959"/>
      <c r="BL186" s="959"/>
      <c r="BM186" s="959"/>
      <c r="BN186" s="959"/>
      <c r="BO186" s="959"/>
      <c r="BP186" s="841"/>
    </row>
    <row r="187" spans="1:68" ht="20.100000000000001" hidden="1" customHeight="1" outlineLevel="1">
      <c r="A187" s="952"/>
      <c r="B187" s="1870"/>
      <c r="C187" s="1922"/>
      <c r="D187" s="961" t="s">
        <v>4445</v>
      </c>
      <c r="E187" s="958"/>
      <c r="F187" s="875"/>
      <c r="G187" s="891" t="s">
        <v>4685</v>
      </c>
      <c r="H187" s="959"/>
      <c r="I187" s="959"/>
      <c r="J187" s="959"/>
      <c r="K187" s="959"/>
      <c r="L187" s="959"/>
      <c r="M187" s="959"/>
      <c r="N187" s="959"/>
      <c r="O187" s="959"/>
      <c r="P187" s="959"/>
      <c r="Q187" s="959"/>
      <c r="R187" s="959"/>
      <c r="S187" s="959"/>
      <c r="T187" s="959"/>
      <c r="U187" s="959"/>
      <c r="V187" s="959"/>
      <c r="W187" s="959"/>
      <c r="X187" s="959"/>
      <c r="Y187" s="959"/>
      <c r="Z187" s="959"/>
      <c r="AA187" s="959"/>
      <c r="AB187" s="959"/>
      <c r="AC187" s="959"/>
      <c r="AD187" s="959"/>
      <c r="AE187" s="959"/>
      <c r="AF187" s="959"/>
      <c r="AG187" s="959"/>
      <c r="AH187" s="959"/>
      <c r="AI187" s="959"/>
      <c r="AJ187" s="959"/>
      <c r="AK187" s="959"/>
      <c r="AL187" s="959"/>
      <c r="AM187" s="959"/>
      <c r="AN187" s="959"/>
      <c r="AO187" s="959"/>
      <c r="AP187" s="959"/>
      <c r="AQ187" s="959"/>
      <c r="AR187" s="959"/>
      <c r="AS187" s="959"/>
      <c r="AT187" s="959"/>
      <c r="AU187" s="959"/>
      <c r="AV187" s="959"/>
      <c r="AW187" s="959"/>
      <c r="AX187" s="959"/>
      <c r="AY187" s="959"/>
      <c r="AZ187" s="959"/>
      <c r="BA187" s="959"/>
      <c r="BB187" s="959"/>
      <c r="BC187" s="959"/>
      <c r="BD187" s="959"/>
      <c r="BE187" s="959"/>
      <c r="BF187" s="959"/>
      <c r="BG187" s="959"/>
      <c r="BH187" s="959"/>
      <c r="BI187" s="959"/>
      <c r="BJ187" s="959"/>
      <c r="BK187" s="959"/>
      <c r="BL187" s="959"/>
      <c r="BM187" s="959"/>
      <c r="BN187" s="959"/>
      <c r="BO187" s="959"/>
      <c r="BP187" s="841"/>
    </row>
    <row r="188" spans="1:68" ht="20.100000000000001" hidden="1" customHeight="1" outlineLevel="1">
      <c r="A188" s="952"/>
      <c r="B188" s="1870"/>
      <c r="C188" s="1922"/>
      <c r="D188" s="961" t="s">
        <v>4446</v>
      </c>
      <c r="E188" s="958"/>
      <c r="F188" s="875"/>
      <c r="G188" s="891" t="s">
        <v>4685</v>
      </c>
      <c r="H188" s="959"/>
      <c r="I188" s="959"/>
      <c r="J188" s="959"/>
      <c r="K188" s="959"/>
      <c r="L188" s="959"/>
      <c r="M188" s="959"/>
      <c r="N188" s="959"/>
      <c r="O188" s="959"/>
      <c r="P188" s="959"/>
      <c r="Q188" s="959"/>
      <c r="R188" s="959"/>
      <c r="S188" s="959"/>
      <c r="T188" s="959"/>
      <c r="U188" s="959"/>
      <c r="V188" s="959"/>
      <c r="W188" s="959"/>
      <c r="X188" s="959"/>
      <c r="Y188" s="959"/>
      <c r="Z188" s="959"/>
      <c r="AA188" s="959"/>
      <c r="AB188" s="959"/>
      <c r="AC188" s="959"/>
      <c r="AD188" s="959"/>
      <c r="AE188" s="959"/>
      <c r="AF188" s="959"/>
      <c r="AG188" s="959"/>
      <c r="AH188" s="959"/>
      <c r="AI188" s="959"/>
      <c r="AJ188" s="959"/>
      <c r="AK188" s="959"/>
      <c r="AL188" s="959"/>
      <c r="AM188" s="959"/>
      <c r="AN188" s="959"/>
      <c r="AO188" s="959"/>
      <c r="AP188" s="959"/>
      <c r="AQ188" s="959"/>
      <c r="AR188" s="959"/>
      <c r="AS188" s="959"/>
      <c r="AT188" s="959"/>
      <c r="AU188" s="959"/>
      <c r="AV188" s="959"/>
      <c r="AW188" s="959"/>
      <c r="AX188" s="959"/>
      <c r="AY188" s="959"/>
      <c r="AZ188" s="959"/>
      <c r="BA188" s="959"/>
      <c r="BB188" s="959"/>
      <c r="BC188" s="959"/>
      <c r="BD188" s="959"/>
      <c r="BE188" s="959"/>
      <c r="BF188" s="959"/>
      <c r="BG188" s="959"/>
      <c r="BH188" s="959"/>
      <c r="BI188" s="959"/>
      <c r="BJ188" s="959"/>
      <c r="BK188" s="959"/>
      <c r="BL188" s="959"/>
      <c r="BM188" s="959"/>
      <c r="BN188" s="959"/>
      <c r="BO188" s="959"/>
      <c r="BP188" s="841"/>
    </row>
    <row r="189" spans="1:68" ht="20.100000000000001" hidden="1" customHeight="1" outlineLevel="1">
      <c r="A189" s="952"/>
      <c r="B189" s="1870"/>
      <c r="C189" s="1922"/>
      <c r="D189" s="961" t="s">
        <v>4447</v>
      </c>
      <c r="E189" s="958"/>
      <c r="F189" s="875"/>
      <c r="G189" s="891" t="s">
        <v>4685</v>
      </c>
      <c r="H189" s="959"/>
      <c r="I189" s="959"/>
      <c r="J189" s="959"/>
      <c r="K189" s="959"/>
      <c r="L189" s="959"/>
      <c r="M189" s="959"/>
      <c r="N189" s="959"/>
      <c r="O189" s="959"/>
      <c r="P189" s="959"/>
      <c r="Q189" s="959"/>
      <c r="R189" s="959"/>
      <c r="S189" s="959"/>
      <c r="T189" s="959"/>
      <c r="U189" s="959"/>
      <c r="V189" s="959"/>
      <c r="W189" s="959"/>
      <c r="X189" s="959"/>
      <c r="Y189" s="959"/>
      <c r="Z189" s="959"/>
      <c r="AA189" s="959"/>
      <c r="AB189" s="959"/>
      <c r="AC189" s="959"/>
      <c r="AD189" s="959"/>
      <c r="AE189" s="959"/>
      <c r="AF189" s="959"/>
      <c r="AG189" s="959"/>
      <c r="AH189" s="959"/>
      <c r="AI189" s="959"/>
      <c r="AJ189" s="959"/>
      <c r="AK189" s="959"/>
      <c r="AL189" s="959"/>
      <c r="AM189" s="959"/>
      <c r="AN189" s="959"/>
      <c r="AO189" s="959"/>
      <c r="AP189" s="959"/>
      <c r="AQ189" s="959"/>
      <c r="AR189" s="959"/>
      <c r="AS189" s="959"/>
      <c r="AT189" s="959"/>
      <c r="AU189" s="959"/>
      <c r="AV189" s="959"/>
      <c r="AW189" s="959"/>
      <c r="AX189" s="959"/>
      <c r="AY189" s="959"/>
      <c r="AZ189" s="959"/>
      <c r="BA189" s="959"/>
      <c r="BB189" s="959"/>
      <c r="BC189" s="959"/>
      <c r="BD189" s="959"/>
      <c r="BE189" s="959"/>
      <c r="BF189" s="959"/>
      <c r="BG189" s="959"/>
      <c r="BH189" s="959"/>
      <c r="BI189" s="959"/>
      <c r="BJ189" s="959"/>
      <c r="BK189" s="959"/>
      <c r="BL189" s="959"/>
      <c r="BM189" s="959"/>
      <c r="BN189" s="959"/>
      <c r="BO189" s="959"/>
      <c r="BP189" s="841"/>
    </row>
    <row r="190" spans="1:68" ht="20.100000000000001" hidden="1" customHeight="1" outlineLevel="1">
      <c r="A190" s="952"/>
      <c r="B190" s="1870"/>
      <c r="C190" s="1922"/>
      <c r="D190" s="1907" t="s">
        <v>4448</v>
      </c>
      <c r="E190" s="962"/>
      <c r="F190" s="878"/>
      <c r="G190" s="891" t="s">
        <v>4685</v>
      </c>
      <c r="H190" s="959"/>
      <c r="I190" s="959"/>
      <c r="J190" s="959"/>
      <c r="K190" s="959"/>
      <c r="L190" s="959"/>
      <c r="M190" s="959"/>
      <c r="N190" s="959"/>
      <c r="O190" s="959"/>
      <c r="P190" s="959"/>
      <c r="Q190" s="959"/>
      <c r="R190" s="959"/>
      <c r="S190" s="959"/>
      <c r="T190" s="959"/>
      <c r="U190" s="959"/>
      <c r="V190" s="959"/>
      <c r="W190" s="959"/>
      <c r="X190" s="959"/>
      <c r="Y190" s="959"/>
      <c r="Z190" s="959"/>
      <c r="AA190" s="959"/>
      <c r="AB190" s="959"/>
      <c r="AC190" s="959"/>
      <c r="AD190" s="959"/>
      <c r="AE190" s="959"/>
      <c r="AF190" s="959"/>
      <c r="AG190" s="959"/>
      <c r="AH190" s="959"/>
      <c r="AI190" s="959"/>
      <c r="AJ190" s="959"/>
      <c r="AK190" s="959"/>
      <c r="AL190" s="959"/>
      <c r="AM190" s="959"/>
      <c r="AN190" s="959"/>
      <c r="AO190" s="959"/>
      <c r="AP190" s="959"/>
      <c r="AQ190" s="959"/>
      <c r="AR190" s="959"/>
      <c r="AS190" s="959"/>
      <c r="AT190" s="959"/>
      <c r="AU190" s="959"/>
      <c r="AV190" s="959"/>
      <c r="AW190" s="959"/>
      <c r="AX190" s="959"/>
      <c r="AY190" s="959"/>
      <c r="AZ190" s="959"/>
      <c r="BA190" s="959"/>
      <c r="BB190" s="959"/>
      <c r="BC190" s="959"/>
      <c r="BD190" s="959"/>
      <c r="BE190" s="959"/>
      <c r="BF190" s="959"/>
      <c r="BG190" s="959"/>
      <c r="BH190" s="959"/>
      <c r="BI190" s="959"/>
      <c r="BJ190" s="959"/>
      <c r="BK190" s="959"/>
      <c r="BL190" s="959"/>
      <c r="BM190" s="959"/>
      <c r="BN190" s="959"/>
      <c r="BO190" s="959"/>
      <c r="BP190" s="841"/>
    </row>
    <row r="191" spans="1:68" ht="20.100000000000001" hidden="1" customHeight="1" outlineLevel="1">
      <c r="A191" s="952"/>
      <c r="B191" s="1870"/>
      <c r="C191" s="1922"/>
      <c r="D191" s="1908"/>
      <c r="E191" s="963"/>
      <c r="F191" s="880"/>
      <c r="G191" s="891" t="s">
        <v>4685</v>
      </c>
      <c r="H191" s="959"/>
      <c r="I191" s="959"/>
      <c r="J191" s="959"/>
      <c r="K191" s="959"/>
      <c r="L191" s="959"/>
      <c r="M191" s="959"/>
      <c r="N191" s="959"/>
      <c r="O191" s="959"/>
      <c r="P191" s="959"/>
      <c r="Q191" s="959"/>
      <c r="R191" s="959"/>
      <c r="S191" s="959"/>
      <c r="T191" s="959"/>
      <c r="U191" s="959"/>
      <c r="V191" s="959"/>
      <c r="W191" s="959"/>
      <c r="X191" s="959"/>
      <c r="Y191" s="959"/>
      <c r="Z191" s="959"/>
      <c r="AA191" s="959"/>
      <c r="AB191" s="959"/>
      <c r="AC191" s="959"/>
      <c r="AD191" s="959"/>
      <c r="AE191" s="959"/>
      <c r="AF191" s="959"/>
      <c r="AG191" s="959"/>
      <c r="AH191" s="959"/>
      <c r="AI191" s="959"/>
      <c r="AJ191" s="959"/>
      <c r="AK191" s="959"/>
      <c r="AL191" s="959"/>
      <c r="AM191" s="959"/>
      <c r="AN191" s="959"/>
      <c r="AO191" s="959"/>
      <c r="AP191" s="959"/>
      <c r="AQ191" s="959"/>
      <c r="AR191" s="959"/>
      <c r="AS191" s="959"/>
      <c r="AT191" s="959"/>
      <c r="AU191" s="959"/>
      <c r="AV191" s="959"/>
      <c r="AW191" s="959"/>
      <c r="AX191" s="959"/>
      <c r="AY191" s="959"/>
      <c r="AZ191" s="959"/>
      <c r="BA191" s="959"/>
      <c r="BB191" s="959"/>
      <c r="BC191" s="959"/>
      <c r="BD191" s="959"/>
      <c r="BE191" s="959"/>
      <c r="BF191" s="959"/>
      <c r="BG191" s="959"/>
      <c r="BH191" s="959"/>
      <c r="BI191" s="959"/>
      <c r="BJ191" s="959"/>
      <c r="BK191" s="959"/>
      <c r="BL191" s="959"/>
      <c r="BM191" s="959"/>
      <c r="BN191" s="959"/>
      <c r="BO191" s="959"/>
      <c r="BP191" s="841"/>
    </row>
    <row r="192" spans="1:68" ht="20.100000000000001" hidden="1" customHeight="1" outlineLevel="1">
      <c r="A192" s="952"/>
      <c r="B192" s="1870"/>
      <c r="C192" s="1922"/>
      <c r="D192" s="1907" t="s">
        <v>4449</v>
      </c>
      <c r="E192" s="962"/>
      <c r="F192" s="878"/>
      <c r="G192" s="891" t="s">
        <v>4685</v>
      </c>
      <c r="H192" s="959"/>
      <c r="I192" s="959"/>
      <c r="J192" s="959"/>
      <c r="K192" s="959"/>
      <c r="L192" s="959"/>
      <c r="M192" s="959"/>
      <c r="N192" s="959"/>
      <c r="O192" s="959"/>
      <c r="P192" s="959"/>
      <c r="Q192" s="959"/>
      <c r="R192" s="959"/>
      <c r="S192" s="959"/>
      <c r="T192" s="959"/>
      <c r="U192" s="959"/>
      <c r="V192" s="959"/>
      <c r="W192" s="959"/>
      <c r="X192" s="959"/>
      <c r="Y192" s="959"/>
      <c r="Z192" s="959"/>
      <c r="AA192" s="959"/>
      <c r="AB192" s="959"/>
      <c r="AC192" s="959"/>
      <c r="AD192" s="959"/>
      <c r="AE192" s="959"/>
      <c r="AF192" s="959"/>
      <c r="AG192" s="959"/>
      <c r="AH192" s="959"/>
      <c r="AI192" s="959"/>
      <c r="AJ192" s="959"/>
      <c r="AK192" s="959"/>
      <c r="AL192" s="959"/>
      <c r="AM192" s="959"/>
      <c r="AN192" s="959"/>
      <c r="AO192" s="959"/>
      <c r="AP192" s="959"/>
      <c r="AQ192" s="959"/>
      <c r="AR192" s="959"/>
      <c r="AS192" s="959"/>
      <c r="AT192" s="959"/>
      <c r="AU192" s="959"/>
      <c r="AV192" s="959"/>
      <c r="AW192" s="959"/>
      <c r="AX192" s="959"/>
      <c r="AY192" s="959"/>
      <c r="AZ192" s="959"/>
      <c r="BA192" s="959"/>
      <c r="BB192" s="959"/>
      <c r="BC192" s="959"/>
      <c r="BD192" s="959"/>
      <c r="BE192" s="959"/>
      <c r="BF192" s="959"/>
      <c r="BG192" s="959"/>
      <c r="BH192" s="959"/>
      <c r="BI192" s="959"/>
      <c r="BJ192" s="959"/>
      <c r="BK192" s="959"/>
      <c r="BL192" s="959"/>
      <c r="BM192" s="959"/>
      <c r="BN192" s="959"/>
      <c r="BO192" s="959"/>
      <c r="BP192" s="841"/>
    </row>
    <row r="193" spans="1:68" ht="20.100000000000001" hidden="1" customHeight="1" outlineLevel="1">
      <c r="A193" s="952"/>
      <c r="B193" s="1870"/>
      <c r="C193" s="1922"/>
      <c r="D193" s="1908"/>
      <c r="E193" s="963"/>
      <c r="F193" s="880"/>
      <c r="G193" s="891" t="s">
        <v>4685</v>
      </c>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c r="AG193" s="959"/>
      <c r="AH193" s="959"/>
      <c r="AI193" s="959"/>
      <c r="AJ193" s="959"/>
      <c r="AK193" s="959"/>
      <c r="AL193" s="959"/>
      <c r="AM193" s="959"/>
      <c r="AN193" s="959"/>
      <c r="AO193" s="959"/>
      <c r="AP193" s="959"/>
      <c r="AQ193" s="959"/>
      <c r="AR193" s="959"/>
      <c r="AS193" s="959"/>
      <c r="AT193" s="959"/>
      <c r="AU193" s="959"/>
      <c r="AV193" s="959"/>
      <c r="AW193" s="959"/>
      <c r="AX193" s="959"/>
      <c r="AY193" s="959"/>
      <c r="AZ193" s="959"/>
      <c r="BA193" s="959"/>
      <c r="BB193" s="959"/>
      <c r="BC193" s="959"/>
      <c r="BD193" s="959"/>
      <c r="BE193" s="959"/>
      <c r="BF193" s="959"/>
      <c r="BG193" s="959"/>
      <c r="BH193" s="959"/>
      <c r="BI193" s="959"/>
      <c r="BJ193" s="959"/>
      <c r="BK193" s="959"/>
      <c r="BL193" s="959"/>
      <c r="BM193" s="959"/>
      <c r="BN193" s="959"/>
      <c r="BO193" s="959"/>
      <c r="BP193" s="841"/>
    </row>
    <row r="194" spans="1:68" ht="20.100000000000001" hidden="1" customHeight="1" outlineLevel="1">
      <c r="A194" s="952"/>
      <c r="B194" s="1870"/>
      <c r="C194" s="1922"/>
      <c r="D194" s="961" t="s">
        <v>4254</v>
      </c>
      <c r="E194" s="963"/>
      <c r="F194" s="825"/>
      <c r="G194" s="891" t="s">
        <v>4685</v>
      </c>
      <c r="H194" s="959"/>
      <c r="I194" s="959"/>
      <c r="J194" s="959"/>
      <c r="K194" s="959"/>
      <c r="L194" s="959"/>
      <c r="M194" s="959"/>
      <c r="N194" s="959"/>
      <c r="O194" s="959"/>
      <c r="P194" s="959"/>
      <c r="Q194" s="959"/>
      <c r="R194" s="959"/>
      <c r="S194" s="959"/>
      <c r="T194" s="959"/>
      <c r="U194" s="959"/>
      <c r="V194" s="959"/>
      <c r="W194" s="959"/>
      <c r="X194" s="959"/>
      <c r="Y194" s="959"/>
      <c r="Z194" s="959"/>
      <c r="AA194" s="959"/>
      <c r="AB194" s="959"/>
      <c r="AC194" s="959"/>
      <c r="AD194" s="959"/>
      <c r="AE194" s="959"/>
      <c r="AF194" s="959"/>
      <c r="AG194" s="959"/>
      <c r="AH194" s="959"/>
      <c r="AI194" s="959"/>
      <c r="AJ194" s="959"/>
      <c r="AK194" s="959"/>
      <c r="AL194" s="959"/>
      <c r="AM194" s="959"/>
      <c r="AN194" s="959"/>
      <c r="AO194" s="959"/>
      <c r="AP194" s="959"/>
      <c r="AQ194" s="959"/>
      <c r="AR194" s="959"/>
      <c r="AS194" s="959"/>
      <c r="AT194" s="959"/>
      <c r="AU194" s="959"/>
      <c r="AV194" s="959"/>
      <c r="AW194" s="959"/>
      <c r="AX194" s="959"/>
      <c r="AY194" s="959"/>
      <c r="AZ194" s="959"/>
      <c r="BA194" s="959"/>
      <c r="BB194" s="959"/>
      <c r="BC194" s="959"/>
      <c r="BD194" s="959"/>
      <c r="BE194" s="959"/>
      <c r="BF194" s="959"/>
      <c r="BG194" s="959"/>
      <c r="BH194" s="959"/>
      <c r="BI194" s="959"/>
      <c r="BJ194" s="959"/>
      <c r="BK194" s="959"/>
      <c r="BL194" s="959"/>
      <c r="BM194" s="959"/>
      <c r="BN194" s="959"/>
      <c r="BO194" s="959"/>
      <c r="BP194" s="841"/>
    </row>
    <row r="195" spans="1:68" ht="20.100000000000001" hidden="1" customHeight="1" outlineLevel="1">
      <c r="A195" s="952"/>
      <c r="B195" s="1870"/>
      <c r="C195" s="1922"/>
      <c r="D195" s="961" t="s">
        <v>4255</v>
      </c>
      <c r="E195" s="963"/>
      <c r="F195" s="881"/>
      <c r="G195" s="891" t="s">
        <v>4685</v>
      </c>
      <c r="H195" s="959"/>
      <c r="I195" s="959"/>
      <c r="J195" s="959"/>
      <c r="K195" s="959"/>
      <c r="L195" s="959"/>
      <c r="M195" s="959"/>
      <c r="N195" s="959"/>
      <c r="O195" s="959"/>
      <c r="P195" s="959"/>
      <c r="Q195" s="959"/>
      <c r="R195" s="959"/>
      <c r="S195" s="959"/>
      <c r="T195" s="959"/>
      <c r="U195" s="959"/>
      <c r="V195" s="959"/>
      <c r="W195" s="959"/>
      <c r="X195" s="959"/>
      <c r="Y195" s="959"/>
      <c r="Z195" s="959"/>
      <c r="AA195" s="959"/>
      <c r="AB195" s="959"/>
      <c r="AC195" s="959"/>
      <c r="AD195" s="959"/>
      <c r="AE195" s="959"/>
      <c r="AF195" s="959"/>
      <c r="AG195" s="959"/>
      <c r="AH195" s="959"/>
      <c r="AI195" s="959"/>
      <c r="AJ195" s="959"/>
      <c r="AK195" s="959"/>
      <c r="AL195" s="959"/>
      <c r="AM195" s="959"/>
      <c r="AN195" s="959"/>
      <c r="AO195" s="959"/>
      <c r="AP195" s="959"/>
      <c r="AQ195" s="959"/>
      <c r="AR195" s="959"/>
      <c r="AS195" s="959"/>
      <c r="AT195" s="959"/>
      <c r="AU195" s="959"/>
      <c r="AV195" s="959"/>
      <c r="AW195" s="959"/>
      <c r="AX195" s="959"/>
      <c r="AY195" s="959"/>
      <c r="AZ195" s="959"/>
      <c r="BA195" s="959"/>
      <c r="BB195" s="959"/>
      <c r="BC195" s="959"/>
      <c r="BD195" s="959"/>
      <c r="BE195" s="959"/>
      <c r="BF195" s="959"/>
      <c r="BG195" s="959"/>
      <c r="BH195" s="959"/>
      <c r="BI195" s="959"/>
      <c r="BJ195" s="959"/>
      <c r="BK195" s="959"/>
      <c r="BL195" s="959"/>
      <c r="BM195" s="959"/>
      <c r="BN195" s="959"/>
      <c r="BO195" s="959"/>
      <c r="BP195" s="841"/>
    </row>
    <row r="196" spans="1:68" ht="20.100000000000001" hidden="1" customHeight="1" outlineLevel="1">
      <c r="A196" s="952"/>
      <c r="B196" s="1870"/>
      <c r="C196" s="1922"/>
      <c r="D196" s="961" t="s">
        <v>4256</v>
      </c>
      <c r="E196" s="963"/>
      <c r="F196" s="881"/>
      <c r="G196" s="891" t="s">
        <v>4685</v>
      </c>
      <c r="H196" s="959"/>
      <c r="I196" s="959"/>
      <c r="J196" s="959"/>
      <c r="K196" s="959"/>
      <c r="L196" s="959"/>
      <c r="M196" s="959"/>
      <c r="N196" s="959"/>
      <c r="O196" s="959"/>
      <c r="P196" s="959"/>
      <c r="Q196" s="959"/>
      <c r="R196" s="959"/>
      <c r="S196" s="959"/>
      <c r="T196" s="959"/>
      <c r="U196" s="959"/>
      <c r="V196" s="959"/>
      <c r="W196" s="959"/>
      <c r="X196" s="959"/>
      <c r="Y196" s="959"/>
      <c r="Z196" s="959"/>
      <c r="AA196" s="959"/>
      <c r="AB196" s="959"/>
      <c r="AC196" s="959"/>
      <c r="AD196" s="959"/>
      <c r="AE196" s="959"/>
      <c r="AF196" s="959"/>
      <c r="AG196" s="959"/>
      <c r="AH196" s="959"/>
      <c r="AI196" s="959"/>
      <c r="AJ196" s="959"/>
      <c r="AK196" s="959"/>
      <c r="AL196" s="959"/>
      <c r="AM196" s="959"/>
      <c r="AN196" s="959"/>
      <c r="AO196" s="959"/>
      <c r="AP196" s="959"/>
      <c r="AQ196" s="959"/>
      <c r="AR196" s="959"/>
      <c r="AS196" s="959"/>
      <c r="AT196" s="959"/>
      <c r="AU196" s="959"/>
      <c r="AV196" s="959"/>
      <c r="AW196" s="959"/>
      <c r="AX196" s="959"/>
      <c r="AY196" s="959"/>
      <c r="AZ196" s="959"/>
      <c r="BA196" s="959"/>
      <c r="BB196" s="959"/>
      <c r="BC196" s="959"/>
      <c r="BD196" s="959"/>
      <c r="BE196" s="959"/>
      <c r="BF196" s="959"/>
      <c r="BG196" s="959"/>
      <c r="BH196" s="959"/>
      <c r="BI196" s="959"/>
      <c r="BJ196" s="959"/>
      <c r="BK196" s="959"/>
      <c r="BL196" s="959"/>
      <c r="BM196" s="959"/>
      <c r="BN196" s="959"/>
      <c r="BO196" s="959"/>
      <c r="BP196" s="841"/>
    </row>
    <row r="197" spans="1:68" ht="20.100000000000001" hidden="1" customHeight="1" outlineLevel="1">
      <c r="A197" s="952"/>
      <c r="B197" s="1870"/>
      <c r="C197" s="1922"/>
      <c r="D197" s="961" t="s">
        <v>4257</v>
      </c>
      <c r="E197" s="963"/>
      <c r="F197" s="881"/>
      <c r="G197" s="891" t="s">
        <v>4685</v>
      </c>
      <c r="H197" s="959"/>
      <c r="I197" s="959"/>
      <c r="J197" s="959"/>
      <c r="K197" s="959"/>
      <c r="L197" s="959"/>
      <c r="M197" s="959"/>
      <c r="N197" s="959"/>
      <c r="O197" s="959"/>
      <c r="P197" s="959"/>
      <c r="Q197" s="959"/>
      <c r="R197" s="959"/>
      <c r="S197" s="959"/>
      <c r="T197" s="959"/>
      <c r="U197" s="959"/>
      <c r="V197" s="959"/>
      <c r="W197" s="959"/>
      <c r="X197" s="959"/>
      <c r="Y197" s="959"/>
      <c r="Z197" s="959"/>
      <c r="AA197" s="959"/>
      <c r="AB197" s="959"/>
      <c r="AC197" s="959"/>
      <c r="AD197" s="959"/>
      <c r="AE197" s="959"/>
      <c r="AF197" s="959"/>
      <c r="AG197" s="959"/>
      <c r="AH197" s="959"/>
      <c r="AI197" s="959"/>
      <c r="AJ197" s="959"/>
      <c r="AK197" s="959"/>
      <c r="AL197" s="959"/>
      <c r="AM197" s="959"/>
      <c r="AN197" s="959"/>
      <c r="AO197" s="959"/>
      <c r="AP197" s="959"/>
      <c r="AQ197" s="959"/>
      <c r="AR197" s="959"/>
      <c r="AS197" s="959"/>
      <c r="AT197" s="959"/>
      <c r="AU197" s="959"/>
      <c r="AV197" s="959"/>
      <c r="AW197" s="959"/>
      <c r="AX197" s="959"/>
      <c r="AY197" s="959"/>
      <c r="AZ197" s="959"/>
      <c r="BA197" s="959"/>
      <c r="BB197" s="959"/>
      <c r="BC197" s="959"/>
      <c r="BD197" s="959"/>
      <c r="BE197" s="959"/>
      <c r="BF197" s="959"/>
      <c r="BG197" s="959"/>
      <c r="BH197" s="959"/>
      <c r="BI197" s="959"/>
      <c r="BJ197" s="959"/>
      <c r="BK197" s="959"/>
      <c r="BL197" s="959"/>
      <c r="BM197" s="959"/>
      <c r="BN197" s="959"/>
      <c r="BO197" s="959"/>
      <c r="BP197" s="841"/>
    </row>
    <row r="198" spans="1:68" ht="19.5" customHeight="1" collapsed="1">
      <c r="B198" s="964" t="s">
        <v>4494</v>
      </c>
      <c r="C198" s="878"/>
      <c r="D198" s="913" t="s">
        <v>4495</v>
      </c>
      <c r="E198" s="965"/>
      <c r="F198" s="901" t="s">
        <v>4470</v>
      </c>
      <c r="G198" s="891" t="s">
        <v>4685</v>
      </c>
      <c r="H198" s="959"/>
      <c r="I198" s="959"/>
      <c r="J198" s="959"/>
      <c r="K198" s="959"/>
      <c r="L198" s="966">
        <f ca="1">SUM(L118:L153,L160:L165)</f>
        <v>0</v>
      </c>
      <c r="M198" s="966">
        <f t="shared" ref="M198:BO198" ca="1" si="53">SUM(M118:M153,M160:M165)</f>
        <v>0</v>
      </c>
      <c r="N198" s="966">
        <f t="shared" ca="1" si="53"/>
        <v>0</v>
      </c>
      <c r="O198" s="966">
        <f t="shared" ca="1" si="53"/>
        <v>0</v>
      </c>
      <c r="P198" s="966">
        <f t="shared" ca="1" si="53"/>
        <v>0</v>
      </c>
      <c r="Q198" s="966">
        <f t="shared" ca="1" si="53"/>
        <v>0</v>
      </c>
      <c r="R198" s="966">
        <f t="shared" ca="1" si="53"/>
        <v>0</v>
      </c>
      <c r="S198" s="966">
        <f t="shared" ca="1" si="53"/>
        <v>0</v>
      </c>
      <c r="T198" s="966">
        <f t="shared" ca="1" si="53"/>
        <v>0</v>
      </c>
      <c r="U198" s="966">
        <f t="shared" ca="1" si="53"/>
        <v>0</v>
      </c>
      <c r="V198" s="966">
        <f t="shared" ca="1" si="53"/>
        <v>0</v>
      </c>
      <c r="W198" s="966">
        <f t="shared" ca="1" si="53"/>
        <v>0</v>
      </c>
      <c r="X198" s="966">
        <f t="shared" ca="1" si="53"/>
        <v>0</v>
      </c>
      <c r="Y198" s="966">
        <f t="shared" ca="1" si="53"/>
        <v>0</v>
      </c>
      <c r="Z198" s="966">
        <f t="shared" ca="1" si="53"/>
        <v>0</v>
      </c>
      <c r="AA198" s="966">
        <f t="shared" ca="1" si="53"/>
        <v>0</v>
      </c>
      <c r="AB198" s="966">
        <f t="shared" ca="1" si="53"/>
        <v>0</v>
      </c>
      <c r="AC198" s="966">
        <f t="shared" ca="1" si="53"/>
        <v>0</v>
      </c>
      <c r="AD198" s="966">
        <f t="shared" ca="1" si="53"/>
        <v>0</v>
      </c>
      <c r="AE198" s="966">
        <f t="shared" ca="1" si="53"/>
        <v>0</v>
      </c>
      <c r="AF198" s="966">
        <f t="shared" ca="1" si="53"/>
        <v>0</v>
      </c>
      <c r="AG198" s="966">
        <f t="shared" ca="1" si="53"/>
        <v>0</v>
      </c>
      <c r="AH198" s="966">
        <f t="shared" ca="1" si="53"/>
        <v>0</v>
      </c>
      <c r="AI198" s="966">
        <f t="shared" ca="1" si="53"/>
        <v>0</v>
      </c>
      <c r="AJ198" s="966">
        <f t="shared" ca="1" si="53"/>
        <v>0</v>
      </c>
      <c r="AK198" s="966">
        <f t="shared" ca="1" si="53"/>
        <v>0</v>
      </c>
      <c r="AL198" s="966">
        <f t="shared" ca="1" si="53"/>
        <v>0</v>
      </c>
      <c r="AM198" s="966">
        <f t="shared" ca="1" si="53"/>
        <v>0</v>
      </c>
      <c r="AN198" s="966">
        <f t="shared" ca="1" si="53"/>
        <v>0</v>
      </c>
      <c r="AO198" s="966">
        <f t="shared" ca="1" si="53"/>
        <v>0</v>
      </c>
      <c r="AP198" s="966">
        <f t="shared" ca="1" si="53"/>
        <v>0</v>
      </c>
      <c r="AQ198" s="966">
        <f t="shared" ca="1" si="53"/>
        <v>0</v>
      </c>
      <c r="AR198" s="966">
        <f t="shared" ca="1" si="53"/>
        <v>0</v>
      </c>
      <c r="AS198" s="966">
        <f t="shared" ca="1" si="53"/>
        <v>0</v>
      </c>
      <c r="AT198" s="966">
        <f t="shared" ca="1" si="53"/>
        <v>0</v>
      </c>
      <c r="AU198" s="966">
        <f t="shared" ca="1" si="53"/>
        <v>0</v>
      </c>
      <c r="AV198" s="966">
        <f t="shared" ca="1" si="53"/>
        <v>0</v>
      </c>
      <c r="AW198" s="966">
        <f t="shared" ca="1" si="53"/>
        <v>0</v>
      </c>
      <c r="AX198" s="966">
        <f t="shared" ca="1" si="53"/>
        <v>0</v>
      </c>
      <c r="AY198" s="966">
        <f t="shared" ca="1" si="53"/>
        <v>0</v>
      </c>
      <c r="AZ198" s="966">
        <f t="shared" ca="1" si="53"/>
        <v>0</v>
      </c>
      <c r="BA198" s="966">
        <f t="shared" ca="1" si="53"/>
        <v>0</v>
      </c>
      <c r="BB198" s="966">
        <f t="shared" ca="1" si="53"/>
        <v>0</v>
      </c>
      <c r="BC198" s="966">
        <f t="shared" ca="1" si="53"/>
        <v>0</v>
      </c>
      <c r="BD198" s="966">
        <f t="shared" ca="1" si="53"/>
        <v>0</v>
      </c>
      <c r="BE198" s="966">
        <f t="shared" ca="1" si="53"/>
        <v>0</v>
      </c>
      <c r="BF198" s="966">
        <f t="shared" ca="1" si="53"/>
        <v>0</v>
      </c>
      <c r="BG198" s="966">
        <f t="shared" ca="1" si="53"/>
        <v>0</v>
      </c>
      <c r="BH198" s="966">
        <f t="shared" ca="1" si="53"/>
        <v>0</v>
      </c>
      <c r="BI198" s="966">
        <f t="shared" ca="1" si="53"/>
        <v>0</v>
      </c>
      <c r="BJ198" s="966">
        <f t="shared" ca="1" si="53"/>
        <v>0</v>
      </c>
      <c r="BK198" s="966">
        <f t="shared" ca="1" si="53"/>
        <v>0</v>
      </c>
      <c r="BL198" s="966">
        <f t="shared" ca="1" si="53"/>
        <v>0</v>
      </c>
      <c r="BM198" s="966">
        <f t="shared" ca="1" si="53"/>
        <v>0</v>
      </c>
      <c r="BN198" s="966">
        <f t="shared" ca="1" si="53"/>
        <v>0</v>
      </c>
      <c r="BO198" s="966">
        <f t="shared" ca="1" si="53"/>
        <v>0</v>
      </c>
      <c r="BP198" s="841"/>
    </row>
    <row r="199" spans="1:68" ht="21">
      <c r="B199" s="968" t="s">
        <v>4528</v>
      </c>
      <c r="C199" s="880"/>
      <c r="D199" s="1027" t="s">
        <v>4497</v>
      </c>
      <c r="E199" s="1028"/>
      <c r="F199" s="969" t="s">
        <v>4471</v>
      </c>
      <c r="G199" s="891" t="s">
        <v>4685</v>
      </c>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959"/>
      <c r="AD199" s="959"/>
      <c r="AE199" s="959"/>
      <c r="AF199" s="959"/>
      <c r="AG199" s="959"/>
      <c r="AH199" s="959"/>
      <c r="AI199" s="959"/>
      <c r="AJ199" s="959"/>
      <c r="AK199" s="959"/>
      <c r="AL199" s="959"/>
      <c r="AM199" s="959"/>
      <c r="AN199" s="959"/>
      <c r="AO199" s="959"/>
      <c r="AP199" s="959"/>
      <c r="AQ199" s="959"/>
      <c r="AR199" s="959"/>
      <c r="AS199" s="959"/>
      <c r="AT199" s="959"/>
      <c r="AU199" s="959"/>
      <c r="AV199" s="959"/>
      <c r="AW199" s="959"/>
      <c r="AX199" s="959"/>
      <c r="AY199" s="959"/>
      <c r="AZ199" s="959"/>
      <c r="BA199" s="959"/>
      <c r="BB199" s="959"/>
      <c r="BC199" s="959"/>
      <c r="BD199" s="959"/>
      <c r="BE199" s="959"/>
      <c r="BF199" s="959"/>
      <c r="BG199" s="959"/>
      <c r="BH199" s="959"/>
      <c r="BI199" s="959"/>
      <c r="BJ199" s="959"/>
      <c r="BK199" s="959"/>
      <c r="BL199" s="959"/>
      <c r="BM199" s="959"/>
      <c r="BN199" s="959"/>
      <c r="BO199" s="959"/>
      <c r="BP199" s="841"/>
    </row>
    <row r="200" spans="1:68" ht="21">
      <c r="B200" s="964" t="s">
        <v>4498</v>
      </c>
      <c r="C200" s="878"/>
      <c r="D200" s="913" t="s">
        <v>4499</v>
      </c>
      <c r="E200" s="970"/>
      <c r="F200" s="901" t="s">
        <v>4472</v>
      </c>
      <c r="G200" s="891" t="s">
        <v>4685</v>
      </c>
      <c r="H200" s="959"/>
      <c r="I200" s="959"/>
      <c r="J200" s="959"/>
      <c r="K200" s="959"/>
      <c r="L200" s="954">
        <f t="shared" ref="L200:O200" ca="1" si="54">SUM(L166:L176)</f>
        <v>0</v>
      </c>
      <c r="M200" s="954">
        <f t="shared" ca="1" si="54"/>
        <v>0</v>
      </c>
      <c r="N200" s="954">
        <f t="shared" ca="1" si="54"/>
        <v>0</v>
      </c>
      <c r="O200" s="954">
        <f t="shared" ca="1" si="54"/>
        <v>0</v>
      </c>
      <c r="P200" s="990">
        <f t="shared" ref="P200:S200" ca="1" si="55">SUM(P166:P176)</f>
        <v>0</v>
      </c>
      <c r="Q200" s="990">
        <f t="shared" ca="1" si="55"/>
        <v>0</v>
      </c>
      <c r="R200" s="990">
        <f t="shared" ca="1" si="55"/>
        <v>0</v>
      </c>
      <c r="S200" s="990">
        <f t="shared" ca="1" si="55"/>
        <v>0</v>
      </c>
      <c r="T200" s="990">
        <f ca="1">SUM(T166:T176)</f>
        <v>0</v>
      </c>
      <c r="U200" s="990">
        <f t="shared" ref="U200:BO200" ca="1" si="56">SUM(U166:U176)</f>
        <v>0</v>
      </c>
      <c r="V200" s="990">
        <f t="shared" ca="1" si="56"/>
        <v>0</v>
      </c>
      <c r="W200" s="990">
        <f t="shared" ca="1" si="56"/>
        <v>0</v>
      </c>
      <c r="X200" s="990">
        <f t="shared" ca="1" si="56"/>
        <v>0</v>
      </c>
      <c r="Y200" s="990">
        <f t="shared" ca="1" si="56"/>
        <v>0</v>
      </c>
      <c r="Z200" s="990">
        <f t="shared" ca="1" si="56"/>
        <v>0</v>
      </c>
      <c r="AA200" s="990">
        <f t="shared" ca="1" si="56"/>
        <v>0</v>
      </c>
      <c r="AB200" s="990">
        <f t="shared" ca="1" si="56"/>
        <v>0</v>
      </c>
      <c r="AC200" s="990">
        <f t="shared" ca="1" si="56"/>
        <v>0</v>
      </c>
      <c r="AD200" s="990">
        <f t="shared" ca="1" si="56"/>
        <v>0</v>
      </c>
      <c r="AE200" s="990">
        <f t="shared" ca="1" si="56"/>
        <v>0</v>
      </c>
      <c r="AF200" s="990">
        <f t="shared" ca="1" si="56"/>
        <v>0</v>
      </c>
      <c r="AG200" s="990">
        <f t="shared" ca="1" si="56"/>
        <v>0</v>
      </c>
      <c r="AH200" s="990">
        <f t="shared" ca="1" si="56"/>
        <v>0</v>
      </c>
      <c r="AI200" s="990">
        <f t="shared" ca="1" si="56"/>
        <v>0</v>
      </c>
      <c r="AJ200" s="990">
        <f t="shared" ca="1" si="56"/>
        <v>0</v>
      </c>
      <c r="AK200" s="990">
        <f t="shared" ca="1" si="56"/>
        <v>0</v>
      </c>
      <c r="AL200" s="990">
        <f t="shared" ca="1" si="56"/>
        <v>0</v>
      </c>
      <c r="AM200" s="990">
        <f t="shared" ca="1" si="56"/>
        <v>0</v>
      </c>
      <c r="AN200" s="990">
        <f t="shared" ca="1" si="56"/>
        <v>0</v>
      </c>
      <c r="AO200" s="990">
        <f t="shared" ca="1" si="56"/>
        <v>0</v>
      </c>
      <c r="AP200" s="990">
        <f t="shared" ca="1" si="56"/>
        <v>0</v>
      </c>
      <c r="AQ200" s="990">
        <f t="shared" ca="1" si="56"/>
        <v>0</v>
      </c>
      <c r="AR200" s="990">
        <f t="shared" ca="1" si="56"/>
        <v>0</v>
      </c>
      <c r="AS200" s="990">
        <f t="shared" ca="1" si="56"/>
        <v>0</v>
      </c>
      <c r="AT200" s="990">
        <f t="shared" ca="1" si="56"/>
        <v>0</v>
      </c>
      <c r="AU200" s="990">
        <f t="shared" ca="1" si="56"/>
        <v>0</v>
      </c>
      <c r="AV200" s="990">
        <f t="shared" ca="1" si="56"/>
        <v>0</v>
      </c>
      <c r="AW200" s="990">
        <f t="shared" ca="1" si="56"/>
        <v>0</v>
      </c>
      <c r="AX200" s="990">
        <f t="shared" ca="1" si="56"/>
        <v>0</v>
      </c>
      <c r="AY200" s="990">
        <f t="shared" ca="1" si="56"/>
        <v>0</v>
      </c>
      <c r="AZ200" s="990">
        <f t="shared" ca="1" si="56"/>
        <v>0</v>
      </c>
      <c r="BA200" s="990">
        <f t="shared" ca="1" si="56"/>
        <v>0</v>
      </c>
      <c r="BB200" s="990">
        <f t="shared" ca="1" si="56"/>
        <v>0</v>
      </c>
      <c r="BC200" s="990">
        <f t="shared" ca="1" si="56"/>
        <v>0</v>
      </c>
      <c r="BD200" s="990">
        <f t="shared" ca="1" si="56"/>
        <v>0</v>
      </c>
      <c r="BE200" s="990">
        <f t="shared" ca="1" si="56"/>
        <v>0</v>
      </c>
      <c r="BF200" s="990">
        <f t="shared" ca="1" si="56"/>
        <v>0</v>
      </c>
      <c r="BG200" s="990">
        <f t="shared" ca="1" si="56"/>
        <v>0</v>
      </c>
      <c r="BH200" s="990">
        <f t="shared" ca="1" si="56"/>
        <v>0</v>
      </c>
      <c r="BI200" s="990">
        <f t="shared" ca="1" si="56"/>
        <v>0</v>
      </c>
      <c r="BJ200" s="990">
        <f t="shared" ca="1" si="56"/>
        <v>0</v>
      </c>
      <c r="BK200" s="990">
        <f t="shared" ca="1" si="56"/>
        <v>0</v>
      </c>
      <c r="BL200" s="990">
        <f t="shared" ca="1" si="56"/>
        <v>0</v>
      </c>
      <c r="BM200" s="990">
        <f t="shared" ca="1" si="56"/>
        <v>0</v>
      </c>
      <c r="BN200" s="990">
        <f t="shared" ca="1" si="56"/>
        <v>0</v>
      </c>
      <c r="BO200" s="990">
        <f t="shared" ca="1" si="56"/>
        <v>0</v>
      </c>
      <c r="BP200" s="841"/>
    </row>
    <row r="201" spans="1:68" ht="21">
      <c r="B201" s="968" t="s">
        <v>4528</v>
      </c>
      <c r="C201" s="971"/>
      <c r="D201" s="913" t="s">
        <v>4500</v>
      </c>
      <c r="E201" s="970"/>
      <c r="F201" s="901" t="s">
        <v>4473</v>
      </c>
      <c r="G201" s="891" t="s">
        <v>4685</v>
      </c>
      <c r="H201" s="959"/>
      <c r="I201" s="959"/>
      <c r="J201" s="959"/>
      <c r="K201" s="959"/>
      <c r="L201" s="954">
        <f t="shared" ref="L201:S201" ca="1" si="57">SUM(L177:L181)</f>
        <v>0</v>
      </c>
      <c r="M201" s="954">
        <f t="shared" ca="1" si="57"/>
        <v>0</v>
      </c>
      <c r="N201" s="954">
        <f t="shared" ca="1" si="57"/>
        <v>0</v>
      </c>
      <c r="O201" s="954">
        <f t="shared" ca="1" si="57"/>
        <v>0</v>
      </c>
      <c r="P201" s="990">
        <f t="shared" ca="1" si="57"/>
        <v>0</v>
      </c>
      <c r="Q201" s="990">
        <f t="shared" ca="1" si="57"/>
        <v>0</v>
      </c>
      <c r="R201" s="990">
        <f t="shared" ca="1" si="57"/>
        <v>0</v>
      </c>
      <c r="S201" s="990">
        <f t="shared" ca="1" si="57"/>
        <v>0</v>
      </c>
      <c r="T201" s="990">
        <f ca="1">SUM(T177:T181)</f>
        <v>0</v>
      </c>
      <c r="U201" s="990">
        <f t="shared" ref="U201:BO201" ca="1" si="58">SUM(U177:U181)</f>
        <v>0</v>
      </c>
      <c r="V201" s="990">
        <f t="shared" ca="1" si="58"/>
        <v>0</v>
      </c>
      <c r="W201" s="990">
        <f t="shared" ca="1" si="58"/>
        <v>0</v>
      </c>
      <c r="X201" s="990">
        <f t="shared" ca="1" si="58"/>
        <v>0</v>
      </c>
      <c r="Y201" s="990">
        <f t="shared" ca="1" si="58"/>
        <v>0</v>
      </c>
      <c r="Z201" s="990">
        <f t="shared" ca="1" si="58"/>
        <v>0</v>
      </c>
      <c r="AA201" s="990">
        <f t="shared" ca="1" si="58"/>
        <v>0</v>
      </c>
      <c r="AB201" s="990">
        <f t="shared" ca="1" si="58"/>
        <v>0</v>
      </c>
      <c r="AC201" s="990">
        <f t="shared" ca="1" si="58"/>
        <v>0</v>
      </c>
      <c r="AD201" s="990">
        <f t="shared" ca="1" si="58"/>
        <v>0</v>
      </c>
      <c r="AE201" s="990">
        <f t="shared" ca="1" si="58"/>
        <v>0</v>
      </c>
      <c r="AF201" s="990">
        <f t="shared" ca="1" si="58"/>
        <v>0</v>
      </c>
      <c r="AG201" s="990">
        <f t="shared" ca="1" si="58"/>
        <v>0</v>
      </c>
      <c r="AH201" s="990">
        <f t="shared" ca="1" si="58"/>
        <v>0</v>
      </c>
      <c r="AI201" s="990">
        <f t="shared" ca="1" si="58"/>
        <v>0</v>
      </c>
      <c r="AJ201" s="990">
        <f t="shared" ca="1" si="58"/>
        <v>0</v>
      </c>
      <c r="AK201" s="990">
        <f t="shared" ca="1" si="58"/>
        <v>0</v>
      </c>
      <c r="AL201" s="990">
        <f t="shared" ca="1" si="58"/>
        <v>0</v>
      </c>
      <c r="AM201" s="990">
        <f t="shared" ca="1" si="58"/>
        <v>0</v>
      </c>
      <c r="AN201" s="990">
        <f t="shared" ca="1" si="58"/>
        <v>0</v>
      </c>
      <c r="AO201" s="990">
        <f t="shared" ca="1" si="58"/>
        <v>0</v>
      </c>
      <c r="AP201" s="990">
        <f t="shared" ca="1" si="58"/>
        <v>0</v>
      </c>
      <c r="AQ201" s="990">
        <f t="shared" ca="1" si="58"/>
        <v>0</v>
      </c>
      <c r="AR201" s="990">
        <f t="shared" ca="1" si="58"/>
        <v>0</v>
      </c>
      <c r="AS201" s="990">
        <f t="shared" ca="1" si="58"/>
        <v>0</v>
      </c>
      <c r="AT201" s="990">
        <f t="shared" ca="1" si="58"/>
        <v>0</v>
      </c>
      <c r="AU201" s="990">
        <f t="shared" ca="1" si="58"/>
        <v>0</v>
      </c>
      <c r="AV201" s="990">
        <f t="shared" ca="1" si="58"/>
        <v>0</v>
      </c>
      <c r="AW201" s="990">
        <f t="shared" ca="1" si="58"/>
        <v>0</v>
      </c>
      <c r="AX201" s="990">
        <f t="shared" ca="1" si="58"/>
        <v>0</v>
      </c>
      <c r="AY201" s="990">
        <f t="shared" ca="1" si="58"/>
        <v>0</v>
      </c>
      <c r="AZ201" s="990">
        <f t="shared" ca="1" si="58"/>
        <v>0</v>
      </c>
      <c r="BA201" s="990">
        <f t="shared" ca="1" si="58"/>
        <v>0</v>
      </c>
      <c r="BB201" s="990">
        <f t="shared" ca="1" si="58"/>
        <v>0</v>
      </c>
      <c r="BC201" s="990">
        <f t="shared" ca="1" si="58"/>
        <v>0</v>
      </c>
      <c r="BD201" s="990">
        <f t="shared" ca="1" si="58"/>
        <v>0</v>
      </c>
      <c r="BE201" s="990">
        <f t="shared" ca="1" si="58"/>
        <v>0</v>
      </c>
      <c r="BF201" s="990">
        <f t="shared" ca="1" si="58"/>
        <v>0</v>
      </c>
      <c r="BG201" s="990">
        <f t="shared" ca="1" si="58"/>
        <v>0</v>
      </c>
      <c r="BH201" s="990">
        <f t="shared" ca="1" si="58"/>
        <v>0</v>
      </c>
      <c r="BI201" s="990">
        <f t="shared" ca="1" si="58"/>
        <v>0</v>
      </c>
      <c r="BJ201" s="990">
        <f t="shared" ca="1" si="58"/>
        <v>0</v>
      </c>
      <c r="BK201" s="990">
        <f t="shared" ca="1" si="58"/>
        <v>0</v>
      </c>
      <c r="BL201" s="990">
        <f t="shared" ca="1" si="58"/>
        <v>0</v>
      </c>
      <c r="BM201" s="990">
        <f t="shared" ca="1" si="58"/>
        <v>0</v>
      </c>
      <c r="BN201" s="990">
        <f t="shared" ca="1" si="58"/>
        <v>0</v>
      </c>
      <c r="BO201" s="990">
        <f t="shared" ca="1" si="58"/>
        <v>0</v>
      </c>
      <c r="BP201" s="841"/>
    </row>
    <row r="202" spans="1:68" ht="21">
      <c r="B202" s="972" t="s">
        <v>4529</v>
      </c>
      <c r="C202" s="824"/>
      <c r="D202" s="892"/>
      <c r="E202" s="973"/>
      <c r="F202" s="901" t="s">
        <v>4474</v>
      </c>
      <c r="G202" s="891" t="s">
        <v>4685</v>
      </c>
      <c r="H202" s="959"/>
      <c r="I202" s="959"/>
      <c r="J202" s="959"/>
      <c r="K202" s="959"/>
      <c r="L202" s="966">
        <f t="shared" ref="L202:O202" ca="1" si="59">L406</f>
        <v>0</v>
      </c>
      <c r="M202" s="966">
        <f t="shared" ca="1" si="59"/>
        <v>0</v>
      </c>
      <c r="N202" s="966">
        <f t="shared" ca="1" si="59"/>
        <v>0</v>
      </c>
      <c r="O202" s="966">
        <f t="shared" ca="1" si="59"/>
        <v>0</v>
      </c>
      <c r="P202" s="967">
        <f ca="1">P406</f>
        <v>0</v>
      </c>
      <c r="Q202" s="967">
        <f t="shared" ref="Q202:BO202" ca="1" si="60">Q406</f>
        <v>0</v>
      </c>
      <c r="R202" s="967">
        <f t="shared" ca="1" si="60"/>
        <v>0</v>
      </c>
      <c r="S202" s="967">
        <f t="shared" ca="1" si="60"/>
        <v>0</v>
      </c>
      <c r="T202" s="967">
        <f t="shared" ca="1" si="60"/>
        <v>0</v>
      </c>
      <c r="U202" s="967">
        <f t="shared" ca="1" si="60"/>
        <v>0</v>
      </c>
      <c r="V202" s="967">
        <f t="shared" ca="1" si="60"/>
        <v>0</v>
      </c>
      <c r="W202" s="967">
        <f t="shared" ca="1" si="60"/>
        <v>0</v>
      </c>
      <c r="X202" s="967">
        <f t="shared" ca="1" si="60"/>
        <v>0</v>
      </c>
      <c r="Y202" s="967">
        <f t="shared" ca="1" si="60"/>
        <v>0</v>
      </c>
      <c r="Z202" s="967">
        <f t="shared" ca="1" si="60"/>
        <v>0</v>
      </c>
      <c r="AA202" s="967">
        <f t="shared" ca="1" si="60"/>
        <v>0</v>
      </c>
      <c r="AB202" s="967">
        <f t="shared" ca="1" si="60"/>
        <v>0</v>
      </c>
      <c r="AC202" s="967">
        <f t="shared" ca="1" si="60"/>
        <v>0</v>
      </c>
      <c r="AD202" s="967">
        <f t="shared" ca="1" si="60"/>
        <v>0</v>
      </c>
      <c r="AE202" s="967">
        <f t="shared" ca="1" si="60"/>
        <v>0</v>
      </c>
      <c r="AF202" s="967">
        <f t="shared" ca="1" si="60"/>
        <v>0</v>
      </c>
      <c r="AG202" s="967">
        <f t="shared" ca="1" si="60"/>
        <v>0</v>
      </c>
      <c r="AH202" s="967">
        <f t="shared" ca="1" si="60"/>
        <v>0</v>
      </c>
      <c r="AI202" s="967">
        <f t="shared" ca="1" si="60"/>
        <v>0</v>
      </c>
      <c r="AJ202" s="967">
        <f t="shared" ca="1" si="60"/>
        <v>0</v>
      </c>
      <c r="AK202" s="967">
        <f t="shared" ca="1" si="60"/>
        <v>0</v>
      </c>
      <c r="AL202" s="967">
        <f t="shared" ca="1" si="60"/>
        <v>0</v>
      </c>
      <c r="AM202" s="967">
        <f t="shared" ca="1" si="60"/>
        <v>0</v>
      </c>
      <c r="AN202" s="967">
        <f t="shared" ca="1" si="60"/>
        <v>0</v>
      </c>
      <c r="AO202" s="967">
        <f t="shared" ca="1" si="60"/>
        <v>0</v>
      </c>
      <c r="AP202" s="967">
        <f t="shared" ca="1" si="60"/>
        <v>0</v>
      </c>
      <c r="AQ202" s="967">
        <f t="shared" ca="1" si="60"/>
        <v>0</v>
      </c>
      <c r="AR202" s="967">
        <f t="shared" ca="1" si="60"/>
        <v>0</v>
      </c>
      <c r="AS202" s="967">
        <f t="shared" ca="1" si="60"/>
        <v>0</v>
      </c>
      <c r="AT202" s="967">
        <f t="shared" ca="1" si="60"/>
        <v>0</v>
      </c>
      <c r="AU202" s="967">
        <f t="shared" ca="1" si="60"/>
        <v>0</v>
      </c>
      <c r="AV202" s="967">
        <f t="shared" ca="1" si="60"/>
        <v>0</v>
      </c>
      <c r="AW202" s="967">
        <f t="shared" ca="1" si="60"/>
        <v>0</v>
      </c>
      <c r="AX202" s="967">
        <f t="shared" ca="1" si="60"/>
        <v>0</v>
      </c>
      <c r="AY202" s="967">
        <f t="shared" ca="1" si="60"/>
        <v>0</v>
      </c>
      <c r="AZ202" s="967">
        <f t="shared" ca="1" si="60"/>
        <v>0</v>
      </c>
      <c r="BA202" s="967">
        <f t="shared" ca="1" si="60"/>
        <v>0</v>
      </c>
      <c r="BB202" s="967">
        <f t="shared" ca="1" si="60"/>
        <v>0</v>
      </c>
      <c r="BC202" s="967">
        <f t="shared" ca="1" si="60"/>
        <v>0</v>
      </c>
      <c r="BD202" s="967">
        <f t="shared" ca="1" si="60"/>
        <v>0</v>
      </c>
      <c r="BE202" s="967">
        <f t="shared" ca="1" si="60"/>
        <v>0</v>
      </c>
      <c r="BF202" s="967">
        <f t="shared" ca="1" si="60"/>
        <v>0</v>
      </c>
      <c r="BG202" s="967">
        <f t="shared" ca="1" si="60"/>
        <v>0</v>
      </c>
      <c r="BH202" s="967">
        <f t="shared" ca="1" si="60"/>
        <v>0</v>
      </c>
      <c r="BI202" s="967">
        <f t="shared" ca="1" si="60"/>
        <v>0</v>
      </c>
      <c r="BJ202" s="967">
        <f t="shared" ca="1" si="60"/>
        <v>0</v>
      </c>
      <c r="BK202" s="967">
        <f t="shared" ca="1" si="60"/>
        <v>0</v>
      </c>
      <c r="BL202" s="967">
        <f t="shared" ca="1" si="60"/>
        <v>0</v>
      </c>
      <c r="BM202" s="967">
        <f t="shared" ca="1" si="60"/>
        <v>0</v>
      </c>
      <c r="BN202" s="967">
        <f t="shared" ca="1" si="60"/>
        <v>0</v>
      </c>
      <c r="BO202" s="967">
        <f t="shared" ca="1" si="60"/>
        <v>0</v>
      </c>
      <c r="BP202" s="841"/>
    </row>
    <row r="203" spans="1:68" ht="21" customHeight="1">
      <c r="B203" s="1935" t="s">
        <v>4502</v>
      </c>
      <c r="C203" s="1912" t="s">
        <v>4503</v>
      </c>
      <c r="D203" s="974" t="s">
        <v>4504</v>
      </c>
      <c r="E203" s="975"/>
      <c r="F203" s="849" t="s">
        <v>4475</v>
      </c>
      <c r="G203" s="891" t="s">
        <v>4685</v>
      </c>
      <c r="H203" s="959"/>
      <c r="I203" s="959"/>
      <c r="J203" s="959"/>
      <c r="K203" s="959"/>
      <c r="L203" s="967">
        <f t="shared" ref="L203:W218" ca="1" si="61">L93</f>
        <v>0</v>
      </c>
      <c r="M203" s="967">
        <f t="shared" ca="1" si="61"/>
        <v>0</v>
      </c>
      <c r="N203" s="967">
        <f t="shared" ca="1" si="61"/>
        <v>0</v>
      </c>
      <c r="O203" s="967">
        <f t="shared" ca="1" si="61"/>
        <v>0</v>
      </c>
      <c r="P203" s="967">
        <f t="shared" ca="1" si="61"/>
        <v>0</v>
      </c>
      <c r="Q203" s="967">
        <f t="shared" ca="1" si="61"/>
        <v>0</v>
      </c>
      <c r="R203" s="967">
        <f t="shared" ca="1" si="61"/>
        <v>0</v>
      </c>
      <c r="S203" s="967">
        <f t="shared" ca="1" si="61"/>
        <v>0</v>
      </c>
      <c r="T203" s="967">
        <f t="shared" ca="1" si="61"/>
        <v>0</v>
      </c>
      <c r="U203" s="967">
        <f t="shared" ca="1" si="61"/>
        <v>0</v>
      </c>
      <c r="V203" s="967">
        <f t="shared" ca="1" si="61"/>
        <v>0</v>
      </c>
      <c r="W203" s="967">
        <f t="shared" ca="1" si="61"/>
        <v>0</v>
      </c>
      <c r="X203" s="959"/>
      <c r="Y203" s="959"/>
      <c r="Z203" s="959"/>
      <c r="AA203" s="959"/>
      <c r="AB203" s="959"/>
      <c r="AC203" s="959"/>
      <c r="AD203" s="959"/>
      <c r="AE203" s="959"/>
      <c r="AF203" s="959"/>
      <c r="AG203" s="959"/>
      <c r="AH203" s="959"/>
      <c r="AI203" s="959"/>
      <c r="AJ203" s="959"/>
      <c r="AK203" s="959"/>
      <c r="AL203" s="959"/>
      <c r="AM203" s="959"/>
      <c r="AN203" s="959"/>
      <c r="AO203" s="959"/>
      <c r="AP203" s="959"/>
      <c r="AQ203" s="959"/>
      <c r="AR203" s="959"/>
      <c r="AS203" s="959"/>
      <c r="AT203" s="959"/>
      <c r="AU203" s="959"/>
      <c r="AV203" s="959"/>
      <c r="AW203" s="959"/>
      <c r="AX203" s="959"/>
      <c r="AY203" s="959"/>
      <c r="AZ203" s="959"/>
      <c r="BA203" s="959"/>
      <c r="BB203" s="959"/>
      <c r="BC203" s="959"/>
      <c r="BD203" s="959"/>
      <c r="BE203" s="959"/>
      <c r="BF203" s="959"/>
      <c r="BG203" s="959"/>
      <c r="BH203" s="959"/>
      <c r="BI203" s="959"/>
      <c r="BJ203" s="959"/>
      <c r="BK203" s="959"/>
      <c r="BL203" s="959"/>
      <c r="BM203" s="959"/>
      <c r="BN203" s="959"/>
      <c r="BO203" s="959"/>
      <c r="BP203" s="841"/>
    </row>
    <row r="204" spans="1:68" ht="21" customHeight="1">
      <c r="B204" s="1936"/>
      <c r="C204" s="1913"/>
      <c r="D204" s="974" t="s">
        <v>4505</v>
      </c>
      <c r="E204" s="975"/>
      <c r="F204" s="849" t="s">
        <v>4476</v>
      </c>
      <c r="G204" s="891" t="s">
        <v>4685</v>
      </c>
      <c r="H204" s="959"/>
      <c r="I204" s="959"/>
      <c r="J204" s="959"/>
      <c r="K204" s="959"/>
      <c r="L204" s="967">
        <f t="shared" ca="1" si="61"/>
        <v>0</v>
      </c>
      <c r="M204" s="967">
        <f t="shared" ca="1" si="61"/>
        <v>0</v>
      </c>
      <c r="N204" s="967">
        <f t="shared" ca="1" si="61"/>
        <v>0</v>
      </c>
      <c r="O204" s="967">
        <f t="shared" ca="1" si="61"/>
        <v>0</v>
      </c>
      <c r="P204" s="967">
        <f t="shared" ca="1" si="61"/>
        <v>0</v>
      </c>
      <c r="Q204" s="967">
        <f t="shared" ca="1" si="61"/>
        <v>0</v>
      </c>
      <c r="R204" s="967">
        <f t="shared" ca="1" si="61"/>
        <v>0</v>
      </c>
      <c r="S204" s="967">
        <f t="shared" ca="1" si="61"/>
        <v>0</v>
      </c>
      <c r="T204" s="967">
        <f t="shared" ca="1" si="61"/>
        <v>0</v>
      </c>
      <c r="U204" s="967">
        <f t="shared" ca="1" si="61"/>
        <v>0</v>
      </c>
      <c r="V204" s="967">
        <f t="shared" ca="1" si="61"/>
        <v>0</v>
      </c>
      <c r="W204" s="967">
        <f t="shared" ca="1" si="61"/>
        <v>0</v>
      </c>
      <c r="X204" s="959"/>
      <c r="Y204" s="959"/>
      <c r="Z204" s="959"/>
      <c r="AA204" s="959"/>
      <c r="AB204" s="959"/>
      <c r="AC204" s="959"/>
      <c r="AD204" s="959"/>
      <c r="AE204" s="959"/>
      <c r="AF204" s="959"/>
      <c r="AG204" s="959"/>
      <c r="AH204" s="959"/>
      <c r="AI204" s="959"/>
      <c r="AJ204" s="959"/>
      <c r="AK204" s="959"/>
      <c r="AL204" s="959"/>
      <c r="AM204" s="959"/>
      <c r="AN204" s="959"/>
      <c r="AO204" s="959"/>
      <c r="AP204" s="959"/>
      <c r="AQ204" s="959"/>
      <c r="AR204" s="959"/>
      <c r="AS204" s="959"/>
      <c r="AT204" s="959"/>
      <c r="AU204" s="959"/>
      <c r="AV204" s="959"/>
      <c r="AW204" s="959"/>
      <c r="AX204" s="959"/>
      <c r="AY204" s="959"/>
      <c r="AZ204" s="959"/>
      <c r="BA204" s="959"/>
      <c r="BB204" s="959"/>
      <c r="BC204" s="959"/>
      <c r="BD204" s="959"/>
      <c r="BE204" s="959"/>
      <c r="BF204" s="959"/>
      <c r="BG204" s="959"/>
      <c r="BH204" s="959"/>
      <c r="BI204" s="959"/>
      <c r="BJ204" s="959"/>
      <c r="BK204" s="959"/>
      <c r="BL204" s="959"/>
      <c r="BM204" s="959"/>
      <c r="BN204" s="959"/>
      <c r="BO204" s="959"/>
      <c r="BP204" s="841"/>
    </row>
    <row r="205" spans="1:68" ht="21">
      <c r="B205" s="1936"/>
      <c r="C205" s="1913"/>
      <c r="D205" s="1915" t="s">
        <v>4506</v>
      </c>
      <c r="E205" s="982" t="s">
        <v>4507</v>
      </c>
      <c r="F205" s="987" t="s">
        <v>4477</v>
      </c>
      <c r="G205" s="977" t="s">
        <v>4686</v>
      </c>
      <c r="H205" s="959"/>
      <c r="I205" s="959"/>
      <c r="J205" s="959"/>
      <c r="K205" s="959"/>
      <c r="L205" s="967">
        <f t="shared" ca="1" si="61"/>
        <v>0</v>
      </c>
      <c r="M205" s="967">
        <f t="shared" ca="1" si="61"/>
        <v>0</v>
      </c>
      <c r="N205" s="967">
        <f t="shared" ca="1" si="61"/>
        <v>0</v>
      </c>
      <c r="O205" s="967">
        <f t="shared" ca="1" si="61"/>
        <v>0</v>
      </c>
      <c r="P205" s="967">
        <f t="shared" ca="1" si="61"/>
        <v>0</v>
      </c>
      <c r="Q205" s="967">
        <f t="shared" ca="1" si="61"/>
        <v>0</v>
      </c>
      <c r="R205" s="967">
        <f t="shared" ca="1" si="61"/>
        <v>0</v>
      </c>
      <c r="S205" s="967">
        <f t="shared" ca="1" si="61"/>
        <v>0</v>
      </c>
      <c r="T205" s="967">
        <f t="shared" ca="1" si="61"/>
        <v>0</v>
      </c>
      <c r="U205" s="967">
        <f t="shared" ca="1" si="61"/>
        <v>0</v>
      </c>
      <c r="V205" s="967">
        <f t="shared" ca="1" si="61"/>
        <v>0</v>
      </c>
      <c r="W205" s="967">
        <f t="shared" ca="1" si="61"/>
        <v>0</v>
      </c>
      <c r="X205" s="959"/>
      <c r="Y205" s="959"/>
      <c r="Z205" s="959"/>
      <c r="AA205" s="959"/>
      <c r="AB205" s="959"/>
      <c r="AC205" s="959"/>
      <c r="AD205" s="959"/>
      <c r="AE205" s="959"/>
      <c r="AF205" s="959"/>
      <c r="AG205" s="959"/>
      <c r="AH205" s="959"/>
      <c r="AI205" s="959"/>
      <c r="AJ205" s="959"/>
      <c r="AK205" s="959"/>
      <c r="AL205" s="959"/>
      <c r="AM205" s="959"/>
      <c r="AN205" s="959"/>
      <c r="AO205" s="959"/>
      <c r="AP205" s="959"/>
      <c r="AQ205" s="959"/>
      <c r="AR205" s="959"/>
      <c r="AS205" s="959"/>
      <c r="AT205" s="959"/>
      <c r="AU205" s="959"/>
      <c r="AV205" s="959"/>
      <c r="AW205" s="959"/>
      <c r="AX205" s="959"/>
      <c r="AY205" s="959"/>
      <c r="AZ205" s="959"/>
      <c r="BA205" s="959"/>
      <c r="BB205" s="959"/>
      <c r="BC205" s="959"/>
      <c r="BD205" s="959"/>
      <c r="BE205" s="959"/>
      <c r="BF205" s="959"/>
      <c r="BG205" s="959"/>
      <c r="BH205" s="959"/>
      <c r="BI205" s="959"/>
      <c r="BJ205" s="959"/>
      <c r="BK205" s="959"/>
      <c r="BL205" s="959"/>
      <c r="BM205" s="959"/>
      <c r="BN205" s="959"/>
      <c r="BO205" s="959"/>
      <c r="BP205" s="841"/>
    </row>
    <row r="206" spans="1:68">
      <c r="B206" s="1936"/>
      <c r="C206" s="1913"/>
      <c r="D206" s="1916"/>
      <c r="E206" s="984"/>
      <c r="F206" s="1029"/>
      <c r="G206" s="977" t="s">
        <v>4508</v>
      </c>
      <c r="H206" s="959"/>
      <c r="I206" s="959"/>
      <c r="J206" s="959"/>
      <c r="K206" s="959"/>
      <c r="L206" s="967">
        <f t="shared" ca="1" si="61"/>
        <v>0</v>
      </c>
      <c r="M206" s="967">
        <f t="shared" ca="1" si="61"/>
        <v>0</v>
      </c>
      <c r="N206" s="967">
        <f t="shared" ca="1" si="61"/>
        <v>0</v>
      </c>
      <c r="O206" s="967">
        <f t="shared" ca="1" si="61"/>
        <v>0</v>
      </c>
      <c r="P206" s="967">
        <f t="shared" ca="1" si="61"/>
        <v>0</v>
      </c>
      <c r="Q206" s="967">
        <f t="shared" ca="1" si="61"/>
        <v>0</v>
      </c>
      <c r="R206" s="967">
        <f t="shared" ca="1" si="61"/>
        <v>0</v>
      </c>
      <c r="S206" s="967">
        <f t="shared" ca="1" si="61"/>
        <v>0</v>
      </c>
      <c r="T206" s="967">
        <f t="shared" ca="1" si="61"/>
        <v>0</v>
      </c>
      <c r="U206" s="967">
        <f t="shared" ca="1" si="61"/>
        <v>0</v>
      </c>
      <c r="V206" s="967">
        <f t="shared" ca="1" si="61"/>
        <v>0</v>
      </c>
      <c r="W206" s="967">
        <f t="shared" ca="1" si="61"/>
        <v>0</v>
      </c>
      <c r="X206" s="959"/>
      <c r="Y206" s="959"/>
      <c r="Z206" s="959"/>
      <c r="AA206" s="959"/>
      <c r="AB206" s="959"/>
      <c r="AC206" s="959"/>
      <c r="AD206" s="959"/>
      <c r="AE206" s="959"/>
      <c r="AF206" s="959"/>
      <c r="AG206" s="959"/>
      <c r="AH206" s="959"/>
      <c r="AI206" s="959"/>
      <c r="AJ206" s="959"/>
      <c r="AK206" s="959"/>
      <c r="AL206" s="959"/>
      <c r="AM206" s="959"/>
      <c r="AN206" s="959"/>
      <c r="AO206" s="959"/>
      <c r="AP206" s="959"/>
      <c r="AQ206" s="959"/>
      <c r="AR206" s="959"/>
      <c r="AS206" s="959"/>
      <c r="AT206" s="959"/>
      <c r="AU206" s="959"/>
      <c r="AV206" s="959"/>
      <c r="AW206" s="959"/>
      <c r="AX206" s="959"/>
      <c r="AY206" s="959"/>
      <c r="AZ206" s="959"/>
      <c r="BA206" s="959"/>
      <c r="BB206" s="959"/>
      <c r="BC206" s="959"/>
      <c r="BD206" s="959"/>
      <c r="BE206" s="959"/>
      <c r="BF206" s="959"/>
      <c r="BG206" s="959"/>
      <c r="BH206" s="959"/>
      <c r="BI206" s="959"/>
      <c r="BJ206" s="959"/>
      <c r="BK206" s="959"/>
      <c r="BL206" s="959"/>
      <c r="BM206" s="959"/>
      <c r="BN206" s="959"/>
      <c r="BO206" s="959"/>
      <c r="BP206" s="841"/>
    </row>
    <row r="207" spans="1:68" ht="21" customHeight="1">
      <c r="B207" s="1936"/>
      <c r="C207" s="1913"/>
      <c r="D207" s="1916"/>
      <c r="E207" s="982" t="s">
        <v>4509</v>
      </c>
      <c r="F207" s="987" t="s">
        <v>4457</v>
      </c>
      <c r="G207" s="891" t="s">
        <v>4685</v>
      </c>
      <c r="H207" s="959"/>
      <c r="I207" s="959"/>
      <c r="J207" s="959"/>
      <c r="K207" s="959"/>
      <c r="L207" s="967">
        <f t="shared" ca="1" si="61"/>
        <v>0</v>
      </c>
      <c r="M207" s="967">
        <f t="shared" ca="1" si="61"/>
        <v>0</v>
      </c>
      <c r="N207" s="967">
        <f t="shared" ca="1" si="61"/>
        <v>0</v>
      </c>
      <c r="O207" s="967">
        <f t="shared" ca="1" si="61"/>
        <v>0</v>
      </c>
      <c r="P207" s="967">
        <f t="shared" ca="1" si="61"/>
        <v>0</v>
      </c>
      <c r="Q207" s="967">
        <f t="shared" ca="1" si="61"/>
        <v>0</v>
      </c>
      <c r="R207" s="967">
        <f t="shared" ca="1" si="61"/>
        <v>0</v>
      </c>
      <c r="S207" s="967">
        <f t="shared" ca="1" si="61"/>
        <v>0</v>
      </c>
      <c r="T207" s="967">
        <f t="shared" ca="1" si="61"/>
        <v>0</v>
      </c>
      <c r="U207" s="967">
        <f t="shared" ca="1" si="61"/>
        <v>0</v>
      </c>
      <c r="V207" s="967">
        <f t="shared" ca="1" si="61"/>
        <v>0</v>
      </c>
      <c r="W207" s="967">
        <f t="shared" ca="1" si="61"/>
        <v>0</v>
      </c>
      <c r="X207" s="959"/>
      <c r="Y207" s="959"/>
      <c r="Z207" s="959"/>
      <c r="AA207" s="959"/>
      <c r="AB207" s="959"/>
      <c r="AC207" s="959"/>
      <c r="AD207" s="959"/>
      <c r="AE207" s="959"/>
      <c r="AF207" s="959"/>
      <c r="AG207" s="959"/>
      <c r="AH207" s="959"/>
      <c r="AI207" s="959"/>
      <c r="AJ207" s="959"/>
      <c r="AK207" s="959"/>
      <c r="AL207" s="959"/>
      <c r="AM207" s="959"/>
      <c r="AN207" s="959"/>
      <c r="AO207" s="959"/>
      <c r="AP207" s="959"/>
      <c r="AQ207" s="959"/>
      <c r="AR207" s="959"/>
      <c r="AS207" s="959"/>
      <c r="AT207" s="959"/>
      <c r="AU207" s="959"/>
      <c r="AV207" s="959"/>
      <c r="AW207" s="959"/>
      <c r="AX207" s="959"/>
      <c r="AY207" s="959"/>
      <c r="AZ207" s="959"/>
      <c r="BA207" s="959"/>
      <c r="BB207" s="959"/>
      <c r="BC207" s="959"/>
      <c r="BD207" s="959"/>
      <c r="BE207" s="959"/>
      <c r="BF207" s="959"/>
      <c r="BG207" s="959"/>
      <c r="BH207" s="959"/>
      <c r="BI207" s="959"/>
      <c r="BJ207" s="959"/>
      <c r="BK207" s="959"/>
      <c r="BL207" s="959"/>
      <c r="BM207" s="959"/>
      <c r="BN207" s="959"/>
      <c r="BO207" s="959"/>
      <c r="BP207" s="841"/>
    </row>
    <row r="208" spans="1:68" ht="21" customHeight="1">
      <c r="B208" s="1936"/>
      <c r="C208" s="1913"/>
      <c r="D208" s="1916"/>
      <c r="E208" s="984"/>
      <c r="F208" s="1029"/>
      <c r="G208" s="891" t="s">
        <v>4451</v>
      </c>
      <c r="H208" s="959"/>
      <c r="I208" s="959"/>
      <c r="J208" s="959"/>
      <c r="K208" s="959"/>
      <c r="L208" s="967">
        <f t="shared" ca="1" si="61"/>
        <v>0</v>
      </c>
      <c r="M208" s="967">
        <f t="shared" ca="1" si="61"/>
        <v>0</v>
      </c>
      <c r="N208" s="967">
        <f t="shared" ca="1" si="61"/>
        <v>0</v>
      </c>
      <c r="O208" s="967">
        <f t="shared" ca="1" si="61"/>
        <v>0</v>
      </c>
      <c r="P208" s="967">
        <f t="shared" ca="1" si="61"/>
        <v>0</v>
      </c>
      <c r="Q208" s="967">
        <f t="shared" ca="1" si="61"/>
        <v>0</v>
      </c>
      <c r="R208" s="967">
        <f t="shared" ca="1" si="61"/>
        <v>0</v>
      </c>
      <c r="S208" s="967">
        <f t="shared" ca="1" si="61"/>
        <v>0</v>
      </c>
      <c r="T208" s="967">
        <f t="shared" ca="1" si="61"/>
        <v>0</v>
      </c>
      <c r="U208" s="967">
        <f t="shared" ca="1" si="61"/>
        <v>0</v>
      </c>
      <c r="V208" s="967">
        <f t="shared" ca="1" si="61"/>
        <v>0</v>
      </c>
      <c r="W208" s="967">
        <f t="shared" ca="1" si="61"/>
        <v>0</v>
      </c>
      <c r="X208" s="959"/>
      <c r="Y208" s="959"/>
      <c r="Z208" s="959"/>
      <c r="AA208" s="959"/>
      <c r="AB208" s="959"/>
      <c r="AC208" s="959"/>
      <c r="AD208" s="959"/>
      <c r="AE208" s="959"/>
      <c r="AF208" s="959"/>
      <c r="AG208" s="959"/>
      <c r="AH208" s="959"/>
      <c r="AI208" s="959"/>
      <c r="AJ208" s="959"/>
      <c r="AK208" s="959"/>
      <c r="AL208" s="959"/>
      <c r="AM208" s="959"/>
      <c r="AN208" s="959"/>
      <c r="AO208" s="959"/>
      <c r="AP208" s="959"/>
      <c r="AQ208" s="959"/>
      <c r="AR208" s="959"/>
      <c r="AS208" s="959"/>
      <c r="AT208" s="959"/>
      <c r="AU208" s="959"/>
      <c r="AV208" s="959"/>
      <c r="AW208" s="959"/>
      <c r="AX208" s="959"/>
      <c r="AY208" s="959"/>
      <c r="AZ208" s="959"/>
      <c r="BA208" s="959"/>
      <c r="BB208" s="959"/>
      <c r="BC208" s="959"/>
      <c r="BD208" s="959"/>
      <c r="BE208" s="959"/>
      <c r="BF208" s="959"/>
      <c r="BG208" s="959"/>
      <c r="BH208" s="959"/>
      <c r="BI208" s="959"/>
      <c r="BJ208" s="959"/>
      <c r="BK208" s="959"/>
      <c r="BL208" s="959"/>
      <c r="BM208" s="959"/>
      <c r="BN208" s="959"/>
      <c r="BO208" s="959"/>
      <c r="BP208" s="841"/>
    </row>
    <row r="209" spans="2:68" ht="21">
      <c r="B209" s="1936"/>
      <c r="C209" s="1913"/>
      <c r="D209" s="1917"/>
      <c r="E209" s="1030" t="s">
        <v>4510</v>
      </c>
      <c r="F209" s="849" t="s">
        <v>4459</v>
      </c>
      <c r="G209" s="891" t="s">
        <v>4685</v>
      </c>
      <c r="H209" s="959"/>
      <c r="I209" s="959"/>
      <c r="J209" s="959"/>
      <c r="K209" s="959"/>
      <c r="L209" s="967">
        <f t="shared" ca="1" si="61"/>
        <v>0</v>
      </c>
      <c r="M209" s="967">
        <f t="shared" ca="1" si="61"/>
        <v>0</v>
      </c>
      <c r="N209" s="967">
        <f t="shared" ca="1" si="61"/>
        <v>0</v>
      </c>
      <c r="O209" s="967">
        <f t="shared" ca="1" si="61"/>
        <v>0</v>
      </c>
      <c r="P209" s="967">
        <f t="shared" ca="1" si="61"/>
        <v>0</v>
      </c>
      <c r="Q209" s="967">
        <f t="shared" ca="1" si="61"/>
        <v>0</v>
      </c>
      <c r="R209" s="967">
        <f t="shared" ca="1" si="61"/>
        <v>0</v>
      </c>
      <c r="S209" s="967">
        <f t="shared" ca="1" si="61"/>
        <v>0</v>
      </c>
      <c r="T209" s="967">
        <f t="shared" ca="1" si="61"/>
        <v>0</v>
      </c>
      <c r="U209" s="967">
        <f t="shared" ca="1" si="61"/>
        <v>0</v>
      </c>
      <c r="V209" s="967">
        <f t="shared" ca="1" si="61"/>
        <v>0</v>
      </c>
      <c r="W209" s="967">
        <f t="shared" ca="1" si="61"/>
        <v>0</v>
      </c>
      <c r="X209" s="959"/>
      <c r="Y209" s="959"/>
      <c r="Z209" s="959"/>
      <c r="AA209" s="959"/>
      <c r="AB209" s="959"/>
      <c r="AC209" s="959"/>
      <c r="AD209" s="959"/>
      <c r="AE209" s="959"/>
      <c r="AF209" s="959"/>
      <c r="AG209" s="959"/>
      <c r="AH209" s="959"/>
      <c r="AI209" s="959"/>
      <c r="AJ209" s="959"/>
      <c r="AK209" s="959"/>
      <c r="AL209" s="959"/>
      <c r="AM209" s="959"/>
      <c r="AN209" s="959"/>
      <c r="AO209" s="959"/>
      <c r="AP209" s="959"/>
      <c r="AQ209" s="959"/>
      <c r="AR209" s="959"/>
      <c r="AS209" s="959"/>
      <c r="AT209" s="959"/>
      <c r="AU209" s="959"/>
      <c r="AV209" s="959"/>
      <c r="AW209" s="959"/>
      <c r="AX209" s="959"/>
      <c r="AY209" s="959"/>
      <c r="AZ209" s="959"/>
      <c r="BA209" s="959"/>
      <c r="BB209" s="959"/>
      <c r="BC209" s="959"/>
      <c r="BD209" s="959"/>
      <c r="BE209" s="959"/>
      <c r="BF209" s="959"/>
      <c r="BG209" s="959"/>
      <c r="BH209" s="959"/>
      <c r="BI209" s="959"/>
      <c r="BJ209" s="959"/>
      <c r="BK209" s="959"/>
      <c r="BL209" s="959"/>
      <c r="BM209" s="959"/>
      <c r="BN209" s="959"/>
      <c r="BO209" s="959"/>
      <c r="BP209" s="841"/>
    </row>
    <row r="210" spans="2:68" ht="21">
      <c r="B210" s="1936"/>
      <c r="C210" s="1913"/>
      <c r="D210" s="1918" t="s">
        <v>4511</v>
      </c>
      <c r="E210" s="1031" t="s">
        <v>4512</v>
      </c>
      <c r="F210" s="987" t="s">
        <v>4530</v>
      </c>
      <c r="G210" s="891" t="s">
        <v>4685</v>
      </c>
      <c r="H210" s="959"/>
      <c r="I210" s="959"/>
      <c r="J210" s="959"/>
      <c r="K210" s="959"/>
      <c r="L210" s="967">
        <f t="shared" ca="1" si="61"/>
        <v>0</v>
      </c>
      <c r="M210" s="967">
        <f t="shared" ca="1" si="61"/>
        <v>0</v>
      </c>
      <c r="N210" s="967">
        <f t="shared" ca="1" si="61"/>
        <v>0</v>
      </c>
      <c r="O210" s="967">
        <f t="shared" ca="1" si="61"/>
        <v>0</v>
      </c>
      <c r="P210" s="967">
        <f t="shared" ca="1" si="61"/>
        <v>0</v>
      </c>
      <c r="Q210" s="967">
        <f t="shared" ca="1" si="61"/>
        <v>0</v>
      </c>
      <c r="R210" s="967">
        <f t="shared" ca="1" si="61"/>
        <v>0</v>
      </c>
      <c r="S210" s="967">
        <f t="shared" ca="1" si="61"/>
        <v>0</v>
      </c>
      <c r="T210" s="967">
        <f t="shared" ca="1" si="61"/>
        <v>0</v>
      </c>
      <c r="U210" s="967">
        <f t="shared" ca="1" si="61"/>
        <v>0</v>
      </c>
      <c r="V210" s="967">
        <f t="shared" ca="1" si="61"/>
        <v>0</v>
      </c>
      <c r="W210" s="967">
        <f t="shared" ca="1" si="61"/>
        <v>0</v>
      </c>
      <c r="X210" s="959"/>
      <c r="Y210" s="959"/>
      <c r="Z210" s="959"/>
      <c r="AA210" s="959"/>
      <c r="AB210" s="959"/>
      <c r="AC210" s="959"/>
      <c r="AD210" s="959"/>
      <c r="AE210" s="959"/>
      <c r="AF210" s="959"/>
      <c r="AG210" s="959"/>
      <c r="AH210" s="959"/>
      <c r="AI210" s="959"/>
      <c r="AJ210" s="959"/>
      <c r="AK210" s="959"/>
      <c r="AL210" s="959"/>
      <c r="AM210" s="959"/>
      <c r="AN210" s="959"/>
      <c r="AO210" s="959"/>
      <c r="AP210" s="959"/>
      <c r="AQ210" s="959"/>
      <c r="AR210" s="959"/>
      <c r="AS210" s="959"/>
      <c r="AT210" s="959"/>
      <c r="AU210" s="959"/>
      <c r="AV210" s="959"/>
      <c r="AW210" s="959"/>
      <c r="AX210" s="959"/>
      <c r="AY210" s="959"/>
      <c r="AZ210" s="959"/>
      <c r="BA210" s="959"/>
      <c r="BB210" s="959"/>
      <c r="BC210" s="959"/>
      <c r="BD210" s="959"/>
      <c r="BE210" s="959"/>
      <c r="BF210" s="959"/>
      <c r="BG210" s="959"/>
      <c r="BH210" s="959"/>
      <c r="BI210" s="959"/>
      <c r="BJ210" s="959"/>
      <c r="BK210" s="959"/>
      <c r="BL210" s="959"/>
      <c r="BM210" s="959"/>
      <c r="BN210" s="959"/>
      <c r="BO210" s="959"/>
      <c r="BP210" s="841"/>
    </row>
    <row r="211" spans="2:68">
      <c r="B211" s="1936"/>
      <c r="C211" s="1913"/>
      <c r="D211" s="1919"/>
      <c r="E211" s="992"/>
      <c r="F211" s="1029"/>
      <c r="G211" s="977" t="s">
        <v>4508</v>
      </c>
      <c r="H211" s="959"/>
      <c r="I211" s="959"/>
      <c r="J211" s="959"/>
      <c r="K211" s="959"/>
      <c r="L211" s="967">
        <f t="shared" ca="1" si="61"/>
        <v>0</v>
      </c>
      <c r="M211" s="967">
        <f t="shared" ca="1" si="61"/>
        <v>0</v>
      </c>
      <c r="N211" s="967">
        <f t="shared" ca="1" si="61"/>
        <v>0</v>
      </c>
      <c r="O211" s="967">
        <f t="shared" ca="1" si="61"/>
        <v>0</v>
      </c>
      <c r="P211" s="967">
        <f t="shared" ca="1" si="61"/>
        <v>0</v>
      </c>
      <c r="Q211" s="967">
        <f t="shared" ca="1" si="61"/>
        <v>0</v>
      </c>
      <c r="R211" s="967">
        <f t="shared" ca="1" si="61"/>
        <v>0</v>
      </c>
      <c r="S211" s="967">
        <f t="shared" ca="1" si="61"/>
        <v>0</v>
      </c>
      <c r="T211" s="967">
        <f t="shared" ca="1" si="61"/>
        <v>0</v>
      </c>
      <c r="U211" s="967">
        <f t="shared" ca="1" si="61"/>
        <v>0</v>
      </c>
      <c r="V211" s="967">
        <f t="shared" ca="1" si="61"/>
        <v>0</v>
      </c>
      <c r="W211" s="967">
        <f t="shared" ca="1" si="61"/>
        <v>0</v>
      </c>
      <c r="X211" s="959"/>
      <c r="Y211" s="959"/>
      <c r="Z211" s="959"/>
      <c r="AA211" s="959"/>
      <c r="AB211" s="959"/>
      <c r="AC211" s="959"/>
      <c r="AD211" s="959"/>
      <c r="AE211" s="959"/>
      <c r="AF211" s="959"/>
      <c r="AG211" s="959"/>
      <c r="AH211" s="959"/>
      <c r="AI211" s="959"/>
      <c r="AJ211" s="959"/>
      <c r="AK211" s="959"/>
      <c r="AL211" s="959"/>
      <c r="AM211" s="959"/>
      <c r="AN211" s="959"/>
      <c r="AO211" s="959"/>
      <c r="AP211" s="959"/>
      <c r="AQ211" s="959"/>
      <c r="AR211" s="959"/>
      <c r="AS211" s="959"/>
      <c r="AT211" s="959"/>
      <c r="AU211" s="959"/>
      <c r="AV211" s="959"/>
      <c r="AW211" s="959"/>
      <c r="AX211" s="959"/>
      <c r="AY211" s="959"/>
      <c r="AZ211" s="959"/>
      <c r="BA211" s="959"/>
      <c r="BB211" s="959"/>
      <c r="BC211" s="959"/>
      <c r="BD211" s="959"/>
      <c r="BE211" s="959"/>
      <c r="BF211" s="959"/>
      <c r="BG211" s="959"/>
      <c r="BH211" s="959"/>
      <c r="BI211" s="959"/>
      <c r="BJ211" s="959"/>
      <c r="BK211" s="959"/>
      <c r="BL211" s="959"/>
      <c r="BM211" s="959"/>
      <c r="BN211" s="959"/>
      <c r="BO211" s="959"/>
      <c r="BP211" s="841"/>
    </row>
    <row r="212" spans="2:68" ht="21" customHeight="1">
      <c r="B212" s="1936"/>
      <c r="C212" s="1913"/>
      <c r="D212" s="1919"/>
      <c r="E212" s="993" t="s">
        <v>4513</v>
      </c>
      <c r="F212" s="987" t="s">
        <v>4462</v>
      </c>
      <c r="G212" s="891" t="s">
        <v>4685</v>
      </c>
      <c r="H212" s="959"/>
      <c r="I212" s="959"/>
      <c r="J212" s="959"/>
      <c r="K212" s="959"/>
      <c r="L212" s="967">
        <f t="shared" ca="1" si="61"/>
        <v>0</v>
      </c>
      <c r="M212" s="967">
        <f t="shared" ca="1" si="61"/>
        <v>0</v>
      </c>
      <c r="N212" s="967">
        <f t="shared" ca="1" si="61"/>
        <v>0</v>
      </c>
      <c r="O212" s="967">
        <f t="shared" ca="1" si="61"/>
        <v>0</v>
      </c>
      <c r="P212" s="967">
        <f t="shared" ca="1" si="61"/>
        <v>0</v>
      </c>
      <c r="Q212" s="967">
        <f t="shared" ca="1" si="61"/>
        <v>0</v>
      </c>
      <c r="R212" s="967">
        <f t="shared" ca="1" si="61"/>
        <v>0</v>
      </c>
      <c r="S212" s="967">
        <f t="shared" ca="1" si="61"/>
        <v>0</v>
      </c>
      <c r="T212" s="967">
        <f t="shared" ca="1" si="61"/>
        <v>0</v>
      </c>
      <c r="U212" s="967">
        <f t="shared" ca="1" si="61"/>
        <v>0</v>
      </c>
      <c r="V212" s="967">
        <f t="shared" ca="1" si="61"/>
        <v>0</v>
      </c>
      <c r="W212" s="967">
        <f t="shared" ca="1" si="61"/>
        <v>0</v>
      </c>
      <c r="X212" s="959"/>
      <c r="Y212" s="959"/>
      <c r="Z212" s="959"/>
      <c r="AA212" s="959"/>
      <c r="AB212" s="959"/>
      <c r="AC212" s="959"/>
      <c r="AD212" s="959"/>
      <c r="AE212" s="959"/>
      <c r="AF212" s="959"/>
      <c r="AG212" s="959"/>
      <c r="AH212" s="959"/>
      <c r="AI212" s="959"/>
      <c r="AJ212" s="959"/>
      <c r="AK212" s="959"/>
      <c r="AL212" s="959"/>
      <c r="AM212" s="959"/>
      <c r="AN212" s="959"/>
      <c r="AO212" s="959"/>
      <c r="AP212" s="959"/>
      <c r="AQ212" s="959"/>
      <c r="AR212" s="959"/>
      <c r="AS212" s="959"/>
      <c r="AT212" s="959"/>
      <c r="AU212" s="959"/>
      <c r="AV212" s="959"/>
      <c r="AW212" s="959"/>
      <c r="AX212" s="959"/>
      <c r="AY212" s="959"/>
      <c r="AZ212" s="959"/>
      <c r="BA212" s="959"/>
      <c r="BB212" s="959"/>
      <c r="BC212" s="959"/>
      <c r="BD212" s="959"/>
      <c r="BE212" s="959"/>
      <c r="BF212" s="959"/>
      <c r="BG212" s="959"/>
      <c r="BH212" s="959"/>
      <c r="BI212" s="959"/>
      <c r="BJ212" s="959"/>
      <c r="BK212" s="959"/>
      <c r="BL212" s="959"/>
      <c r="BM212" s="959"/>
      <c r="BN212" s="959"/>
      <c r="BO212" s="959"/>
      <c r="BP212" s="841"/>
    </row>
    <row r="213" spans="2:68">
      <c r="B213" s="1936"/>
      <c r="C213" s="1913"/>
      <c r="D213" s="1920"/>
      <c r="E213" s="994"/>
      <c r="F213" s="1029"/>
      <c r="G213" s="891" t="s">
        <v>4451</v>
      </c>
      <c r="H213" s="959"/>
      <c r="I213" s="959"/>
      <c r="J213" s="959"/>
      <c r="K213" s="959"/>
      <c r="L213" s="967">
        <f t="shared" ca="1" si="61"/>
        <v>0</v>
      </c>
      <c r="M213" s="967">
        <f t="shared" ca="1" si="61"/>
        <v>0</v>
      </c>
      <c r="N213" s="967">
        <f t="shared" ca="1" si="61"/>
        <v>0</v>
      </c>
      <c r="O213" s="967">
        <f t="shared" ca="1" si="61"/>
        <v>0</v>
      </c>
      <c r="P213" s="967">
        <f t="shared" ca="1" si="61"/>
        <v>0</v>
      </c>
      <c r="Q213" s="967">
        <f t="shared" ca="1" si="61"/>
        <v>0</v>
      </c>
      <c r="R213" s="967">
        <f t="shared" ca="1" si="61"/>
        <v>0</v>
      </c>
      <c r="S213" s="967">
        <f t="shared" ca="1" si="61"/>
        <v>0</v>
      </c>
      <c r="T213" s="967">
        <f t="shared" ca="1" si="61"/>
        <v>0</v>
      </c>
      <c r="U213" s="967">
        <f t="shared" ca="1" si="61"/>
        <v>0</v>
      </c>
      <c r="V213" s="967">
        <f t="shared" ca="1" si="61"/>
        <v>0</v>
      </c>
      <c r="W213" s="967">
        <f t="shared" ca="1" si="61"/>
        <v>0</v>
      </c>
      <c r="X213" s="959"/>
      <c r="Y213" s="959"/>
      <c r="Z213" s="959"/>
      <c r="AA213" s="959"/>
      <c r="AB213" s="959"/>
      <c r="AC213" s="959"/>
      <c r="AD213" s="959"/>
      <c r="AE213" s="959"/>
      <c r="AF213" s="959"/>
      <c r="AG213" s="959"/>
      <c r="AH213" s="959"/>
      <c r="AI213" s="959"/>
      <c r="AJ213" s="959"/>
      <c r="AK213" s="959"/>
      <c r="AL213" s="959"/>
      <c r="AM213" s="959"/>
      <c r="AN213" s="959"/>
      <c r="AO213" s="959"/>
      <c r="AP213" s="959"/>
      <c r="AQ213" s="959"/>
      <c r="AR213" s="959"/>
      <c r="AS213" s="959"/>
      <c r="AT213" s="959"/>
      <c r="AU213" s="959"/>
      <c r="AV213" s="959"/>
      <c r="AW213" s="959"/>
      <c r="AX213" s="959"/>
      <c r="AY213" s="959"/>
      <c r="AZ213" s="959"/>
      <c r="BA213" s="959"/>
      <c r="BB213" s="959"/>
      <c r="BC213" s="959"/>
      <c r="BD213" s="959"/>
      <c r="BE213" s="959"/>
      <c r="BF213" s="959"/>
      <c r="BG213" s="959"/>
      <c r="BH213" s="959"/>
      <c r="BI213" s="959"/>
      <c r="BJ213" s="959"/>
      <c r="BK213" s="959"/>
      <c r="BL213" s="959"/>
      <c r="BM213" s="959"/>
      <c r="BN213" s="959"/>
      <c r="BO213" s="959"/>
      <c r="BP213" s="841"/>
    </row>
    <row r="214" spans="2:68" ht="21" customHeight="1">
      <c r="B214" s="1936"/>
      <c r="C214" s="1914"/>
      <c r="D214" s="995" t="s">
        <v>4514</v>
      </c>
      <c r="E214" s="996" t="str">
        <f ca="1">E104</f>
        <v/>
      </c>
      <c r="F214" s="849" t="s">
        <v>4531</v>
      </c>
      <c r="G214" s="891" t="s">
        <v>4685</v>
      </c>
      <c r="H214" s="959"/>
      <c r="I214" s="959"/>
      <c r="J214" s="959"/>
      <c r="K214" s="959"/>
      <c r="L214" s="967">
        <f t="shared" ca="1" si="61"/>
        <v>0</v>
      </c>
      <c r="M214" s="967">
        <f t="shared" ca="1" si="61"/>
        <v>0</v>
      </c>
      <c r="N214" s="967">
        <f t="shared" ca="1" si="61"/>
        <v>0</v>
      </c>
      <c r="O214" s="967">
        <f t="shared" ca="1" si="61"/>
        <v>0</v>
      </c>
      <c r="P214" s="967">
        <f t="shared" ca="1" si="61"/>
        <v>0</v>
      </c>
      <c r="Q214" s="967">
        <f t="shared" ca="1" si="61"/>
        <v>0</v>
      </c>
      <c r="R214" s="967">
        <f t="shared" ca="1" si="61"/>
        <v>0</v>
      </c>
      <c r="S214" s="967">
        <f t="shared" ca="1" si="61"/>
        <v>0</v>
      </c>
      <c r="T214" s="967">
        <f t="shared" ca="1" si="61"/>
        <v>0</v>
      </c>
      <c r="U214" s="967">
        <f t="shared" ca="1" si="61"/>
        <v>0</v>
      </c>
      <c r="V214" s="967">
        <f t="shared" ca="1" si="61"/>
        <v>0</v>
      </c>
      <c r="W214" s="967">
        <f t="shared" ca="1" si="61"/>
        <v>0</v>
      </c>
      <c r="X214" s="959"/>
      <c r="Y214" s="959"/>
      <c r="Z214" s="959"/>
      <c r="AA214" s="959"/>
      <c r="AB214" s="959"/>
      <c r="AC214" s="959"/>
      <c r="AD214" s="959"/>
      <c r="AE214" s="959"/>
      <c r="AF214" s="959"/>
      <c r="AG214" s="959"/>
      <c r="AH214" s="959"/>
      <c r="AI214" s="959"/>
      <c r="AJ214" s="959"/>
      <c r="AK214" s="959"/>
      <c r="AL214" s="959"/>
      <c r="AM214" s="959"/>
      <c r="AN214" s="959"/>
      <c r="AO214" s="959"/>
      <c r="AP214" s="959"/>
      <c r="AQ214" s="959"/>
      <c r="AR214" s="959"/>
      <c r="AS214" s="959"/>
      <c r="AT214" s="959"/>
      <c r="AU214" s="959"/>
      <c r="AV214" s="959"/>
      <c r="AW214" s="959"/>
      <c r="AX214" s="959"/>
      <c r="AY214" s="959"/>
      <c r="AZ214" s="959"/>
      <c r="BA214" s="959"/>
      <c r="BB214" s="959"/>
      <c r="BC214" s="959"/>
      <c r="BD214" s="959"/>
      <c r="BE214" s="959"/>
      <c r="BF214" s="959"/>
      <c r="BG214" s="959"/>
      <c r="BH214" s="959"/>
      <c r="BI214" s="959"/>
      <c r="BJ214" s="959"/>
      <c r="BK214" s="959"/>
      <c r="BL214" s="959"/>
      <c r="BM214" s="959"/>
      <c r="BN214" s="959"/>
      <c r="BO214" s="959"/>
      <c r="BP214" s="841"/>
    </row>
    <row r="215" spans="2:68" ht="21">
      <c r="B215" s="1936"/>
      <c r="C215" s="997" t="s">
        <v>4515</v>
      </c>
      <c r="D215" s="998"/>
      <c r="E215" s="998"/>
      <c r="F215" s="849" t="s">
        <v>4532</v>
      </c>
      <c r="G215" s="891" t="s">
        <v>4685</v>
      </c>
      <c r="H215" s="959"/>
      <c r="I215" s="959"/>
      <c r="J215" s="959"/>
      <c r="K215" s="959"/>
      <c r="L215" s="967">
        <f t="shared" ca="1" si="61"/>
        <v>0</v>
      </c>
      <c r="M215" s="967">
        <f t="shared" ca="1" si="61"/>
        <v>0</v>
      </c>
      <c r="N215" s="967">
        <f t="shared" ca="1" si="61"/>
        <v>0</v>
      </c>
      <c r="O215" s="967">
        <f t="shared" ca="1" si="61"/>
        <v>0</v>
      </c>
      <c r="P215" s="967">
        <f t="shared" ca="1" si="61"/>
        <v>0</v>
      </c>
      <c r="Q215" s="967">
        <f t="shared" ca="1" si="61"/>
        <v>0</v>
      </c>
      <c r="R215" s="967">
        <f t="shared" ca="1" si="61"/>
        <v>0</v>
      </c>
      <c r="S215" s="967">
        <f t="shared" ca="1" si="61"/>
        <v>0</v>
      </c>
      <c r="T215" s="967">
        <f t="shared" ca="1" si="61"/>
        <v>0</v>
      </c>
      <c r="U215" s="967">
        <f t="shared" ca="1" si="61"/>
        <v>0</v>
      </c>
      <c r="V215" s="967">
        <f t="shared" ca="1" si="61"/>
        <v>0</v>
      </c>
      <c r="W215" s="967">
        <f t="shared" ca="1" si="61"/>
        <v>0</v>
      </c>
      <c r="X215" s="959"/>
      <c r="Y215" s="959"/>
      <c r="Z215" s="959"/>
      <c r="AA215" s="959"/>
      <c r="AB215" s="959"/>
      <c r="AC215" s="959"/>
      <c r="AD215" s="959"/>
      <c r="AE215" s="959"/>
      <c r="AF215" s="959"/>
      <c r="AG215" s="959"/>
      <c r="AH215" s="959"/>
      <c r="AI215" s="959"/>
      <c r="AJ215" s="959"/>
      <c r="AK215" s="959"/>
      <c r="AL215" s="959"/>
      <c r="AM215" s="959"/>
      <c r="AN215" s="959"/>
      <c r="AO215" s="959"/>
      <c r="AP215" s="959"/>
      <c r="AQ215" s="959"/>
      <c r="AR215" s="959"/>
      <c r="AS215" s="959"/>
      <c r="AT215" s="959"/>
      <c r="AU215" s="959"/>
      <c r="AV215" s="959"/>
      <c r="AW215" s="959"/>
      <c r="AX215" s="959"/>
      <c r="AY215" s="959"/>
      <c r="AZ215" s="959"/>
      <c r="BA215" s="959"/>
      <c r="BB215" s="959"/>
      <c r="BC215" s="959"/>
      <c r="BD215" s="959"/>
      <c r="BE215" s="959"/>
      <c r="BF215" s="959"/>
      <c r="BG215" s="959"/>
      <c r="BH215" s="959"/>
      <c r="BI215" s="959"/>
      <c r="BJ215" s="959"/>
      <c r="BK215" s="959"/>
      <c r="BL215" s="959"/>
      <c r="BM215" s="959"/>
      <c r="BN215" s="959"/>
      <c r="BO215" s="959"/>
      <c r="BP215" s="841"/>
    </row>
    <row r="216" spans="2:68" ht="21" customHeight="1">
      <c r="B216" s="1936"/>
      <c r="C216" s="1929" t="s">
        <v>4517</v>
      </c>
      <c r="D216" s="1918" t="s">
        <v>4242</v>
      </c>
      <c r="E216" s="974" t="s">
        <v>4519</v>
      </c>
      <c r="F216" s="849" t="s">
        <v>4533</v>
      </c>
      <c r="G216" s="891" t="s">
        <v>4508</v>
      </c>
      <c r="H216" s="959"/>
      <c r="I216" s="959"/>
      <c r="J216" s="959"/>
      <c r="K216" s="959"/>
      <c r="L216" s="967">
        <f t="shared" ca="1" si="61"/>
        <v>0</v>
      </c>
      <c r="M216" s="967">
        <f t="shared" ca="1" si="61"/>
        <v>0</v>
      </c>
      <c r="N216" s="967">
        <f t="shared" ca="1" si="61"/>
        <v>0</v>
      </c>
      <c r="O216" s="967">
        <f t="shared" ca="1" si="61"/>
        <v>0</v>
      </c>
      <c r="P216" s="967">
        <f t="shared" ca="1" si="61"/>
        <v>0</v>
      </c>
      <c r="Q216" s="967">
        <f t="shared" ca="1" si="61"/>
        <v>0</v>
      </c>
      <c r="R216" s="967">
        <f t="shared" ca="1" si="61"/>
        <v>0</v>
      </c>
      <c r="S216" s="967">
        <f t="shared" ca="1" si="61"/>
        <v>0</v>
      </c>
      <c r="T216" s="967">
        <f t="shared" ca="1" si="61"/>
        <v>0</v>
      </c>
      <c r="U216" s="967">
        <f t="shared" ca="1" si="61"/>
        <v>0</v>
      </c>
      <c r="V216" s="967">
        <f t="shared" ca="1" si="61"/>
        <v>0</v>
      </c>
      <c r="W216" s="967">
        <f t="shared" ca="1" si="61"/>
        <v>0</v>
      </c>
      <c r="X216" s="959"/>
      <c r="Y216" s="959"/>
      <c r="Z216" s="959"/>
      <c r="AA216" s="959"/>
      <c r="AB216" s="959"/>
      <c r="AC216" s="959"/>
      <c r="AD216" s="959"/>
      <c r="AE216" s="959"/>
      <c r="AF216" s="959"/>
      <c r="AG216" s="959"/>
      <c r="AH216" s="959"/>
      <c r="AI216" s="959"/>
      <c r="AJ216" s="959"/>
      <c r="AK216" s="959"/>
      <c r="AL216" s="959"/>
      <c r="AM216" s="959"/>
      <c r="AN216" s="959"/>
      <c r="AO216" s="959"/>
      <c r="AP216" s="959"/>
      <c r="AQ216" s="959"/>
      <c r="AR216" s="959"/>
      <c r="AS216" s="959"/>
      <c r="AT216" s="959"/>
      <c r="AU216" s="959"/>
      <c r="AV216" s="959"/>
      <c r="AW216" s="959"/>
      <c r="AX216" s="959"/>
      <c r="AY216" s="959"/>
      <c r="AZ216" s="959"/>
      <c r="BA216" s="959"/>
      <c r="BB216" s="959"/>
      <c r="BC216" s="959"/>
      <c r="BD216" s="959"/>
      <c r="BE216" s="959"/>
      <c r="BF216" s="959"/>
      <c r="BG216" s="959"/>
      <c r="BH216" s="959"/>
      <c r="BI216" s="959"/>
      <c r="BJ216" s="959"/>
      <c r="BK216" s="959"/>
      <c r="BL216" s="959"/>
      <c r="BM216" s="959"/>
      <c r="BN216" s="959"/>
      <c r="BO216" s="959"/>
      <c r="BP216" s="841"/>
    </row>
    <row r="217" spans="2:68" ht="21">
      <c r="B217" s="1936"/>
      <c r="C217" s="1930"/>
      <c r="D217" s="1920"/>
      <c r="E217" s="974" t="s">
        <v>4520</v>
      </c>
      <c r="F217" s="849"/>
      <c r="G217" s="891" t="s">
        <v>4685</v>
      </c>
      <c r="H217" s="959"/>
      <c r="I217" s="959"/>
      <c r="J217" s="959"/>
      <c r="K217" s="959"/>
      <c r="L217" s="967">
        <f t="shared" ca="1" si="61"/>
        <v>0</v>
      </c>
      <c r="M217" s="967">
        <f t="shared" ca="1" si="61"/>
        <v>0</v>
      </c>
      <c r="N217" s="967">
        <f t="shared" ca="1" si="61"/>
        <v>0</v>
      </c>
      <c r="O217" s="967">
        <f t="shared" ca="1" si="61"/>
        <v>0</v>
      </c>
      <c r="P217" s="967">
        <f t="shared" ca="1" si="61"/>
        <v>0</v>
      </c>
      <c r="Q217" s="967">
        <f t="shared" ca="1" si="61"/>
        <v>0</v>
      </c>
      <c r="R217" s="967">
        <f t="shared" ca="1" si="61"/>
        <v>0</v>
      </c>
      <c r="S217" s="967">
        <f t="shared" ca="1" si="61"/>
        <v>0</v>
      </c>
      <c r="T217" s="967">
        <f t="shared" ca="1" si="61"/>
        <v>0</v>
      </c>
      <c r="U217" s="967">
        <f t="shared" ca="1" si="61"/>
        <v>0</v>
      </c>
      <c r="V217" s="967">
        <f t="shared" ca="1" si="61"/>
        <v>0</v>
      </c>
      <c r="W217" s="967">
        <f t="shared" ca="1" si="61"/>
        <v>0</v>
      </c>
      <c r="X217" s="959"/>
      <c r="Y217" s="959"/>
      <c r="Z217" s="959"/>
      <c r="AA217" s="959"/>
      <c r="AB217" s="959"/>
      <c r="AC217" s="959"/>
      <c r="AD217" s="959"/>
      <c r="AE217" s="959"/>
      <c r="AF217" s="959"/>
      <c r="AG217" s="959"/>
      <c r="AH217" s="959"/>
      <c r="AI217" s="959"/>
      <c r="AJ217" s="959"/>
      <c r="AK217" s="959"/>
      <c r="AL217" s="959"/>
      <c r="AM217" s="959"/>
      <c r="AN217" s="959"/>
      <c r="AO217" s="959"/>
      <c r="AP217" s="959"/>
      <c r="AQ217" s="959"/>
      <c r="AR217" s="959"/>
      <c r="AS217" s="959"/>
      <c r="AT217" s="959"/>
      <c r="AU217" s="959"/>
      <c r="AV217" s="959"/>
      <c r="AW217" s="959"/>
      <c r="AX217" s="959"/>
      <c r="AY217" s="959"/>
      <c r="AZ217" s="959"/>
      <c r="BA217" s="959"/>
      <c r="BB217" s="959"/>
      <c r="BC217" s="959"/>
      <c r="BD217" s="959"/>
      <c r="BE217" s="959"/>
      <c r="BF217" s="959"/>
      <c r="BG217" s="959"/>
      <c r="BH217" s="959"/>
      <c r="BI217" s="959"/>
      <c r="BJ217" s="959"/>
      <c r="BK217" s="959"/>
      <c r="BL217" s="959"/>
      <c r="BM217" s="959"/>
      <c r="BN217" s="959"/>
      <c r="BO217" s="959"/>
      <c r="BP217" s="841"/>
    </row>
    <row r="218" spans="2:68">
      <c r="B218" s="1936"/>
      <c r="C218" s="1930"/>
      <c r="D218" s="1918" t="s">
        <v>4534</v>
      </c>
      <c r="E218" s="974" t="s">
        <v>4519</v>
      </c>
      <c r="F218" s="849" t="s">
        <v>4535</v>
      </c>
      <c r="G218" s="891" t="s">
        <v>4508</v>
      </c>
      <c r="H218" s="959"/>
      <c r="I218" s="959"/>
      <c r="J218" s="959"/>
      <c r="K218" s="959"/>
      <c r="L218" s="967">
        <f t="shared" ca="1" si="61"/>
        <v>0</v>
      </c>
      <c r="M218" s="967">
        <f t="shared" ca="1" si="61"/>
        <v>0</v>
      </c>
      <c r="N218" s="967">
        <f t="shared" ca="1" si="61"/>
        <v>0</v>
      </c>
      <c r="O218" s="967">
        <f t="shared" ca="1" si="61"/>
        <v>0</v>
      </c>
      <c r="P218" s="967">
        <f t="shared" ca="1" si="61"/>
        <v>0</v>
      </c>
      <c r="Q218" s="967">
        <f t="shared" ca="1" si="61"/>
        <v>0</v>
      </c>
      <c r="R218" s="967">
        <f t="shared" ca="1" si="61"/>
        <v>0</v>
      </c>
      <c r="S218" s="967">
        <f t="shared" ca="1" si="61"/>
        <v>0</v>
      </c>
      <c r="T218" s="967">
        <f t="shared" ca="1" si="61"/>
        <v>0</v>
      </c>
      <c r="U218" s="967">
        <f t="shared" ca="1" si="61"/>
        <v>0</v>
      </c>
      <c r="V218" s="967">
        <f t="shared" ca="1" si="61"/>
        <v>0</v>
      </c>
      <c r="W218" s="967">
        <f t="shared" ca="1" si="61"/>
        <v>0</v>
      </c>
      <c r="X218" s="959"/>
      <c r="Y218" s="959"/>
      <c r="Z218" s="959"/>
      <c r="AA218" s="959"/>
      <c r="AB218" s="959"/>
      <c r="AC218" s="959"/>
      <c r="AD218" s="959"/>
      <c r="AE218" s="959"/>
      <c r="AF218" s="959"/>
      <c r="AG218" s="959"/>
      <c r="AH218" s="959"/>
      <c r="AI218" s="959"/>
      <c r="AJ218" s="959"/>
      <c r="AK218" s="959"/>
      <c r="AL218" s="959"/>
      <c r="AM218" s="959"/>
      <c r="AN218" s="959"/>
      <c r="AO218" s="959"/>
      <c r="AP218" s="959"/>
      <c r="AQ218" s="959"/>
      <c r="AR218" s="959"/>
      <c r="AS218" s="959"/>
      <c r="AT218" s="959"/>
      <c r="AU218" s="959"/>
      <c r="AV218" s="959"/>
      <c r="AW218" s="959"/>
      <c r="AX218" s="959"/>
      <c r="AY218" s="959"/>
      <c r="AZ218" s="959"/>
      <c r="BA218" s="959"/>
      <c r="BB218" s="959"/>
      <c r="BC218" s="959"/>
      <c r="BD218" s="959"/>
      <c r="BE218" s="959"/>
      <c r="BF218" s="959"/>
      <c r="BG218" s="959"/>
      <c r="BH218" s="959"/>
      <c r="BI218" s="959"/>
      <c r="BJ218" s="959"/>
      <c r="BK218" s="959"/>
      <c r="BL218" s="959"/>
      <c r="BM218" s="959"/>
      <c r="BN218" s="959"/>
      <c r="BO218" s="959"/>
      <c r="BP218" s="841"/>
    </row>
    <row r="219" spans="2:68" ht="15.75" customHeight="1">
      <c r="B219" s="1936"/>
      <c r="C219" s="1930"/>
      <c r="D219" s="1920"/>
      <c r="E219" s="974" t="s">
        <v>4520</v>
      </c>
      <c r="F219" s="849"/>
      <c r="G219" s="891" t="s">
        <v>4685</v>
      </c>
      <c r="H219" s="959"/>
      <c r="I219" s="959"/>
      <c r="J219" s="959"/>
      <c r="K219" s="959"/>
      <c r="L219" s="967">
        <f t="shared" ref="L219:W223" ca="1" si="62">L109</f>
        <v>0</v>
      </c>
      <c r="M219" s="967">
        <f t="shared" ca="1" si="62"/>
        <v>0</v>
      </c>
      <c r="N219" s="967">
        <f t="shared" ca="1" si="62"/>
        <v>0</v>
      </c>
      <c r="O219" s="967">
        <f t="shared" ca="1" si="62"/>
        <v>0</v>
      </c>
      <c r="P219" s="967">
        <f t="shared" ca="1" si="62"/>
        <v>0</v>
      </c>
      <c r="Q219" s="967">
        <f t="shared" ca="1" si="62"/>
        <v>0</v>
      </c>
      <c r="R219" s="967">
        <f t="shared" ca="1" si="62"/>
        <v>0</v>
      </c>
      <c r="S219" s="967">
        <f t="shared" ca="1" si="62"/>
        <v>0</v>
      </c>
      <c r="T219" s="967">
        <f t="shared" ca="1" si="62"/>
        <v>0</v>
      </c>
      <c r="U219" s="967">
        <f t="shared" ca="1" si="62"/>
        <v>0</v>
      </c>
      <c r="V219" s="967">
        <f t="shared" ca="1" si="62"/>
        <v>0</v>
      </c>
      <c r="W219" s="967">
        <f t="shared" ca="1" si="62"/>
        <v>0</v>
      </c>
      <c r="X219" s="959"/>
      <c r="Y219" s="959"/>
      <c r="Z219" s="959"/>
      <c r="AA219" s="959"/>
      <c r="AB219" s="959"/>
      <c r="AC219" s="959"/>
      <c r="AD219" s="959"/>
      <c r="AE219" s="959"/>
      <c r="AF219" s="959"/>
      <c r="AG219" s="959"/>
      <c r="AH219" s="959"/>
      <c r="AI219" s="959"/>
      <c r="AJ219" s="959"/>
      <c r="AK219" s="959"/>
      <c r="AL219" s="959"/>
      <c r="AM219" s="959"/>
      <c r="AN219" s="959"/>
      <c r="AO219" s="959"/>
      <c r="AP219" s="959"/>
      <c r="AQ219" s="959"/>
      <c r="AR219" s="959"/>
      <c r="AS219" s="959"/>
      <c r="AT219" s="959"/>
      <c r="AU219" s="959"/>
      <c r="AV219" s="959"/>
      <c r="AW219" s="959"/>
      <c r="AX219" s="959"/>
      <c r="AY219" s="959"/>
      <c r="AZ219" s="959"/>
      <c r="BA219" s="959"/>
      <c r="BB219" s="959"/>
      <c r="BC219" s="959"/>
      <c r="BD219" s="959"/>
      <c r="BE219" s="959"/>
      <c r="BF219" s="959"/>
      <c r="BG219" s="959"/>
      <c r="BH219" s="959"/>
      <c r="BI219" s="959"/>
      <c r="BJ219" s="959"/>
      <c r="BK219" s="959"/>
      <c r="BL219" s="959"/>
      <c r="BM219" s="959"/>
      <c r="BN219" s="959"/>
      <c r="BO219" s="959"/>
      <c r="BP219" s="841"/>
    </row>
    <row r="220" spans="2:68" ht="15.75" customHeight="1">
      <c r="B220" s="1936"/>
      <c r="C220" s="1930"/>
      <c r="D220" s="1918" t="s">
        <v>4536</v>
      </c>
      <c r="E220" s="974" t="s">
        <v>4519</v>
      </c>
      <c r="F220" s="849" t="s">
        <v>4537</v>
      </c>
      <c r="G220" s="891" t="s">
        <v>4508</v>
      </c>
      <c r="H220" s="959"/>
      <c r="I220" s="959"/>
      <c r="J220" s="959"/>
      <c r="K220" s="959"/>
      <c r="L220" s="967">
        <f t="shared" ca="1" si="62"/>
        <v>0</v>
      </c>
      <c r="M220" s="967">
        <f t="shared" ca="1" si="62"/>
        <v>0</v>
      </c>
      <c r="N220" s="967">
        <f t="shared" ca="1" si="62"/>
        <v>0</v>
      </c>
      <c r="O220" s="967">
        <f t="shared" ca="1" si="62"/>
        <v>0</v>
      </c>
      <c r="P220" s="967">
        <f t="shared" ca="1" si="62"/>
        <v>0</v>
      </c>
      <c r="Q220" s="967">
        <f t="shared" ca="1" si="62"/>
        <v>0</v>
      </c>
      <c r="R220" s="967">
        <f t="shared" ca="1" si="62"/>
        <v>0</v>
      </c>
      <c r="S220" s="967">
        <f t="shared" ca="1" si="62"/>
        <v>0</v>
      </c>
      <c r="T220" s="967">
        <f t="shared" ca="1" si="62"/>
        <v>0</v>
      </c>
      <c r="U220" s="967">
        <f t="shared" ca="1" si="62"/>
        <v>0</v>
      </c>
      <c r="V220" s="967">
        <f t="shared" ca="1" si="62"/>
        <v>0</v>
      </c>
      <c r="W220" s="967">
        <f t="shared" ca="1" si="62"/>
        <v>0</v>
      </c>
      <c r="X220" s="959"/>
      <c r="Y220" s="959"/>
      <c r="Z220" s="959"/>
      <c r="AA220" s="959"/>
      <c r="AB220" s="959"/>
      <c r="AC220" s="959"/>
      <c r="AD220" s="959"/>
      <c r="AE220" s="959"/>
      <c r="AF220" s="959"/>
      <c r="AG220" s="959"/>
      <c r="AH220" s="959"/>
      <c r="AI220" s="959"/>
      <c r="AJ220" s="959"/>
      <c r="AK220" s="959"/>
      <c r="AL220" s="959"/>
      <c r="AM220" s="959"/>
      <c r="AN220" s="959"/>
      <c r="AO220" s="959"/>
      <c r="AP220" s="959"/>
      <c r="AQ220" s="959"/>
      <c r="AR220" s="959"/>
      <c r="AS220" s="959"/>
      <c r="AT220" s="959"/>
      <c r="AU220" s="959"/>
      <c r="AV220" s="959"/>
      <c r="AW220" s="959"/>
      <c r="AX220" s="959"/>
      <c r="AY220" s="959"/>
      <c r="AZ220" s="959"/>
      <c r="BA220" s="959"/>
      <c r="BB220" s="959"/>
      <c r="BC220" s="959"/>
      <c r="BD220" s="959"/>
      <c r="BE220" s="959"/>
      <c r="BF220" s="959"/>
      <c r="BG220" s="959"/>
      <c r="BH220" s="959"/>
      <c r="BI220" s="959"/>
      <c r="BJ220" s="959"/>
      <c r="BK220" s="959"/>
      <c r="BL220" s="959"/>
      <c r="BM220" s="959"/>
      <c r="BN220" s="959"/>
      <c r="BO220" s="959"/>
      <c r="BP220" s="841"/>
    </row>
    <row r="221" spans="2:68" ht="15.75" customHeight="1">
      <c r="B221" s="1936"/>
      <c r="C221" s="1930"/>
      <c r="D221" s="1920"/>
      <c r="E221" s="974" t="s">
        <v>4520</v>
      </c>
      <c r="F221" s="849"/>
      <c r="G221" s="891" t="s">
        <v>4685</v>
      </c>
      <c r="H221" s="959"/>
      <c r="I221" s="959"/>
      <c r="J221" s="959"/>
      <c r="K221" s="959"/>
      <c r="L221" s="967">
        <f t="shared" ca="1" si="62"/>
        <v>0</v>
      </c>
      <c r="M221" s="967">
        <f t="shared" ca="1" si="62"/>
        <v>0</v>
      </c>
      <c r="N221" s="967">
        <f t="shared" ca="1" si="62"/>
        <v>0</v>
      </c>
      <c r="O221" s="967">
        <f t="shared" ca="1" si="62"/>
        <v>0</v>
      </c>
      <c r="P221" s="967">
        <f t="shared" ca="1" si="62"/>
        <v>0</v>
      </c>
      <c r="Q221" s="967">
        <f t="shared" ca="1" si="62"/>
        <v>0</v>
      </c>
      <c r="R221" s="967">
        <f t="shared" ca="1" si="62"/>
        <v>0</v>
      </c>
      <c r="S221" s="967">
        <f t="shared" ca="1" si="62"/>
        <v>0</v>
      </c>
      <c r="T221" s="967">
        <f t="shared" ca="1" si="62"/>
        <v>0</v>
      </c>
      <c r="U221" s="967">
        <f t="shared" ca="1" si="62"/>
        <v>0</v>
      </c>
      <c r="V221" s="967">
        <f t="shared" ca="1" si="62"/>
        <v>0</v>
      </c>
      <c r="W221" s="967">
        <f t="shared" ca="1" si="62"/>
        <v>0</v>
      </c>
      <c r="X221" s="959"/>
      <c r="Y221" s="959"/>
      <c r="Z221" s="959"/>
      <c r="AA221" s="959"/>
      <c r="AB221" s="959"/>
      <c r="AC221" s="959"/>
      <c r="AD221" s="959"/>
      <c r="AE221" s="959"/>
      <c r="AF221" s="959"/>
      <c r="AG221" s="959"/>
      <c r="AH221" s="959"/>
      <c r="AI221" s="959"/>
      <c r="AJ221" s="959"/>
      <c r="AK221" s="959"/>
      <c r="AL221" s="959"/>
      <c r="AM221" s="959"/>
      <c r="AN221" s="959"/>
      <c r="AO221" s="959"/>
      <c r="AP221" s="959"/>
      <c r="AQ221" s="959"/>
      <c r="AR221" s="959"/>
      <c r="AS221" s="959"/>
      <c r="AT221" s="959"/>
      <c r="AU221" s="959"/>
      <c r="AV221" s="959"/>
      <c r="AW221" s="959"/>
      <c r="AX221" s="959"/>
      <c r="AY221" s="959"/>
      <c r="AZ221" s="959"/>
      <c r="BA221" s="959"/>
      <c r="BB221" s="959"/>
      <c r="BC221" s="959"/>
      <c r="BD221" s="959"/>
      <c r="BE221" s="959"/>
      <c r="BF221" s="959"/>
      <c r="BG221" s="959"/>
      <c r="BH221" s="959"/>
      <c r="BI221" s="959"/>
      <c r="BJ221" s="959"/>
      <c r="BK221" s="959"/>
      <c r="BL221" s="959"/>
      <c r="BM221" s="959"/>
      <c r="BN221" s="959"/>
      <c r="BO221" s="959"/>
      <c r="BP221" s="841"/>
    </row>
    <row r="222" spans="2:68" ht="15.75" customHeight="1">
      <c r="B222" s="1936"/>
      <c r="C222" s="1930"/>
      <c r="D222" s="1932" t="s">
        <v>4454</v>
      </c>
      <c r="E222" s="974" t="s">
        <v>4519</v>
      </c>
      <c r="F222" s="849" t="s">
        <v>4538</v>
      </c>
      <c r="G222" s="891" t="s">
        <v>4508</v>
      </c>
      <c r="H222" s="959"/>
      <c r="I222" s="959"/>
      <c r="J222" s="959"/>
      <c r="K222" s="959"/>
      <c r="L222" s="967">
        <f t="shared" ca="1" si="62"/>
        <v>0</v>
      </c>
      <c r="M222" s="967">
        <f t="shared" ca="1" si="62"/>
        <v>0</v>
      </c>
      <c r="N222" s="967">
        <f t="shared" ca="1" si="62"/>
        <v>0</v>
      </c>
      <c r="O222" s="967">
        <f t="shared" ca="1" si="62"/>
        <v>0</v>
      </c>
      <c r="P222" s="967">
        <f t="shared" ca="1" si="62"/>
        <v>0</v>
      </c>
      <c r="Q222" s="967">
        <f t="shared" ca="1" si="62"/>
        <v>0</v>
      </c>
      <c r="R222" s="967">
        <f t="shared" ca="1" si="62"/>
        <v>0</v>
      </c>
      <c r="S222" s="967">
        <f t="shared" ca="1" si="62"/>
        <v>0</v>
      </c>
      <c r="T222" s="967">
        <f t="shared" ca="1" si="62"/>
        <v>0</v>
      </c>
      <c r="U222" s="967">
        <f t="shared" ca="1" si="62"/>
        <v>0</v>
      </c>
      <c r="V222" s="967">
        <f t="shared" ca="1" si="62"/>
        <v>0</v>
      </c>
      <c r="W222" s="967">
        <f t="shared" ca="1" si="62"/>
        <v>0</v>
      </c>
      <c r="X222" s="959"/>
      <c r="Y222" s="959"/>
      <c r="Z222" s="959"/>
      <c r="AA222" s="959"/>
      <c r="AB222" s="959"/>
      <c r="AC222" s="959"/>
      <c r="AD222" s="959"/>
      <c r="AE222" s="959"/>
      <c r="AF222" s="959"/>
      <c r="AG222" s="959"/>
      <c r="AH222" s="959"/>
      <c r="AI222" s="959"/>
      <c r="AJ222" s="959"/>
      <c r="AK222" s="959"/>
      <c r="AL222" s="959"/>
      <c r="AM222" s="959"/>
      <c r="AN222" s="959"/>
      <c r="AO222" s="959"/>
      <c r="AP222" s="959"/>
      <c r="AQ222" s="959"/>
      <c r="AR222" s="959"/>
      <c r="AS222" s="959"/>
      <c r="AT222" s="959"/>
      <c r="AU222" s="959"/>
      <c r="AV222" s="959"/>
      <c r="AW222" s="959"/>
      <c r="AX222" s="959"/>
      <c r="AY222" s="959"/>
      <c r="AZ222" s="959"/>
      <c r="BA222" s="959"/>
      <c r="BB222" s="959"/>
      <c r="BC222" s="959"/>
      <c r="BD222" s="959"/>
      <c r="BE222" s="959"/>
      <c r="BF222" s="959"/>
      <c r="BG222" s="959"/>
      <c r="BH222" s="959"/>
      <c r="BI222" s="959"/>
      <c r="BJ222" s="959"/>
      <c r="BK222" s="959"/>
      <c r="BL222" s="959"/>
      <c r="BM222" s="959"/>
      <c r="BN222" s="959"/>
      <c r="BO222" s="959"/>
      <c r="BP222" s="841"/>
    </row>
    <row r="223" spans="2:68" ht="15.75" customHeight="1">
      <c r="B223" s="1936"/>
      <c r="C223" s="1931"/>
      <c r="D223" s="1933"/>
      <c r="E223" s="974" t="s">
        <v>4520</v>
      </c>
      <c r="F223" s="849" t="s">
        <v>4539</v>
      </c>
      <c r="G223" s="891" t="s">
        <v>4685</v>
      </c>
      <c r="H223" s="959"/>
      <c r="I223" s="959"/>
      <c r="J223" s="959"/>
      <c r="K223" s="959"/>
      <c r="L223" s="967">
        <f t="shared" ca="1" si="62"/>
        <v>0</v>
      </c>
      <c r="M223" s="967">
        <f t="shared" ca="1" si="62"/>
        <v>0</v>
      </c>
      <c r="N223" s="967">
        <f t="shared" ca="1" si="62"/>
        <v>0</v>
      </c>
      <c r="O223" s="967">
        <f t="shared" ca="1" si="62"/>
        <v>0</v>
      </c>
      <c r="P223" s="967">
        <f t="shared" ca="1" si="62"/>
        <v>0</v>
      </c>
      <c r="Q223" s="967">
        <f t="shared" ca="1" si="62"/>
        <v>0</v>
      </c>
      <c r="R223" s="967">
        <f t="shared" ca="1" si="62"/>
        <v>0</v>
      </c>
      <c r="S223" s="967">
        <f t="shared" ca="1" si="62"/>
        <v>0</v>
      </c>
      <c r="T223" s="967">
        <f t="shared" ca="1" si="62"/>
        <v>0</v>
      </c>
      <c r="U223" s="967">
        <f t="shared" ca="1" si="62"/>
        <v>0</v>
      </c>
      <c r="V223" s="967">
        <f t="shared" ca="1" si="62"/>
        <v>0</v>
      </c>
      <c r="W223" s="967">
        <f t="shared" ca="1" si="62"/>
        <v>0</v>
      </c>
      <c r="X223" s="959"/>
      <c r="Y223" s="959"/>
      <c r="Z223" s="959"/>
      <c r="AA223" s="959"/>
      <c r="AB223" s="959"/>
      <c r="AC223" s="959"/>
      <c r="AD223" s="959"/>
      <c r="AE223" s="959"/>
      <c r="AF223" s="959"/>
      <c r="AG223" s="959"/>
      <c r="AH223" s="959"/>
      <c r="AI223" s="959"/>
      <c r="AJ223" s="959"/>
      <c r="AK223" s="959"/>
      <c r="AL223" s="959"/>
      <c r="AM223" s="959"/>
      <c r="AN223" s="959"/>
      <c r="AO223" s="959"/>
      <c r="AP223" s="959"/>
      <c r="AQ223" s="959"/>
      <c r="AR223" s="959"/>
      <c r="AS223" s="959"/>
      <c r="AT223" s="959"/>
      <c r="AU223" s="959"/>
      <c r="AV223" s="959"/>
      <c r="AW223" s="959"/>
      <c r="AX223" s="959"/>
      <c r="AY223" s="959"/>
      <c r="AZ223" s="959"/>
      <c r="BA223" s="959"/>
      <c r="BB223" s="959"/>
      <c r="BC223" s="959"/>
      <c r="BD223" s="959"/>
      <c r="BE223" s="959"/>
      <c r="BF223" s="959"/>
      <c r="BG223" s="959"/>
      <c r="BH223" s="959"/>
      <c r="BI223" s="959"/>
      <c r="BJ223" s="959"/>
      <c r="BK223" s="959"/>
      <c r="BL223" s="959"/>
      <c r="BM223" s="959"/>
      <c r="BN223" s="959"/>
      <c r="BO223" s="959"/>
      <c r="BP223" s="841"/>
    </row>
    <row r="224" spans="2:68">
      <c r="B224" s="1936"/>
      <c r="C224" s="1000" t="s">
        <v>4540</v>
      </c>
      <c r="D224" s="999"/>
      <c r="E224" s="975"/>
      <c r="F224" s="849"/>
      <c r="G224" s="891" t="s">
        <v>4508</v>
      </c>
      <c r="H224" s="959"/>
      <c r="I224" s="959"/>
      <c r="J224" s="959"/>
      <c r="K224" s="959"/>
      <c r="L224" s="954">
        <f t="shared" ref="L224:O224" ca="1" si="63">L206+L211+L216+L218</f>
        <v>0</v>
      </c>
      <c r="M224" s="954">
        <f t="shared" ca="1" si="63"/>
        <v>0</v>
      </c>
      <c r="N224" s="954">
        <f t="shared" ca="1" si="63"/>
        <v>0</v>
      </c>
      <c r="O224" s="954">
        <f t="shared" ca="1" si="63"/>
        <v>0</v>
      </c>
      <c r="P224" s="990">
        <f ca="1">P206+P211+P216+P218</f>
        <v>0</v>
      </c>
      <c r="Q224" s="990">
        <f t="shared" ref="Q224:W224" ca="1" si="64">Q206+Q211+Q216+Q218</f>
        <v>0</v>
      </c>
      <c r="R224" s="990">
        <f t="shared" ca="1" si="64"/>
        <v>0</v>
      </c>
      <c r="S224" s="990">
        <f t="shared" ca="1" si="64"/>
        <v>0</v>
      </c>
      <c r="T224" s="990">
        <f ca="1">T206+T211+T216+T218</f>
        <v>0</v>
      </c>
      <c r="U224" s="990">
        <f t="shared" ca="1" si="64"/>
        <v>0</v>
      </c>
      <c r="V224" s="990">
        <f t="shared" ca="1" si="64"/>
        <v>0</v>
      </c>
      <c r="W224" s="990">
        <f t="shared" ca="1" si="64"/>
        <v>0</v>
      </c>
      <c r="X224" s="959"/>
      <c r="Y224" s="959"/>
      <c r="Z224" s="959"/>
      <c r="AA224" s="959"/>
      <c r="AB224" s="959"/>
      <c r="AC224" s="959"/>
      <c r="AD224" s="959"/>
      <c r="AE224" s="959"/>
      <c r="AF224" s="959"/>
      <c r="AG224" s="959"/>
      <c r="AH224" s="959"/>
      <c r="AI224" s="959"/>
      <c r="AJ224" s="959"/>
      <c r="AK224" s="959"/>
      <c r="AL224" s="959"/>
      <c r="AM224" s="959"/>
      <c r="AN224" s="959"/>
      <c r="AO224" s="959"/>
      <c r="AP224" s="959"/>
      <c r="AQ224" s="959"/>
      <c r="AR224" s="959"/>
      <c r="AS224" s="959"/>
      <c r="AT224" s="959"/>
      <c r="AU224" s="959"/>
      <c r="AV224" s="959"/>
      <c r="AW224" s="959"/>
      <c r="AX224" s="959"/>
      <c r="AY224" s="959"/>
      <c r="AZ224" s="959"/>
      <c r="BA224" s="959"/>
      <c r="BB224" s="959"/>
      <c r="BC224" s="959"/>
      <c r="BD224" s="959"/>
      <c r="BE224" s="959"/>
      <c r="BF224" s="959"/>
      <c r="BG224" s="959"/>
      <c r="BH224" s="959"/>
      <c r="BI224" s="959"/>
      <c r="BJ224" s="959"/>
      <c r="BK224" s="959"/>
      <c r="BL224" s="959"/>
      <c r="BM224" s="959"/>
      <c r="BN224" s="959"/>
      <c r="BO224" s="959"/>
      <c r="BP224" s="841"/>
    </row>
    <row r="225" spans="1:68" ht="21">
      <c r="B225" s="1936"/>
      <c r="C225" s="997" t="s">
        <v>4541</v>
      </c>
      <c r="D225" s="999"/>
      <c r="E225" s="975"/>
      <c r="F225" s="849"/>
      <c r="G225" s="891" t="s">
        <v>4685</v>
      </c>
      <c r="H225" s="959"/>
      <c r="I225" s="959"/>
      <c r="J225" s="959"/>
      <c r="K225" s="959"/>
      <c r="L225" s="954">
        <f ca="1">ROUNDDOWN(IF(L205+L210+L223&gt;=L201,L201,L205+L210+L223),0)</f>
        <v>0</v>
      </c>
      <c r="M225" s="954">
        <f t="shared" ref="M225:W225" ca="1" si="65">ROUNDDOWN(IF(M205+M210+M223&gt;=M201,M201,M205+M210+M223),0)</f>
        <v>0</v>
      </c>
      <c r="N225" s="954">
        <f t="shared" ca="1" si="65"/>
        <v>0</v>
      </c>
      <c r="O225" s="954">
        <f t="shared" ca="1" si="65"/>
        <v>0</v>
      </c>
      <c r="P225" s="954">
        <f t="shared" ca="1" si="65"/>
        <v>0</v>
      </c>
      <c r="Q225" s="954">
        <f t="shared" ca="1" si="65"/>
        <v>0</v>
      </c>
      <c r="R225" s="954">
        <f t="shared" ca="1" si="65"/>
        <v>0</v>
      </c>
      <c r="S225" s="954">
        <f t="shared" ca="1" si="65"/>
        <v>0</v>
      </c>
      <c r="T225" s="954">
        <f t="shared" ca="1" si="65"/>
        <v>0</v>
      </c>
      <c r="U225" s="954">
        <f t="shared" ca="1" si="65"/>
        <v>0</v>
      </c>
      <c r="V225" s="954">
        <f t="shared" ca="1" si="65"/>
        <v>0</v>
      </c>
      <c r="W225" s="954">
        <f t="shared" ca="1" si="65"/>
        <v>0</v>
      </c>
      <c r="X225" s="959"/>
      <c r="Y225" s="959"/>
      <c r="Z225" s="959"/>
      <c r="AA225" s="959"/>
      <c r="AB225" s="959"/>
      <c r="AC225" s="959"/>
      <c r="AD225" s="959"/>
      <c r="AE225" s="959"/>
      <c r="AF225" s="959"/>
      <c r="AG225" s="959"/>
      <c r="AH225" s="959"/>
      <c r="AI225" s="959"/>
      <c r="AJ225" s="959"/>
      <c r="AK225" s="959"/>
      <c r="AL225" s="959"/>
      <c r="AM225" s="959"/>
      <c r="AN225" s="959"/>
      <c r="AO225" s="959"/>
      <c r="AP225" s="959"/>
      <c r="AQ225" s="959"/>
      <c r="AR225" s="959"/>
      <c r="AS225" s="959"/>
      <c r="AT225" s="959"/>
      <c r="AU225" s="959"/>
      <c r="AV225" s="959"/>
      <c r="AW225" s="959"/>
      <c r="AX225" s="959"/>
      <c r="AY225" s="959"/>
      <c r="AZ225" s="959"/>
      <c r="BA225" s="959"/>
      <c r="BB225" s="959"/>
      <c r="BC225" s="959"/>
      <c r="BD225" s="959"/>
      <c r="BE225" s="959"/>
      <c r="BF225" s="959"/>
      <c r="BG225" s="959"/>
      <c r="BH225" s="959"/>
      <c r="BI225" s="959"/>
      <c r="BJ225" s="959"/>
      <c r="BK225" s="959"/>
      <c r="BL225" s="959"/>
      <c r="BM225" s="959"/>
      <c r="BN225" s="959"/>
      <c r="BO225" s="959"/>
      <c r="BP225" s="841"/>
    </row>
    <row r="226" spans="1:68" ht="21">
      <c r="B226" s="1937"/>
      <c r="C226" s="1000" t="s">
        <v>4542</v>
      </c>
      <c r="D226" s="999"/>
      <c r="E226" s="975"/>
      <c r="F226" s="849"/>
      <c r="G226" s="891" t="s">
        <v>4685</v>
      </c>
      <c r="H226" s="959"/>
      <c r="I226" s="959"/>
      <c r="J226" s="959"/>
      <c r="K226" s="959"/>
      <c r="L226" s="954">
        <f ca="1">ROUNDDOWN(IF(L207+L212&gt;=L200,L200,L207+L212),0)</f>
        <v>0</v>
      </c>
      <c r="M226" s="954">
        <f t="shared" ref="M226:W226" ca="1" si="66">ROUNDDOWN(IF(M207+M212&gt;=M200,M200,M207+M212),0)</f>
        <v>0</v>
      </c>
      <c r="N226" s="954">
        <f t="shared" ca="1" si="66"/>
        <v>0</v>
      </c>
      <c r="O226" s="954">
        <f t="shared" ca="1" si="66"/>
        <v>0</v>
      </c>
      <c r="P226" s="954">
        <f t="shared" ca="1" si="66"/>
        <v>0</v>
      </c>
      <c r="Q226" s="954">
        <f t="shared" ca="1" si="66"/>
        <v>0</v>
      </c>
      <c r="R226" s="954">
        <f t="shared" ca="1" si="66"/>
        <v>0</v>
      </c>
      <c r="S226" s="954">
        <f t="shared" ca="1" si="66"/>
        <v>0</v>
      </c>
      <c r="T226" s="954">
        <f t="shared" ca="1" si="66"/>
        <v>0</v>
      </c>
      <c r="U226" s="954">
        <f t="shared" ca="1" si="66"/>
        <v>0</v>
      </c>
      <c r="V226" s="954">
        <f t="shared" ca="1" si="66"/>
        <v>0</v>
      </c>
      <c r="W226" s="954">
        <f t="shared" ca="1" si="66"/>
        <v>0</v>
      </c>
      <c r="X226" s="959"/>
      <c r="Y226" s="959"/>
      <c r="Z226" s="959"/>
      <c r="AA226" s="959"/>
      <c r="AB226" s="959"/>
      <c r="AC226" s="959"/>
      <c r="AD226" s="959"/>
      <c r="AE226" s="959"/>
      <c r="AF226" s="959"/>
      <c r="AG226" s="959"/>
      <c r="AH226" s="959"/>
      <c r="AI226" s="959"/>
      <c r="AJ226" s="959"/>
      <c r="AK226" s="959"/>
      <c r="AL226" s="959"/>
      <c r="AM226" s="959"/>
      <c r="AN226" s="959"/>
      <c r="AO226" s="959"/>
      <c r="AP226" s="959"/>
      <c r="AQ226" s="959"/>
      <c r="AR226" s="959"/>
      <c r="AS226" s="959"/>
      <c r="AT226" s="959"/>
      <c r="AU226" s="959"/>
      <c r="AV226" s="959"/>
      <c r="AW226" s="959"/>
      <c r="AX226" s="959"/>
      <c r="AY226" s="959"/>
      <c r="AZ226" s="959"/>
      <c r="BA226" s="959"/>
      <c r="BB226" s="959"/>
      <c r="BC226" s="959"/>
      <c r="BD226" s="959"/>
      <c r="BE226" s="959"/>
      <c r="BF226" s="959"/>
      <c r="BG226" s="959"/>
      <c r="BH226" s="959"/>
      <c r="BI226" s="959"/>
      <c r="BJ226" s="959"/>
      <c r="BK226" s="959"/>
      <c r="BL226" s="959"/>
      <c r="BM226" s="959"/>
      <c r="BN226" s="959"/>
      <c r="BO226" s="959"/>
      <c r="BP226" s="841"/>
    </row>
    <row r="227" spans="1:68" ht="21">
      <c r="B227" s="968" t="s">
        <v>4480</v>
      </c>
      <c r="C227" s="910"/>
      <c r="D227" s="892"/>
      <c r="E227" s="1001" t="s">
        <v>4543</v>
      </c>
      <c r="F227" s="901"/>
      <c r="G227" s="891" t="s">
        <v>4685</v>
      </c>
      <c r="H227" s="959"/>
      <c r="I227" s="959"/>
      <c r="J227" s="959"/>
      <c r="K227" s="959"/>
      <c r="L227" s="966">
        <f ca="1">IF(L198+L200+L201-L202-L203-L204-L209-L214-L215-L225-L226&gt;0,ROUND(ROUNDDOWN(L198+L200+L201-L202-L203-L204-L209-L214-L215-L225-L226,0),2-INT(LOG(ROUNDDOWN(L198+L200+L201-L202-L203-L204-L209-L214-L215-L225-L226,0)))),0)</f>
        <v>0</v>
      </c>
      <c r="M227" s="966">
        <f t="shared" ref="M227:BO227" ca="1" si="67">IF(M198+M200+M201-M202-M203-M204-M209-M214-M215-M225-M226&gt;0,ROUND(ROUNDDOWN(M198+M200+M201-M202-M203-M204-M209-M214-M215-M225-M226,0),2-INT(LOG(ROUNDDOWN(M198+M200+M201-M202-M203-M204-M209-M214-M215-M225-M226,0)))),0)</f>
        <v>0</v>
      </c>
      <c r="N227" s="966">
        <f t="shared" ca="1" si="67"/>
        <v>0</v>
      </c>
      <c r="O227" s="966">
        <f t="shared" ca="1" si="67"/>
        <v>0</v>
      </c>
      <c r="P227" s="966">
        <f t="shared" ca="1" si="67"/>
        <v>0</v>
      </c>
      <c r="Q227" s="966">
        <f t="shared" ca="1" si="67"/>
        <v>0</v>
      </c>
      <c r="R227" s="966">
        <f t="shared" ca="1" si="67"/>
        <v>0</v>
      </c>
      <c r="S227" s="966">
        <f t="shared" ca="1" si="67"/>
        <v>0</v>
      </c>
      <c r="T227" s="966">
        <f t="shared" ca="1" si="67"/>
        <v>0</v>
      </c>
      <c r="U227" s="966">
        <f t="shared" ca="1" si="67"/>
        <v>0</v>
      </c>
      <c r="V227" s="966">
        <f t="shared" ca="1" si="67"/>
        <v>0</v>
      </c>
      <c r="W227" s="966">
        <f t="shared" ca="1" si="67"/>
        <v>0</v>
      </c>
      <c r="X227" s="966">
        <f t="shared" ca="1" si="67"/>
        <v>0</v>
      </c>
      <c r="Y227" s="966">
        <f t="shared" ca="1" si="67"/>
        <v>0</v>
      </c>
      <c r="Z227" s="966">
        <f t="shared" ca="1" si="67"/>
        <v>0</v>
      </c>
      <c r="AA227" s="966">
        <f t="shared" ca="1" si="67"/>
        <v>0</v>
      </c>
      <c r="AB227" s="966">
        <f t="shared" ca="1" si="67"/>
        <v>0</v>
      </c>
      <c r="AC227" s="966">
        <f t="shared" ca="1" si="67"/>
        <v>0</v>
      </c>
      <c r="AD227" s="966">
        <f t="shared" ca="1" si="67"/>
        <v>0</v>
      </c>
      <c r="AE227" s="966">
        <f t="shared" ca="1" si="67"/>
        <v>0</v>
      </c>
      <c r="AF227" s="966">
        <f t="shared" ca="1" si="67"/>
        <v>0</v>
      </c>
      <c r="AG227" s="966">
        <f t="shared" ca="1" si="67"/>
        <v>0</v>
      </c>
      <c r="AH227" s="966">
        <f t="shared" ca="1" si="67"/>
        <v>0</v>
      </c>
      <c r="AI227" s="966">
        <f t="shared" ca="1" si="67"/>
        <v>0</v>
      </c>
      <c r="AJ227" s="966">
        <f t="shared" ca="1" si="67"/>
        <v>0</v>
      </c>
      <c r="AK227" s="966">
        <f t="shared" ca="1" si="67"/>
        <v>0</v>
      </c>
      <c r="AL227" s="966">
        <f t="shared" ca="1" si="67"/>
        <v>0</v>
      </c>
      <c r="AM227" s="966">
        <f t="shared" ca="1" si="67"/>
        <v>0</v>
      </c>
      <c r="AN227" s="966">
        <f t="shared" ca="1" si="67"/>
        <v>0</v>
      </c>
      <c r="AO227" s="966">
        <f t="shared" ca="1" si="67"/>
        <v>0</v>
      </c>
      <c r="AP227" s="966">
        <f t="shared" ca="1" si="67"/>
        <v>0</v>
      </c>
      <c r="AQ227" s="966">
        <f t="shared" ca="1" si="67"/>
        <v>0</v>
      </c>
      <c r="AR227" s="966">
        <f t="shared" ca="1" si="67"/>
        <v>0</v>
      </c>
      <c r="AS227" s="966">
        <f t="shared" ca="1" si="67"/>
        <v>0</v>
      </c>
      <c r="AT227" s="966">
        <f t="shared" ca="1" si="67"/>
        <v>0</v>
      </c>
      <c r="AU227" s="966">
        <f t="shared" ca="1" si="67"/>
        <v>0</v>
      </c>
      <c r="AV227" s="966">
        <f t="shared" ca="1" si="67"/>
        <v>0</v>
      </c>
      <c r="AW227" s="966">
        <f t="shared" ca="1" si="67"/>
        <v>0</v>
      </c>
      <c r="AX227" s="966">
        <f t="shared" ca="1" si="67"/>
        <v>0</v>
      </c>
      <c r="AY227" s="966">
        <f t="shared" ca="1" si="67"/>
        <v>0</v>
      </c>
      <c r="AZ227" s="966">
        <f t="shared" ca="1" si="67"/>
        <v>0</v>
      </c>
      <c r="BA227" s="966">
        <f t="shared" ca="1" si="67"/>
        <v>0</v>
      </c>
      <c r="BB227" s="966">
        <f t="shared" ca="1" si="67"/>
        <v>0</v>
      </c>
      <c r="BC227" s="966">
        <f t="shared" ca="1" si="67"/>
        <v>0</v>
      </c>
      <c r="BD227" s="966">
        <f t="shared" ca="1" si="67"/>
        <v>0</v>
      </c>
      <c r="BE227" s="966">
        <f t="shared" ca="1" si="67"/>
        <v>0</v>
      </c>
      <c r="BF227" s="966">
        <f t="shared" ca="1" si="67"/>
        <v>0</v>
      </c>
      <c r="BG227" s="966">
        <f t="shared" ca="1" si="67"/>
        <v>0</v>
      </c>
      <c r="BH227" s="966">
        <f t="shared" ca="1" si="67"/>
        <v>0</v>
      </c>
      <c r="BI227" s="966">
        <f t="shared" ca="1" si="67"/>
        <v>0</v>
      </c>
      <c r="BJ227" s="966">
        <f t="shared" ca="1" si="67"/>
        <v>0</v>
      </c>
      <c r="BK227" s="966">
        <f t="shared" ca="1" si="67"/>
        <v>0</v>
      </c>
      <c r="BL227" s="966">
        <f t="shared" ca="1" si="67"/>
        <v>0</v>
      </c>
      <c r="BM227" s="966">
        <f t="shared" ca="1" si="67"/>
        <v>0</v>
      </c>
      <c r="BN227" s="966">
        <f t="shared" ca="1" si="67"/>
        <v>0</v>
      </c>
      <c r="BO227" s="966">
        <f t="shared" ca="1" si="67"/>
        <v>0</v>
      </c>
      <c r="BP227" s="841"/>
    </row>
    <row r="228" spans="1:68" ht="20.100000000000001" customHeight="1">
      <c r="A228" s="819">
        <v>2</v>
      </c>
      <c r="B228" s="819" t="s">
        <v>4467</v>
      </c>
      <c r="C228" s="820"/>
      <c r="D228" s="820"/>
      <c r="E228" s="820"/>
      <c r="F228" s="820"/>
      <c r="G228" s="821"/>
      <c r="H228" s="821"/>
      <c r="I228" s="821"/>
      <c r="J228" s="821"/>
      <c r="K228" s="821"/>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row>
    <row r="229" spans="1:68" ht="20.100000000000001" customHeight="1">
      <c r="B229" s="950">
        <v>1</v>
      </c>
      <c r="C229" s="951" t="s">
        <v>4479</v>
      </c>
      <c r="D229" s="820"/>
      <c r="E229" s="820"/>
      <c r="F229" s="820"/>
      <c r="G229" s="820"/>
      <c r="H229" s="821"/>
      <c r="I229" s="821"/>
      <c r="J229" s="821"/>
      <c r="K229" s="821"/>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row>
    <row r="230" spans="1:68" ht="20.100000000000001" hidden="1" customHeight="1" outlineLevel="1">
      <c r="A230" s="786">
        <v>10</v>
      </c>
      <c r="B230" s="1871"/>
      <c r="C230" s="1872"/>
      <c r="D230" s="824" t="s">
        <v>4392</v>
      </c>
      <c r="E230" s="824"/>
      <c r="F230" s="825"/>
      <c r="G230" s="891" t="s">
        <v>4685</v>
      </c>
      <c r="H230" s="953">
        <f t="shared" ref="H230:H236" ca="1" si="68">IFERROR(OFFSET(貼付け_2024実績,$A230,6),"")</f>
        <v>1.8700000000000001E-2</v>
      </c>
      <c r="I230" s="953">
        <f t="shared" ref="I230:I236" ca="1" si="69">IFERROR(OFFSET(貼付け_2025実績,$A230,6),"")</f>
        <v>1.8700000000000001E-2</v>
      </c>
      <c r="J230" s="953">
        <f t="shared" ref="J230:J236" ca="1" si="70">IFERROR(OFFSET(貼付け_2026実績,$A230,6),"")</f>
        <v>1.8700000000000001E-2</v>
      </c>
      <c r="K230" s="953">
        <f t="shared" ref="K230:K236" ca="1" si="71">IFERROR(OFFSET(貼付け_2027実績,$A230,6),"")</f>
        <v>1.8700000000000001E-2</v>
      </c>
      <c r="L230" s="954">
        <f ca="1">IFERROR($H230*44/12*参考2_エネ使用量経年!$H123*参考2_エネ使用量経年!L123,"")</f>
        <v>0</v>
      </c>
      <c r="M230" s="954">
        <f ca="1">IFERROR($I230*44/12*参考2_エネ使用量経年!$I123*参考2_エネ使用量経年!M123,"")</f>
        <v>0</v>
      </c>
      <c r="N230" s="954">
        <f ca="1">IFERROR($J230*44/12*参考2_エネ使用量経年!$J123*参考2_エネ使用量経年!N123,"")</f>
        <v>0</v>
      </c>
      <c r="O230" s="954">
        <f ca="1">IFERROR($K230*44/12*参考2_エネ使用量経年!$K123*参考2_エネ使用量経年!O123,"")</f>
        <v>0</v>
      </c>
      <c r="P230" s="954">
        <f ca="1">IFERROR($H230*44/12*参考2_エネ使用量経年!$H123*参考2_エネ使用量経年!P123,"")</f>
        <v>0</v>
      </c>
      <c r="Q230" s="954">
        <f ca="1">IFERROR($I230*44/12*参考2_エネ使用量経年!$I123*参考2_エネ使用量経年!Q123,"")</f>
        <v>0</v>
      </c>
      <c r="R230" s="954">
        <f ca="1">IFERROR($J230*44/12*参考2_エネ使用量経年!$J123*参考2_エネ使用量経年!R123,"")</f>
        <v>0</v>
      </c>
      <c r="S230" s="954">
        <f ca="1">IFERROR($K230*44/12*参考2_エネ使用量経年!$K123*参考2_エネ使用量経年!S123,"")</f>
        <v>0</v>
      </c>
      <c r="T230" s="954">
        <f ca="1">IFERROR($H230*44/12*参考2_エネ使用量経年!$H123*参考2_エネ使用量経年!T123,"")</f>
        <v>0</v>
      </c>
      <c r="U230" s="954">
        <f ca="1">IFERROR($I230*44/12*参考2_エネ使用量経年!$I123*参考2_エネ使用量経年!U123,"")</f>
        <v>0</v>
      </c>
      <c r="V230" s="954">
        <f ca="1">IFERROR($J230*44/12*参考2_エネ使用量経年!$J123*参考2_エネ使用量経年!V123,"")</f>
        <v>0</v>
      </c>
      <c r="W230" s="954">
        <f ca="1">IFERROR($K230*44/12*参考2_エネ使用量経年!$K123*参考2_エネ使用量経年!W123,"")</f>
        <v>0</v>
      </c>
      <c r="X230" s="959"/>
      <c r="Y230" s="959"/>
      <c r="Z230" s="959"/>
      <c r="AA230" s="959"/>
      <c r="AB230" s="959"/>
      <c r="AC230" s="959"/>
      <c r="AD230" s="959"/>
      <c r="AE230" s="959"/>
      <c r="AF230" s="959"/>
      <c r="AG230" s="959"/>
      <c r="AH230" s="959"/>
      <c r="AI230" s="959"/>
      <c r="AJ230" s="959"/>
      <c r="AK230" s="959"/>
      <c r="AL230" s="959"/>
      <c r="AM230" s="959"/>
      <c r="AN230" s="959"/>
      <c r="AO230" s="959"/>
      <c r="AP230" s="959"/>
      <c r="AQ230" s="959"/>
      <c r="AR230" s="959"/>
      <c r="AS230" s="959"/>
      <c r="AT230" s="959"/>
      <c r="AU230" s="959"/>
      <c r="AV230" s="959"/>
      <c r="AW230" s="959"/>
      <c r="AX230" s="959"/>
      <c r="AY230" s="959"/>
      <c r="AZ230" s="959"/>
      <c r="BA230" s="959"/>
      <c r="BB230" s="959"/>
      <c r="BC230" s="959"/>
      <c r="BD230" s="959"/>
      <c r="BE230" s="959"/>
      <c r="BF230" s="959"/>
      <c r="BG230" s="959"/>
      <c r="BH230" s="959"/>
      <c r="BI230" s="959"/>
      <c r="BJ230" s="959"/>
      <c r="BK230" s="959"/>
      <c r="BL230" s="959"/>
      <c r="BM230" s="959"/>
      <c r="BN230" s="959"/>
      <c r="BO230" s="959"/>
    </row>
    <row r="231" spans="1:68" ht="20.100000000000001" hidden="1" customHeight="1" outlineLevel="1">
      <c r="A231" s="786">
        <v>12</v>
      </c>
      <c r="B231" s="1870"/>
      <c r="C231" s="1872"/>
      <c r="D231" s="824" t="s">
        <v>4393</v>
      </c>
      <c r="E231" s="824"/>
      <c r="F231" s="825"/>
      <c r="G231" s="891" t="s">
        <v>4685</v>
      </c>
      <c r="H231" s="953">
        <f t="shared" ca="1" si="68"/>
        <v>1.8599999999999998E-2</v>
      </c>
      <c r="I231" s="953">
        <f t="shared" ca="1" si="69"/>
        <v>1.8599999999999998E-2</v>
      </c>
      <c r="J231" s="953">
        <f t="shared" ca="1" si="70"/>
        <v>1.8599999999999998E-2</v>
      </c>
      <c r="K231" s="953">
        <f t="shared" ca="1" si="71"/>
        <v>1.8599999999999998E-2</v>
      </c>
      <c r="L231" s="954">
        <f ca="1">IFERROR($H231*44/12*参考2_エネ使用量経年!$H124*参考2_エネ使用量経年!L124,"")</f>
        <v>0</v>
      </c>
      <c r="M231" s="954">
        <f ca="1">IFERROR($I231*44/12*参考2_エネ使用量経年!$I124*参考2_エネ使用量経年!M124,"")</f>
        <v>0</v>
      </c>
      <c r="N231" s="954">
        <f ca="1">IFERROR($J231*44/12*参考2_エネ使用量経年!$J124*参考2_エネ使用量経年!N124,"")</f>
        <v>0</v>
      </c>
      <c r="O231" s="954">
        <f ca="1">IFERROR($K231*44/12*参考2_エネ使用量経年!$K124*参考2_エネ使用量経年!O124,"")</f>
        <v>0</v>
      </c>
      <c r="P231" s="954">
        <f ca="1">IFERROR($H231*44/12*参考2_エネ使用量経年!$H124*参考2_エネ使用量経年!P124,"")</f>
        <v>0</v>
      </c>
      <c r="Q231" s="954">
        <f ca="1">IFERROR($I231*44/12*参考2_エネ使用量経年!$I124*参考2_エネ使用量経年!Q124,"")</f>
        <v>0</v>
      </c>
      <c r="R231" s="954">
        <f ca="1">IFERROR($J231*44/12*参考2_エネ使用量経年!$J124*参考2_エネ使用量経年!R124,"")</f>
        <v>0</v>
      </c>
      <c r="S231" s="954">
        <f ca="1">IFERROR($K231*44/12*参考2_エネ使用量経年!$K124*参考2_エネ使用量経年!S124,"")</f>
        <v>0</v>
      </c>
      <c r="T231" s="954">
        <f ca="1">IFERROR($H231*44/12*参考2_エネ使用量経年!$H124*参考2_エネ使用量経年!T124,"")</f>
        <v>0</v>
      </c>
      <c r="U231" s="954">
        <f ca="1">IFERROR($I231*44/12*参考2_エネ使用量経年!$I124*参考2_エネ使用量経年!U124,"")</f>
        <v>0</v>
      </c>
      <c r="V231" s="954">
        <f ca="1">IFERROR($J231*44/12*参考2_エネ使用量経年!$J124*参考2_エネ使用量経年!V124,"")</f>
        <v>0</v>
      </c>
      <c r="W231" s="954">
        <f ca="1">IFERROR($K231*44/12*参考2_エネ使用量経年!$K124*参考2_エネ使用量経年!W124,"")</f>
        <v>0</v>
      </c>
      <c r="X231" s="959"/>
      <c r="Y231" s="959"/>
      <c r="Z231" s="959"/>
      <c r="AA231" s="959"/>
      <c r="AB231" s="959"/>
      <c r="AC231" s="959"/>
      <c r="AD231" s="959"/>
      <c r="AE231" s="959"/>
      <c r="AF231" s="959"/>
      <c r="AG231" s="959"/>
      <c r="AH231" s="959"/>
      <c r="AI231" s="959"/>
      <c r="AJ231" s="959"/>
      <c r="AK231" s="959"/>
      <c r="AL231" s="959"/>
      <c r="AM231" s="959"/>
      <c r="AN231" s="959"/>
      <c r="AO231" s="959"/>
      <c r="AP231" s="959"/>
      <c r="AQ231" s="959"/>
      <c r="AR231" s="959"/>
      <c r="AS231" s="959"/>
      <c r="AT231" s="959"/>
      <c r="AU231" s="959"/>
      <c r="AV231" s="959"/>
      <c r="AW231" s="959"/>
      <c r="AX231" s="959"/>
      <c r="AY231" s="959"/>
      <c r="AZ231" s="959"/>
      <c r="BA231" s="959"/>
      <c r="BB231" s="959"/>
      <c r="BC231" s="959"/>
      <c r="BD231" s="959"/>
      <c r="BE231" s="959"/>
      <c r="BF231" s="959"/>
      <c r="BG231" s="959"/>
      <c r="BH231" s="959"/>
      <c r="BI231" s="959"/>
      <c r="BJ231" s="959"/>
      <c r="BK231" s="959"/>
      <c r="BL231" s="959"/>
      <c r="BM231" s="959"/>
      <c r="BN231" s="959"/>
      <c r="BO231" s="959"/>
    </row>
    <row r="232" spans="1:68" ht="20.100000000000001" hidden="1" customHeight="1" outlineLevel="1">
      <c r="A232" s="786">
        <v>14</v>
      </c>
      <c r="B232" s="1871"/>
      <c r="C232" s="1872"/>
      <c r="D232" s="824" t="s">
        <v>4150</v>
      </c>
      <c r="E232" s="824"/>
      <c r="F232" s="825"/>
      <c r="G232" s="891" t="s">
        <v>4685</v>
      </c>
      <c r="H232" s="953">
        <f t="shared" ca="1" si="68"/>
        <v>1.8800000000000001E-2</v>
      </c>
      <c r="I232" s="953">
        <f t="shared" ca="1" si="69"/>
        <v>1.8800000000000001E-2</v>
      </c>
      <c r="J232" s="953">
        <f t="shared" ca="1" si="70"/>
        <v>1.8800000000000001E-2</v>
      </c>
      <c r="K232" s="953">
        <f t="shared" ca="1" si="71"/>
        <v>1.8800000000000001E-2</v>
      </c>
      <c r="L232" s="954">
        <f ca="1">IFERROR($H232*44/12*参考2_エネ使用量経年!$H125*参考2_エネ使用量経年!L125,"")</f>
        <v>0</v>
      </c>
      <c r="M232" s="954">
        <f ca="1">IFERROR($I232*44/12*参考2_エネ使用量経年!$I125*参考2_エネ使用量経年!M125,"")</f>
        <v>0</v>
      </c>
      <c r="N232" s="954">
        <f ca="1">IFERROR($J232*44/12*参考2_エネ使用量経年!$J125*参考2_エネ使用量経年!N125,"")</f>
        <v>0</v>
      </c>
      <c r="O232" s="954">
        <f ca="1">IFERROR($K232*44/12*参考2_エネ使用量経年!$K125*参考2_エネ使用量経年!O125,"")</f>
        <v>0</v>
      </c>
      <c r="P232" s="954">
        <f ca="1">IFERROR($H232*44/12*参考2_エネ使用量経年!$H125*参考2_エネ使用量経年!P125,"")</f>
        <v>0</v>
      </c>
      <c r="Q232" s="954">
        <f ca="1">IFERROR($I232*44/12*参考2_エネ使用量経年!$I125*参考2_エネ使用量経年!Q125,"")</f>
        <v>0</v>
      </c>
      <c r="R232" s="954">
        <f ca="1">IFERROR($J232*44/12*参考2_エネ使用量経年!$J125*参考2_エネ使用量経年!R125,"")</f>
        <v>0</v>
      </c>
      <c r="S232" s="954">
        <f ca="1">IFERROR($K232*44/12*参考2_エネ使用量経年!$K125*参考2_エネ使用量経年!S125,"")</f>
        <v>0</v>
      </c>
      <c r="T232" s="954">
        <f ca="1">IFERROR($H232*44/12*参考2_エネ使用量経年!$H125*参考2_エネ使用量経年!T125,"")</f>
        <v>0</v>
      </c>
      <c r="U232" s="954">
        <f ca="1">IFERROR($I232*44/12*参考2_エネ使用量経年!$I125*参考2_エネ使用量経年!U125,"")</f>
        <v>0</v>
      </c>
      <c r="V232" s="954">
        <f ca="1">IFERROR($J232*44/12*参考2_エネ使用量経年!$J125*参考2_エネ使用量経年!V125,"")</f>
        <v>0</v>
      </c>
      <c r="W232" s="954">
        <f ca="1">IFERROR($K232*44/12*参考2_エネ使用量経年!$K125*参考2_エネ使用量経年!W125,"")</f>
        <v>0</v>
      </c>
      <c r="X232" s="959"/>
      <c r="Y232" s="959"/>
      <c r="Z232" s="959"/>
      <c r="AA232" s="959"/>
      <c r="AB232" s="959"/>
      <c r="AC232" s="959"/>
      <c r="AD232" s="959"/>
      <c r="AE232" s="959"/>
      <c r="AF232" s="959"/>
      <c r="AG232" s="959"/>
      <c r="AH232" s="959"/>
      <c r="AI232" s="959"/>
      <c r="AJ232" s="959"/>
      <c r="AK232" s="959"/>
      <c r="AL232" s="959"/>
      <c r="AM232" s="959"/>
      <c r="AN232" s="959"/>
      <c r="AO232" s="959"/>
      <c r="AP232" s="959"/>
      <c r="AQ232" s="959"/>
      <c r="AR232" s="959"/>
      <c r="AS232" s="959"/>
      <c r="AT232" s="959"/>
      <c r="AU232" s="959"/>
      <c r="AV232" s="959"/>
      <c r="AW232" s="959"/>
      <c r="AX232" s="959"/>
      <c r="AY232" s="959"/>
      <c r="AZ232" s="959"/>
      <c r="BA232" s="959"/>
      <c r="BB232" s="959"/>
      <c r="BC232" s="959"/>
      <c r="BD232" s="959"/>
      <c r="BE232" s="959"/>
      <c r="BF232" s="959"/>
      <c r="BG232" s="959"/>
      <c r="BH232" s="959"/>
      <c r="BI232" s="959"/>
      <c r="BJ232" s="959"/>
      <c r="BK232" s="959"/>
      <c r="BL232" s="959"/>
      <c r="BM232" s="959"/>
      <c r="BN232" s="959"/>
      <c r="BO232" s="959"/>
    </row>
    <row r="233" spans="1:68" ht="20.100000000000001" hidden="1" customHeight="1" outlineLevel="1">
      <c r="A233" s="786">
        <v>15</v>
      </c>
      <c r="B233" s="1870"/>
      <c r="C233" s="1872"/>
      <c r="D233" s="824" t="s">
        <v>4151</v>
      </c>
      <c r="E233" s="824"/>
      <c r="F233" s="825"/>
      <c r="G233" s="891" t="s">
        <v>4685</v>
      </c>
      <c r="H233" s="953">
        <f t="shared" ca="1" si="68"/>
        <v>1.9300000000000001E-2</v>
      </c>
      <c r="I233" s="953">
        <f t="shared" ca="1" si="69"/>
        <v>1.9300000000000001E-2</v>
      </c>
      <c r="J233" s="953">
        <f t="shared" ca="1" si="70"/>
        <v>1.9300000000000001E-2</v>
      </c>
      <c r="K233" s="953">
        <f t="shared" ca="1" si="71"/>
        <v>1.9300000000000001E-2</v>
      </c>
      <c r="L233" s="954">
        <f ca="1">IFERROR($H233*44/12*参考2_エネ使用量経年!$H126*参考2_エネ使用量経年!L126,"")</f>
        <v>0</v>
      </c>
      <c r="M233" s="954">
        <f ca="1">IFERROR($I233*44/12*参考2_エネ使用量経年!$I126*参考2_エネ使用量経年!M126,"")</f>
        <v>0</v>
      </c>
      <c r="N233" s="954">
        <f ca="1">IFERROR($J233*44/12*参考2_エネ使用量経年!$J126*参考2_エネ使用量経年!N126,"")</f>
        <v>0</v>
      </c>
      <c r="O233" s="954">
        <f ca="1">IFERROR($K233*44/12*参考2_エネ使用量経年!$K126*参考2_エネ使用量経年!O126,"")</f>
        <v>0</v>
      </c>
      <c r="P233" s="954">
        <f ca="1">IFERROR($H233*44/12*参考2_エネ使用量経年!$H126*参考2_エネ使用量経年!P126,"")</f>
        <v>0</v>
      </c>
      <c r="Q233" s="954">
        <f ca="1">IFERROR($I233*44/12*参考2_エネ使用量経年!$I126*参考2_エネ使用量経年!Q126,"")</f>
        <v>0</v>
      </c>
      <c r="R233" s="954">
        <f ca="1">IFERROR($J233*44/12*参考2_エネ使用量経年!$J126*参考2_エネ使用量経年!R126,"")</f>
        <v>0</v>
      </c>
      <c r="S233" s="954">
        <f ca="1">IFERROR($K233*44/12*参考2_エネ使用量経年!$K126*参考2_エネ使用量経年!S126,"")</f>
        <v>0</v>
      </c>
      <c r="T233" s="954">
        <f ca="1">IFERROR($H233*44/12*参考2_エネ使用量経年!$H126*参考2_エネ使用量経年!T126,"")</f>
        <v>0</v>
      </c>
      <c r="U233" s="954">
        <f ca="1">IFERROR($I233*44/12*参考2_エネ使用量経年!$I126*参考2_エネ使用量経年!U126,"")</f>
        <v>0</v>
      </c>
      <c r="V233" s="954">
        <f ca="1">IFERROR($J233*44/12*参考2_エネ使用量経年!$J126*参考2_エネ使用量経年!V126,"")</f>
        <v>0</v>
      </c>
      <c r="W233" s="954">
        <f ca="1">IFERROR($K233*44/12*参考2_エネ使用量経年!$K126*参考2_エネ使用量経年!W126,"")</f>
        <v>0</v>
      </c>
      <c r="X233" s="959"/>
      <c r="Y233" s="959"/>
      <c r="Z233" s="959"/>
      <c r="AA233" s="959"/>
      <c r="AB233" s="959"/>
      <c r="AC233" s="959"/>
      <c r="AD233" s="959"/>
      <c r="AE233" s="959"/>
      <c r="AF233" s="959"/>
      <c r="AG233" s="959"/>
      <c r="AH233" s="959"/>
      <c r="AI233" s="959"/>
      <c r="AJ233" s="959"/>
      <c r="AK233" s="959"/>
      <c r="AL233" s="959"/>
      <c r="AM233" s="959"/>
      <c r="AN233" s="959"/>
      <c r="AO233" s="959"/>
      <c r="AP233" s="959"/>
      <c r="AQ233" s="959"/>
      <c r="AR233" s="959"/>
      <c r="AS233" s="959"/>
      <c r="AT233" s="959"/>
      <c r="AU233" s="959"/>
      <c r="AV233" s="959"/>
      <c r="AW233" s="959"/>
      <c r="AX233" s="959"/>
      <c r="AY233" s="959"/>
      <c r="AZ233" s="959"/>
      <c r="BA233" s="959"/>
      <c r="BB233" s="959"/>
      <c r="BC233" s="959"/>
      <c r="BD233" s="959"/>
      <c r="BE233" s="959"/>
      <c r="BF233" s="959"/>
      <c r="BG233" s="959"/>
      <c r="BH233" s="959"/>
      <c r="BI233" s="959"/>
      <c r="BJ233" s="959"/>
      <c r="BK233" s="959"/>
      <c r="BL233" s="959"/>
      <c r="BM233" s="959"/>
      <c r="BN233" s="959"/>
      <c r="BO233" s="959"/>
    </row>
    <row r="234" spans="1:68" ht="20.100000000000001" hidden="1" customHeight="1" outlineLevel="1">
      <c r="A234" s="786">
        <v>16</v>
      </c>
      <c r="B234" s="1870"/>
      <c r="C234" s="1872"/>
      <c r="D234" s="824" t="s">
        <v>4152</v>
      </c>
      <c r="E234" s="818"/>
      <c r="F234" s="825"/>
      <c r="G234" s="891" t="s">
        <v>4685</v>
      </c>
      <c r="H234" s="953">
        <f t="shared" ca="1" si="68"/>
        <v>2.0199999999999999E-2</v>
      </c>
      <c r="I234" s="953">
        <f t="shared" ca="1" si="69"/>
        <v>2.0199999999999999E-2</v>
      </c>
      <c r="J234" s="953">
        <f t="shared" ca="1" si="70"/>
        <v>2.0199999999999999E-2</v>
      </c>
      <c r="K234" s="953">
        <f t="shared" ca="1" si="71"/>
        <v>2.0199999999999999E-2</v>
      </c>
      <c r="L234" s="954">
        <f ca="1">IFERROR($H234*44/12*参考2_エネ使用量経年!$H127*参考2_エネ使用量経年!L127,"")</f>
        <v>0</v>
      </c>
      <c r="M234" s="954">
        <f ca="1">IFERROR($I234*44/12*参考2_エネ使用量経年!$I127*参考2_エネ使用量経年!M127,"")</f>
        <v>0</v>
      </c>
      <c r="N234" s="954">
        <f ca="1">IFERROR($J234*44/12*参考2_エネ使用量経年!$J127*参考2_エネ使用量経年!N127,"")</f>
        <v>0</v>
      </c>
      <c r="O234" s="954">
        <f ca="1">IFERROR($K234*44/12*参考2_エネ使用量経年!$K127*参考2_エネ使用量経年!O127,"")</f>
        <v>0</v>
      </c>
      <c r="P234" s="954">
        <f ca="1">IFERROR($H234*44/12*参考2_エネ使用量経年!$H127*参考2_エネ使用量経年!P127,"")</f>
        <v>0</v>
      </c>
      <c r="Q234" s="954">
        <f ca="1">IFERROR($I234*44/12*参考2_エネ使用量経年!$I127*参考2_エネ使用量経年!Q127,"")</f>
        <v>0</v>
      </c>
      <c r="R234" s="954">
        <f ca="1">IFERROR($J234*44/12*参考2_エネ使用量経年!$J127*参考2_エネ使用量経年!R127,"")</f>
        <v>0</v>
      </c>
      <c r="S234" s="954">
        <f ca="1">IFERROR($K234*44/12*参考2_エネ使用量経年!$K127*参考2_エネ使用量経年!S127,"")</f>
        <v>0</v>
      </c>
      <c r="T234" s="954">
        <f ca="1">IFERROR($H234*44/12*参考2_エネ使用量経年!$H127*参考2_エネ使用量経年!T127,"")</f>
        <v>0</v>
      </c>
      <c r="U234" s="954">
        <f ca="1">IFERROR($I234*44/12*参考2_エネ使用量経年!$I127*参考2_エネ使用量経年!U127,"")</f>
        <v>0</v>
      </c>
      <c r="V234" s="954">
        <f ca="1">IFERROR($J234*44/12*参考2_エネ使用量経年!$J127*参考2_エネ使用量経年!V127,"")</f>
        <v>0</v>
      </c>
      <c r="W234" s="954">
        <f ca="1">IFERROR($K234*44/12*参考2_エネ使用量経年!$K127*参考2_エネ使用量経年!W127,"")</f>
        <v>0</v>
      </c>
      <c r="X234" s="959"/>
      <c r="Y234" s="959"/>
      <c r="Z234" s="959"/>
      <c r="AA234" s="959"/>
      <c r="AB234" s="959"/>
      <c r="AC234" s="959"/>
      <c r="AD234" s="959"/>
      <c r="AE234" s="959"/>
      <c r="AF234" s="959"/>
      <c r="AG234" s="959"/>
      <c r="AH234" s="959"/>
      <c r="AI234" s="959"/>
      <c r="AJ234" s="959"/>
      <c r="AK234" s="959"/>
      <c r="AL234" s="959"/>
      <c r="AM234" s="959"/>
      <c r="AN234" s="959"/>
      <c r="AO234" s="959"/>
      <c r="AP234" s="959"/>
      <c r="AQ234" s="959"/>
      <c r="AR234" s="959"/>
      <c r="AS234" s="959"/>
      <c r="AT234" s="959"/>
      <c r="AU234" s="959"/>
      <c r="AV234" s="959"/>
      <c r="AW234" s="959"/>
      <c r="AX234" s="959"/>
      <c r="AY234" s="959"/>
      <c r="AZ234" s="959"/>
      <c r="BA234" s="959"/>
      <c r="BB234" s="959"/>
      <c r="BC234" s="959"/>
      <c r="BD234" s="959"/>
      <c r="BE234" s="959"/>
      <c r="BF234" s="959"/>
      <c r="BG234" s="959"/>
      <c r="BH234" s="959"/>
      <c r="BI234" s="959"/>
      <c r="BJ234" s="959"/>
      <c r="BK234" s="959"/>
      <c r="BL234" s="959"/>
      <c r="BM234" s="959"/>
      <c r="BN234" s="959"/>
      <c r="BO234" s="959"/>
    </row>
    <row r="235" spans="1:68" ht="20.100000000000001" hidden="1" customHeight="1" outlineLevel="1">
      <c r="A235" s="786">
        <v>19</v>
      </c>
      <c r="B235" s="1871"/>
      <c r="C235" s="1872"/>
      <c r="D235" s="824" t="s">
        <v>4394</v>
      </c>
      <c r="E235" s="824"/>
      <c r="F235" s="825"/>
      <c r="G235" s="891" t="s">
        <v>4685</v>
      </c>
      <c r="H235" s="953">
        <f t="shared" ca="1" si="68"/>
        <v>1.6299999999999999E-2</v>
      </c>
      <c r="I235" s="953">
        <f t="shared" ca="1" si="69"/>
        <v>1.6299999999999999E-2</v>
      </c>
      <c r="J235" s="953">
        <f t="shared" ca="1" si="70"/>
        <v>1.6299999999999999E-2</v>
      </c>
      <c r="K235" s="953">
        <f t="shared" ca="1" si="71"/>
        <v>1.6299999999999999E-2</v>
      </c>
      <c r="L235" s="954">
        <f ca="1">IFERROR($H235*44/12*参考2_エネ使用量経年!$H128*参考2_エネ使用量経年!L128,"")</f>
        <v>0</v>
      </c>
      <c r="M235" s="954">
        <f ca="1">IFERROR($I235*44/12*参考2_エネ使用量経年!$I128*参考2_エネ使用量経年!M128,"")</f>
        <v>0</v>
      </c>
      <c r="N235" s="954">
        <f ca="1">IFERROR($J235*44/12*参考2_エネ使用量経年!$J128*参考2_エネ使用量経年!N128,"")</f>
        <v>0</v>
      </c>
      <c r="O235" s="954">
        <f ca="1">IFERROR($K235*44/12*参考2_エネ使用量経年!$K128*参考2_エネ使用量経年!O128,"")</f>
        <v>0</v>
      </c>
      <c r="P235" s="954">
        <f ca="1">IFERROR($H235*44/12*参考2_エネ使用量経年!$H128*参考2_エネ使用量経年!P128,"")</f>
        <v>0</v>
      </c>
      <c r="Q235" s="954">
        <f ca="1">IFERROR($I235*44/12*参考2_エネ使用量経年!$I128*参考2_エネ使用量経年!Q128,"")</f>
        <v>0</v>
      </c>
      <c r="R235" s="954">
        <f ca="1">IFERROR($J235*44/12*参考2_エネ使用量経年!$J128*参考2_エネ使用量経年!R128,"")</f>
        <v>0</v>
      </c>
      <c r="S235" s="954">
        <f ca="1">IFERROR($K235*44/12*参考2_エネ使用量経年!$K128*参考2_エネ使用量経年!S128,"")</f>
        <v>0</v>
      </c>
      <c r="T235" s="954">
        <f ca="1">IFERROR($H235*44/12*参考2_エネ使用量経年!$H128*参考2_エネ使用量経年!T128,"")</f>
        <v>0</v>
      </c>
      <c r="U235" s="954">
        <f ca="1">IFERROR($I235*44/12*参考2_エネ使用量経年!$I128*参考2_エネ使用量経年!U128,"")</f>
        <v>0</v>
      </c>
      <c r="V235" s="954">
        <f ca="1">IFERROR($J235*44/12*参考2_エネ使用量経年!$J128*参考2_エネ使用量経年!V128,"")</f>
        <v>0</v>
      </c>
      <c r="W235" s="954">
        <f ca="1">IFERROR($K235*44/12*参考2_エネ使用量経年!$K128*参考2_エネ使用量経年!W128,"")</f>
        <v>0</v>
      </c>
      <c r="X235" s="959"/>
      <c r="Y235" s="959"/>
      <c r="Z235" s="959"/>
      <c r="AA235" s="959"/>
      <c r="AB235" s="959"/>
      <c r="AC235" s="959"/>
      <c r="AD235" s="959"/>
      <c r="AE235" s="959"/>
      <c r="AF235" s="959"/>
      <c r="AG235" s="959"/>
      <c r="AH235" s="959"/>
      <c r="AI235" s="959"/>
      <c r="AJ235" s="959"/>
      <c r="AK235" s="959"/>
      <c r="AL235" s="959"/>
      <c r="AM235" s="959"/>
      <c r="AN235" s="959"/>
      <c r="AO235" s="959"/>
      <c r="AP235" s="959"/>
      <c r="AQ235" s="959"/>
      <c r="AR235" s="959"/>
      <c r="AS235" s="959"/>
      <c r="AT235" s="959"/>
      <c r="AU235" s="959"/>
      <c r="AV235" s="959"/>
      <c r="AW235" s="959"/>
      <c r="AX235" s="959"/>
      <c r="AY235" s="959"/>
      <c r="AZ235" s="959"/>
      <c r="BA235" s="959"/>
      <c r="BB235" s="959"/>
      <c r="BC235" s="959"/>
      <c r="BD235" s="959"/>
      <c r="BE235" s="959"/>
      <c r="BF235" s="959"/>
      <c r="BG235" s="959"/>
      <c r="BH235" s="959"/>
      <c r="BI235" s="959"/>
      <c r="BJ235" s="959"/>
      <c r="BK235" s="959"/>
      <c r="BL235" s="959"/>
      <c r="BM235" s="959"/>
      <c r="BN235" s="959"/>
      <c r="BO235" s="959"/>
    </row>
    <row r="236" spans="1:68" ht="20.100000000000001" hidden="1" customHeight="1" outlineLevel="1">
      <c r="A236" s="786">
        <v>21</v>
      </c>
      <c r="B236" s="1871"/>
      <c r="C236" s="1872"/>
      <c r="D236" s="824" t="s">
        <v>4396</v>
      </c>
      <c r="E236" s="818"/>
      <c r="F236" s="825"/>
      <c r="G236" s="891" t="s">
        <v>4685</v>
      </c>
      <c r="H236" s="953">
        <f t="shared" ca="1" si="68"/>
        <v>1.3899999999999999E-2</v>
      </c>
      <c r="I236" s="953">
        <f t="shared" ca="1" si="69"/>
        <v>1.3899999999999999E-2</v>
      </c>
      <c r="J236" s="953">
        <f t="shared" ca="1" si="70"/>
        <v>1.3899999999999999E-2</v>
      </c>
      <c r="K236" s="953">
        <f t="shared" ca="1" si="71"/>
        <v>1.3899999999999999E-2</v>
      </c>
      <c r="L236" s="954">
        <f ca="1">IFERROR($H236*44/12*参考2_エネ使用量経年!$H129*参考2_エネ使用量経年!L129,"")</f>
        <v>0</v>
      </c>
      <c r="M236" s="954">
        <f ca="1">IFERROR($I236*44/12*参考2_エネ使用量経年!$I129*参考2_エネ使用量経年!M129,"")</f>
        <v>0</v>
      </c>
      <c r="N236" s="954">
        <f ca="1">IFERROR($J236*44/12*参考2_エネ使用量経年!$J129*参考2_エネ使用量経年!N129,"")</f>
        <v>0</v>
      </c>
      <c r="O236" s="954">
        <f ca="1">IFERROR($K236*44/12*参考2_エネ使用量経年!$K129*参考2_エネ使用量経年!O129,"")</f>
        <v>0</v>
      </c>
      <c r="P236" s="954">
        <f ca="1">IFERROR($H236*44/12*参考2_エネ使用量経年!$H129*参考2_エネ使用量経年!P129,"")</f>
        <v>0</v>
      </c>
      <c r="Q236" s="954">
        <f ca="1">IFERROR($I236*44/12*参考2_エネ使用量経年!$I129*参考2_エネ使用量経年!Q129,"")</f>
        <v>0</v>
      </c>
      <c r="R236" s="954">
        <f ca="1">IFERROR($J236*44/12*参考2_エネ使用量経年!$J129*参考2_エネ使用量経年!R129,"")</f>
        <v>0</v>
      </c>
      <c r="S236" s="954">
        <f ca="1">IFERROR($K236*44/12*参考2_エネ使用量経年!$K129*参考2_エネ使用量経年!S129,"")</f>
        <v>0</v>
      </c>
      <c r="T236" s="954">
        <f ca="1">IFERROR($H236*44/12*参考2_エネ使用量経年!$H129*参考2_エネ使用量経年!T129,"")</f>
        <v>0</v>
      </c>
      <c r="U236" s="954">
        <f ca="1">IFERROR($I236*44/12*参考2_エネ使用量経年!$I129*参考2_エネ使用量経年!U129,"")</f>
        <v>0</v>
      </c>
      <c r="V236" s="954">
        <f ca="1">IFERROR($J236*44/12*参考2_エネ使用量経年!$J129*参考2_エネ使用量経年!V129,"")</f>
        <v>0</v>
      </c>
      <c r="W236" s="954">
        <f ca="1">IFERROR($K236*44/12*参考2_エネ使用量経年!$K129*参考2_エネ使用量経年!W129,"")</f>
        <v>0</v>
      </c>
      <c r="X236" s="959"/>
      <c r="Y236" s="959"/>
      <c r="Z236" s="959"/>
      <c r="AA236" s="959"/>
      <c r="AB236" s="959"/>
      <c r="AC236" s="959"/>
      <c r="AD236" s="959"/>
      <c r="AE236" s="959"/>
      <c r="AF236" s="959"/>
      <c r="AG236" s="959"/>
      <c r="AH236" s="959"/>
      <c r="AI236" s="959"/>
      <c r="AJ236" s="959"/>
      <c r="AK236" s="959"/>
      <c r="AL236" s="959"/>
      <c r="AM236" s="959"/>
      <c r="AN236" s="959"/>
      <c r="AO236" s="959"/>
      <c r="AP236" s="959"/>
      <c r="AQ236" s="959"/>
      <c r="AR236" s="959"/>
      <c r="AS236" s="959"/>
      <c r="AT236" s="959"/>
      <c r="AU236" s="959"/>
      <c r="AV236" s="959"/>
      <c r="AW236" s="959"/>
      <c r="AX236" s="959"/>
      <c r="AY236" s="959"/>
      <c r="AZ236" s="959"/>
      <c r="BA236" s="959"/>
      <c r="BB236" s="959"/>
      <c r="BC236" s="959"/>
      <c r="BD236" s="959"/>
      <c r="BE236" s="959"/>
      <c r="BF236" s="959"/>
      <c r="BG236" s="959"/>
      <c r="BH236" s="959"/>
      <c r="BI236" s="959"/>
      <c r="BJ236" s="959"/>
      <c r="BK236" s="959"/>
      <c r="BL236" s="959"/>
      <c r="BM236" s="959"/>
      <c r="BN236" s="959"/>
      <c r="BO236" s="959"/>
    </row>
    <row r="237" spans="1:68" ht="20.100000000000001" hidden="1" customHeight="1" outlineLevel="1">
      <c r="A237" s="786">
        <v>7</v>
      </c>
      <c r="B237" s="1871"/>
      <c r="C237" s="1872"/>
      <c r="D237" s="824" t="s">
        <v>4405</v>
      </c>
      <c r="E237" s="829"/>
      <c r="F237" s="825"/>
      <c r="G237" s="891" t="s">
        <v>4685</v>
      </c>
      <c r="H237" s="955"/>
      <c r="I237" s="955"/>
      <c r="J237" s="955"/>
      <c r="K237" s="955"/>
      <c r="L237" s="954">
        <f ca="1">IFERROR(OFFSET(A1_集計2024,$A237,7)+OFFSET(A1_集計2024,$A237,8),0)</f>
        <v>0</v>
      </c>
      <c r="M237" s="954">
        <f ca="1">IFERROR(OFFSET(A1_集計2025,$A237,7)+OFFSET(A1_集計2025,$A237,8),0)</f>
        <v>0</v>
      </c>
      <c r="N237" s="954">
        <f ca="1">IFERROR(OFFSET(A1_集計2026,$A237,7)+OFFSET(A1_集計2026,$A237,8),0)</f>
        <v>0</v>
      </c>
      <c r="O237" s="954">
        <f ca="1">IFERROR(OFFSET(A1_集計2027,$A237,7)+OFFSET(A1_集計2027,$A237,8),0)</f>
        <v>0</v>
      </c>
      <c r="P237" s="954">
        <f ca="1">IFERROR(OFFSET(A1_集計2024,$A237,7),0)</f>
        <v>0</v>
      </c>
      <c r="Q237" s="954">
        <f ca="1">IFERROR(OFFSET(A1_集計2025,$A237,7),0)</f>
        <v>0</v>
      </c>
      <c r="R237" s="954">
        <f ca="1">IFERROR(OFFSET(A1_集計2026,$A237,7),0)</f>
        <v>0</v>
      </c>
      <c r="S237" s="954">
        <f ca="1">IFERROR(OFFSET(A1_集計2027,$A237,7),0)</f>
        <v>0</v>
      </c>
      <c r="T237" s="954">
        <f ca="1">IFERROR(OFFSET(A1_集計2024,$A237,8),0)</f>
        <v>0</v>
      </c>
      <c r="U237" s="954">
        <f ca="1">IFERROR(OFFSET(A1_集計2025,$A237,8),0)</f>
        <v>0</v>
      </c>
      <c r="V237" s="954">
        <f ca="1">IFERROR(OFFSET(A1_集計2026,$A237,8),0)</f>
        <v>0</v>
      </c>
      <c r="W237" s="954">
        <f ca="1">IFERROR(OFFSET(A1_集計2027,$A237,8),0)</f>
        <v>0</v>
      </c>
      <c r="X237" s="959"/>
      <c r="Y237" s="959"/>
      <c r="Z237" s="959"/>
      <c r="AA237" s="959"/>
      <c r="AB237" s="959"/>
      <c r="AC237" s="959"/>
      <c r="AD237" s="959"/>
      <c r="AE237" s="959"/>
      <c r="AF237" s="959"/>
      <c r="AG237" s="959"/>
      <c r="AH237" s="959"/>
      <c r="AI237" s="959"/>
      <c r="AJ237" s="959"/>
      <c r="AK237" s="959"/>
      <c r="AL237" s="959"/>
      <c r="AM237" s="959"/>
      <c r="AN237" s="959"/>
      <c r="AO237" s="959"/>
      <c r="AP237" s="959"/>
      <c r="AQ237" s="959"/>
      <c r="AR237" s="959"/>
      <c r="AS237" s="959"/>
      <c r="AT237" s="959"/>
      <c r="AU237" s="959"/>
      <c r="AV237" s="959"/>
      <c r="AW237" s="959"/>
      <c r="AX237" s="959"/>
      <c r="AY237" s="959"/>
      <c r="AZ237" s="959"/>
      <c r="BA237" s="959"/>
      <c r="BB237" s="959"/>
      <c r="BC237" s="959"/>
      <c r="BD237" s="959"/>
      <c r="BE237" s="959"/>
      <c r="BF237" s="959"/>
      <c r="BG237" s="959"/>
      <c r="BH237" s="959"/>
      <c r="BI237" s="959"/>
      <c r="BJ237" s="959"/>
      <c r="BK237" s="959"/>
      <c r="BL237" s="959"/>
      <c r="BM237" s="959"/>
      <c r="BN237" s="959"/>
      <c r="BO237" s="959"/>
    </row>
    <row r="238" spans="1:68" ht="20.100000000000001" hidden="1" customHeight="1" outlineLevel="1">
      <c r="A238" s="786">
        <v>200</v>
      </c>
      <c r="B238" s="1870"/>
      <c r="C238" s="1872"/>
      <c r="D238" s="824" t="s">
        <v>4248</v>
      </c>
      <c r="E238" s="831" t="str">
        <f ca="1">参考2_エネ使用量経年!E131</f>
        <v/>
      </c>
      <c r="F238" s="825"/>
      <c r="G238" s="891" t="s">
        <v>4685</v>
      </c>
      <c r="H238" s="953">
        <f ca="1">IFERROR(OFFSET(貼付け_2024実績,$A238,16),"")</f>
        <v>0</v>
      </c>
      <c r="I238" s="953">
        <f ca="1">IFERROR(OFFSET(貼付け_2025実績,$A238,16),"")</f>
        <v>0</v>
      </c>
      <c r="J238" s="953">
        <f ca="1">IFERROR(OFFSET(貼付け_2026実績,$A238,16),"")</f>
        <v>0</v>
      </c>
      <c r="K238" s="953">
        <f ca="1">IFERROR(OFFSET(貼付け_2027実績,$A238,16),"")</f>
        <v>0</v>
      </c>
      <c r="L238" s="954">
        <f ca="1">IFERROR($H238*44/12*参考2_エネ使用量経年!$H131*参考2_エネ使用量経年!L131,"")</f>
        <v>0</v>
      </c>
      <c r="M238" s="954">
        <f ca="1">IFERROR($I238*44/12*参考2_エネ使用量経年!$I131*参考2_エネ使用量経年!M131,"")</f>
        <v>0</v>
      </c>
      <c r="N238" s="954">
        <f ca="1">IFERROR($J238*44/12*参考2_エネ使用量経年!$J131*参考2_エネ使用量経年!N131,"")</f>
        <v>0</v>
      </c>
      <c r="O238" s="954">
        <f ca="1">IFERROR($K238*44/12*参考2_エネ使用量経年!$K131*参考2_エネ使用量経年!O131,"")</f>
        <v>0</v>
      </c>
      <c r="P238" s="954">
        <f ca="1">IFERROR($H238*44/12*参考2_エネ使用量経年!$H131*参考2_エネ使用量経年!P131,"")</f>
        <v>0</v>
      </c>
      <c r="Q238" s="954">
        <f ca="1">IFERROR($I238*44/12*参考2_エネ使用量経年!$I131*参考2_エネ使用量経年!Q131,"")</f>
        <v>0</v>
      </c>
      <c r="R238" s="954">
        <f ca="1">IFERROR($J238*44/12*参考2_エネ使用量経年!$J131*参考2_エネ使用量経年!R131,"")</f>
        <v>0</v>
      </c>
      <c r="S238" s="954">
        <f ca="1">IFERROR($K238*44/12*参考2_エネ使用量経年!$K131*参考2_エネ使用量経年!S131,"")</f>
        <v>0</v>
      </c>
      <c r="T238" s="954">
        <f ca="1">IFERROR($H238*44/12*参考2_エネ使用量経年!$H131*参考2_エネ使用量経年!T131,"")</f>
        <v>0</v>
      </c>
      <c r="U238" s="954">
        <f ca="1">IFERROR($I238*44/12*参考2_エネ使用量経年!$I131*参考2_エネ使用量経年!U131,"")</f>
        <v>0</v>
      </c>
      <c r="V238" s="954">
        <f ca="1">IFERROR($J238*44/12*参考2_エネ使用量経年!$J131*参考2_エネ使用量経年!V131,"")</f>
        <v>0</v>
      </c>
      <c r="W238" s="954">
        <f ca="1">IFERROR($K238*44/12*参考2_エネ使用量経年!$K131*参考2_エネ使用量経年!W131,"")</f>
        <v>0</v>
      </c>
      <c r="X238" s="959"/>
      <c r="Y238" s="959"/>
      <c r="Z238" s="959"/>
      <c r="AA238" s="959"/>
      <c r="AB238" s="959"/>
      <c r="AC238" s="959"/>
      <c r="AD238" s="959"/>
      <c r="AE238" s="959"/>
      <c r="AF238" s="959"/>
      <c r="AG238" s="959"/>
      <c r="AH238" s="959"/>
      <c r="AI238" s="959"/>
      <c r="AJ238" s="959"/>
      <c r="AK238" s="959"/>
      <c r="AL238" s="959"/>
      <c r="AM238" s="959"/>
      <c r="AN238" s="959"/>
      <c r="AO238" s="959"/>
      <c r="AP238" s="959"/>
      <c r="AQ238" s="959"/>
      <c r="AR238" s="959"/>
      <c r="AS238" s="959"/>
      <c r="AT238" s="959"/>
      <c r="AU238" s="959"/>
      <c r="AV238" s="959"/>
      <c r="AW238" s="959"/>
      <c r="AX238" s="959"/>
      <c r="AY238" s="959"/>
      <c r="AZ238" s="959"/>
      <c r="BA238" s="959"/>
      <c r="BB238" s="959"/>
      <c r="BC238" s="959"/>
      <c r="BD238" s="959"/>
      <c r="BE238" s="959"/>
      <c r="BF238" s="959"/>
      <c r="BG238" s="959"/>
      <c r="BH238" s="959"/>
      <c r="BI238" s="959"/>
      <c r="BJ238" s="959"/>
      <c r="BK238" s="959"/>
      <c r="BL238" s="959"/>
      <c r="BM238" s="959"/>
      <c r="BN238" s="959"/>
      <c r="BO238" s="959"/>
    </row>
    <row r="239" spans="1:68" ht="20.100000000000001" hidden="1" customHeight="1" outlineLevel="1">
      <c r="A239" s="786">
        <v>40</v>
      </c>
      <c r="B239" s="1870"/>
      <c r="C239" s="1872" t="s">
        <v>4544</v>
      </c>
      <c r="D239" s="824" t="s">
        <v>4179</v>
      </c>
      <c r="E239" s="824"/>
      <c r="F239" s="825"/>
      <c r="G239" s="891" t="s">
        <v>4685</v>
      </c>
      <c r="H239" s="953">
        <f ca="1">IFERROR(OFFSET(貼付け_2024実績,$A239,6),"")</f>
        <v>0</v>
      </c>
      <c r="I239" s="953">
        <f ca="1">IFERROR(OFFSET(貼付け_2025実績,$A239,6),"")</f>
        <v>0</v>
      </c>
      <c r="J239" s="953">
        <f ca="1">IFERROR(OFFSET(貼付け_2026実績,$A239,6),"")</f>
        <v>0</v>
      </c>
      <c r="K239" s="953">
        <f ca="1">IFERROR(OFFSET(貼付け_2027実績,$A239,6),"")</f>
        <v>0</v>
      </c>
      <c r="L239" s="954">
        <f ca="1">IFERROR($H239*44/12*参考2_エネ使用量経年!$H132*参考2_エネ使用量経年!L132,"")</f>
        <v>0</v>
      </c>
      <c r="M239" s="954">
        <f ca="1">IFERROR($I239*44/12*参考2_エネ使用量経年!$I132*参考2_エネ使用量経年!M132,"")</f>
        <v>0</v>
      </c>
      <c r="N239" s="954">
        <f ca="1">IFERROR($J239*44/12*参考2_エネ使用量経年!$J132*参考2_エネ使用量経年!N132,"")</f>
        <v>0</v>
      </c>
      <c r="O239" s="954">
        <f ca="1">IFERROR($K239*44/12*参考2_エネ使用量経年!$K132*参考2_エネ使用量経年!O132,"")</f>
        <v>0</v>
      </c>
      <c r="P239" s="954">
        <f ca="1">IFERROR($H239*44/12*参考2_エネ使用量経年!$H132*参考2_エネ使用量経年!P132,"")</f>
        <v>0</v>
      </c>
      <c r="Q239" s="954">
        <f ca="1">IFERROR($I239*44/12*参考2_エネ使用量経年!$I132*参考2_エネ使用量経年!Q132,"")</f>
        <v>0</v>
      </c>
      <c r="R239" s="954">
        <f ca="1">IFERROR($J239*44/12*参考2_エネ使用量経年!$J132*参考2_エネ使用量経年!R132,"")</f>
        <v>0</v>
      </c>
      <c r="S239" s="954">
        <f ca="1">IFERROR($K239*44/12*参考2_エネ使用量経年!$K132*参考2_エネ使用量経年!S132,"")</f>
        <v>0</v>
      </c>
      <c r="T239" s="954">
        <f ca="1">IFERROR($H239*44/12*参考2_エネ使用量経年!$H132*参考2_エネ使用量経年!T132,"")</f>
        <v>0</v>
      </c>
      <c r="U239" s="954">
        <f ca="1">IFERROR($I239*44/12*参考2_エネ使用量経年!$I132*参考2_エネ使用量経年!U132,"")</f>
        <v>0</v>
      </c>
      <c r="V239" s="954">
        <f ca="1">IFERROR($J239*44/12*参考2_エネ使用量経年!$J132*参考2_エネ使用量経年!V132,"")</f>
        <v>0</v>
      </c>
      <c r="W239" s="954">
        <f ca="1">IFERROR($K239*44/12*参考2_エネ使用量経年!$K132*参考2_エネ使用量経年!W132,"")</f>
        <v>0</v>
      </c>
      <c r="X239" s="959"/>
      <c r="Y239" s="959"/>
      <c r="Z239" s="959"/>
      <c r="AA239" s="959"/>
      <c r="AB239" s="959"/>
      <c r="AC239" s="959"/>
      <c r="AD239" s="959"/>
      <c r="AE239" s="959"/>
      <c r="AF239" s="959"/>
      <c r="AG239" s="959"/>
      <c r="AH239" s="959"/>
      <c r="AI239" s="959"/>
      <c r="AJ239" s="959"/>
      <c r="AK239" s="959"/>
      <c r="AL239" s="959"/>
      <c r="AM239" s="959"/>
      <c r="AN239" s="959"/>
      <c r="AO239" s="959"/>
      <c r="AP239" s="959"/>
      <c r="AQ239" s="959"/>
      <c r="AR239" s="959"/>
      <c r="AS239" s="959"/>
      <c r="AT239" s="959"/>
      <c r="AU239" s="959"/>
      <c r="AV239" s="959"/>
      <c r="AW239" s="959"/>
      <c r="AX239" s="959"/>
      <c r="AY239" s="959"/>
      <c r="AZ239" s="959"/>
      <c r="BA239" s="959"/>
      <c r="BB239" s="959"/>
      <c r="BC239" s="959"/>
      <c r="BD239" s="959"/>
      <c r="BE239" s="959"/>
      <c r="BF239" s="959"/>
      <c r="BG239" s="959"/>
      <c r="BH239" s="959"/>
      <c r="BI239" s="959"/>
      <c r="BJ239" s="959"/>
      <c r="BK239" s="959"/>
      <c r="BL239" s="959"/>
      <c r="BM239" s="959"/>
      <c r="BN239" s="959"/>
      <c r="BO239" s="959"/>
    </row>
    <row r="240" spans="1:68" ht="20.100000000000001" hidden="1" customHeight="1" outlineLevel="1">
      <c r="A240" s="786">
        <v>41</v>
      </c>
      <c r="B240" s="1870"/>
      <c r="C240" s="1872"/>
      <c r="D240" s="824" t="s">
        <v>4180</v>
      </c>
      <c r="E240" s="824"/>
      <c r="F240" s="825"/>
      <c r="G240" s="891" t="s">
        <v>4685</v>
      </c>
      <c r="H240" s="953">
        <f ca="1">IFERROR(OFFSET(貼付け_2024実績,$A240,6),"")</f>
        <v>0</v>
      </c>
      <c r="I240" s="953">
        <f ca="1">IFERROR(OFFSET(貼付け_2025実績,$A240,6),"")</f>
        <v>0</v>
      </c>
      <c r="J240" s="953">
        <f ca="1">IFERROR(OFFSET(貼付け_2026実績,$A240,6),"")</f>
        <v>0</v>
      </c>
      <c r="K240" s="953">
        <f ca="1">IFERROR(OFFSET(貼付け_2027実績,$A240,6),"")</f>
        <v>0</v>
      </c>
      <c r="L240" s="954">
        <f ca="1">IFERROR($H240*44/12*参考2_エネ使用量経年!$H133*参考2_エネ使用量経年!L133,"")</f>
        <v>0</v>
      </c>
      <c r="M240" s="954">
        <f ca="1">IFERROR($I240*44/12*参考2_エネ使用量経年!$I133*参考2_エネ使用量経年!M133,"")</f>
        <v>0</v>
      </c>
      <c r="N240" s="954">
        <f ca="1">IFERROR($J240*44/12*参考2_エネ使用量経年!$J133*参考2_エネ使用量経年!N133,"")</f>
        <v>0</v>
      </c>
      <c r="O240" s="954">
        <f ca="1">IFERROR($K240*44/12*参考2_エネ使用量経年!$K133*参考2_エネ使用量経年!O133,"")</f>
        <v>0</v>
      </c>
      <c r="P240" s="954">
        <f ca="1">IFERROR($H240*44/12*参考2_エネ使用量経年!$H133*参考2_エネ使用量経年!P133,"")</f>
        <v>0</v>
      </c>
      <c r="Q240" s="954">
        <f ca="1">IFERROR($I240*44/12*参考2_エネ使用量経年!$I133*参考2_エネ使用量経年!Q133,"")</f>
        <v>0</v>
      </c>
      <c r="R240" s="954">
        <f ca="1">IFERROR($J240*44/12*参考2_エネ使用量経年!$J133*参考2_エネ使用量経年!R133,"")</f>
        <v>0</v>
      </c>
      <c r="S240" s="954">
        <f ca="1">IFERROR($K240*44/12*参考2_エネ使用量経年!$K133*参考2_エネ使用量経年!S133,"")</f>
        <v>0</v>
      </c>
      <c r="T240" s="954">
        <f ca="1">IFERROR($H240*44/12*参考2_エネ使用量経年!$H133*参考2_エネ使用量経年!T133,"")</f>
        <v>0</v>
      </c>
      <c r="U240" s="954">
        <f ca="1">IFERROR($I240*44/12*参考2_エネ使用量経年!$I133*参考2_エネ使用量経年!U133,"")</f>
        <v>0</v>
      </c>
      <c r="V240" s="954">
        <f ca="1">IFERROR($J240*44/12*参考2_エネ使用量経年!$J133*参考2_エネ使用量経年!V133,"")</f>
        <v>0</v>
      </c>
      <c r="W240" s="954">
        <f ca="1">IFERROR($K240*44/12*参考2_エネ使用量経年!$K133*参考2_エネ使用量経年!W133,"")</f>
        <v>0</v>
      </c>
      <c r="X240" s="959"/>
      <c r="Y240" s="959"/>
      <c r="Z240" s="959"/>
      <c r="AA240" s="959"/>
      <c r="AB240" s="959"/>
      <c r="AC240" s="959"/>
      <c r="AD240" s="959"/>
      <c r="AE240" s="959"/>
      <c r="AF240" s="959"/>
      <c r="AG240" s="959"/>
      <c r="AH240" s="959"/>
      <c r="AI240" s="959"/>
      <c r="AJ240" s="959"/>
      <c r="AK240" s="959"/>
      <c r="AL240" s="959"/>
      <c r="AM240" s="959"/>
      <c r="AN240" s="959"/>
      <c r="AO240" s="959"/>
      <c r="AP240" s="959"/>
      <c r="AQ240" s="959"/>
      <c r="AR240" s="959"/>
      <c r="AS240" s="959"/>
      <c r="AT240" s="959"/>
      <c r="AU240" s="959"/>
      <c r="AV240" s="959"/>
      <c r="AW240" s="959"/>
      <c r="AX240" s="959"/>
      <c r="AY240" s="959"/>
      <c r="AZ240" s="959"/>
      <c r="BA240" s="959"/>
      <c r="BB240" s="959"/>
      <c r="BC240" s="959"/>
      <c r="BD240" s="959"/>
      <c r="BE240" s="959"/>
      <c r="BF240" s="959"/>
      <c r="BG240" s="959"/>
      <c r="BH240" s="959"/>
      <c r="BI240" s="959"/>
      <c r="BJ240" s="959"/>
      <c r="BK240" s="959"/>
      <c r="BL240" s="959"/>
      <c r="BM240" s="959"/>
      <c r="BN240" s="959"/>
      <c r="BO240" s="959"/>
    </row>
    <row r="241" spans="1:68" ht="20.100000000000001" hidden="1" customHeight="1" outlineLevel="1">
      <c r="A241" s="786">
        <v>52</v>
      </c>
      <c r="B241" s="1870"/>
      <c r="C241" s="1872"/>
      <c r="D241" s="824" t="s">
        <v>4417</v>
      </c>
      <c r="E241" s="824"/>
      <c r="F241" s="825"/>
      <c r="G241" s="891" t="s">
        <v>4685</v>
      </c>
      <c r="H241" s="953">
        <f ca="1">IFERROR(OFFSET(貼付け_2024実績,$A241,6),"")</f>
        <v>0</v>
      </c>
      <c r="I241" s="953">
        <f ca="1">IFERROR(OFFSET(貼付け_2025実績,$A241,6),"")</f>
        <v>0</v>
      </c>
      <c r="J241" s="953">
        <f ca="1">IFERROR(OFFSET(貼付け_2026実績,$A241,6),"")</f>
        <v>0</v>
      </c>
      <c r="K241" s="953">
        <f ca="1">IFERROR(OFFSET(貼付け_2027実績,$A241,6),"")</f>
        <v>0</v>
      </c>
      <c r="L241" s="954">
        <f ca="1">IFERROR($H241*44/12*参考2_エネ使用量経年!$H134*参考2_エネ使用量経年!L134,"")</f>
        <v>0</v>
      </c>
      <c r="M241" s="954">
        <f ca="1">IFERROR($I241*44/12*参考2_エネ使用量経年!$I134*参考2_エネ使用量経年!M134,"")</f>
        <v>0</v>
      </c>
      <c r="N241" s="954">
        <f ca="1">IFERROR($J241*44/12*参考2_エネ使用量経年!$J134*参考2_エネ使用量経年!N134,"")</f>
        <v>0</v>
      </c>
      <c r="O241" s="954">
        <f ca="1">IFERROR($K241*44/12*参考2_エネ使用量経年!$K134*参考2_エネ使用量経年!O134,"")</f>
        <v>0</v>
      </c>
      <c r="P241" s="954">
        <f ca="1">IFERROR($H241*44/12*参考2_エネ使用量経年!$H134*参考2_エネ使用量経年!P134,"")</f>
        <v>0</v>
      </c>
      <c r="Q241" s="954">
        <f ca="1">IFERROR($I241*44/12*参考2_エネ使用量経年!$I134*参考2_エネ使用量経年!Q134,"")</f>
        <v>0</v>
      </c>
      <c r="R241" s="954">
        <f ca="1">IFERROR($J241*44/12*参考2_エネ使用量経年!$J134*参考2_エネ使用量経年!R134,"")</f>
        <v>0</v>
      </c>
      <c r="S241" s="954">
        <f ca="1">IFERROR($K241*44/12*参考2_エネ使用量経年!$K134*参考2_エネ使用量経年!S134,"")</f>
        <v>0</v>
      </c>
      <c r="T241" s="954">
        <f ca="1">IFERROR($H241*44/12*参考2_エネ使用量経年!$H134*参考2_エネ使用量経年!T134,"")</f>
        <v>0</v>
      </c>
      <c r="U241" s="954">
        <f ca="1">IFERROR($I241*44/12*参考2_エネ使用量経年!$I134*参考2_エネ使用量経年!U134,"")</f>
        <v>0</v>
      </c>
      <c r="V241" s="954">
        <f ca="1">IFERROR($J241*44/12*参考2_エネ使用量経年!$J134*参考2_エネ使用量経年!V134,"")</f>
        <v>0</v>
      </c>
      <c r="W241" s="954">
        <f ca="1">IFERROR($K241*44/12*参考2_エネ使用量経年!$K134*参考2_エネ使用量経年!W134,"")</f>
        <v>0</v>
      </c>
      <c r="X241" s="959"/>
      <c r="Y241" s="959"/>
      <c r="Z241" s="959"/>
      <c r="AA241" s="959"/>
      <c r="AB241" s="959"/>
      <c r="AC241" s="959"/>
      <c r="AD241" s="959"/>
      <c r="AE241" s="959"/>
      <c r="AF241" s="959"/>
      <c r="AG241" s="959"/>
      <c r="AH241" s="959"/>
      <c r="AI241" s="959"/>
      <c r="AJ241" s="959"/>
      <c r="AK241" s="959"/>
      <c r="AL241" s="959"/>
      <c r="AM241" s="959"/>
      <c r="AN241" s="959"/>
      <c r="AO241" s="959"/>
      <c r="AP241" s="959"/>
      <c r="AQ241" s="959"/>
      <c r="AR241" s="959"/>
      <c r="AS241" s="959"/>
      <c r="AT241" s="959"/>
      <c r="AU241" s="959"/>
      <c r="AV241" s="959"/>
      <c r="AW241" s="959"/>
      <c r="AX241" s="959"/>
      <c r="AY241" s="959"/>
      <c r="AZ241" s="959"/>
      <c r="BA241" s="959"/>
      <c r="BB241" s="959"/>
      <c r="BC241" s="959"/>
      <c r="BD241" s="959"/>
      <c r="BE241" s="959"/>
      <c r="BF241" s="959"/>
      <c r="BG241" s="959"/>
      <c r="BH241" s="959"/>
      <c r="BI241" s="959"/>
      <c r="BJ241" s="959"/>
      <c r="BK241" s="959"/>
      <c r="BL241" s="959"/>
      <c r="BM241" s="959"/>
      <c r="BN241" s="959"/>
      <c r="BO241" s="959"/>
    </row>
    <row r="242" spans="1:68" ht="20.100000000000001" hidden="1" customHeight="1" outlineLevel="1">
      <c r="A242" s="786">
        <v>53</v>
      </c>
      <c r="B242" s="1870"/>
      <c r="C242" s="1872"/>
      <c r="D242" s="824" t="s">
        <v>4192</v>
      </c>
      <c r="E242" s="824"/>
      <c r="F242" s="825"/>
      <c r="G242" s="891" t="s">
        <v>4685</v>
      </c>
      <c r="H242" s="953">
        <f ca="1">IFERROR(OFFSET(貼付け_2024実績,$A242,6),"")</f>
        <v>0</v>
      </c>
      <c r="I242" s="953">
        <f ca="1">IFERROR(OFFSET(貼付け_2025実績,$A242,6),"")</f>
        <v>0</v>
      </c>
      <c r="J242" s="953">
        <f ca="1">IFERROR(OFFSET(貼付け_2026実績,$A242,6),"")</f>
        <v>0</v>
      </c>
      <c r="K242" s="953">
        <f ca="1">IFERROR(OFFSET(貼付け_2027実績,$A242,6),"")</f>
        <v>0</v>
      </c>
      <c r="L242" s="954">
        <f ca="1">IFERROR($H242*44/12*参考2_エネ使用量経年!$H135*参考2_エネ使用量経年!L135,"")</f>
        <v>0</v>
      </c>
      <c r="M242" s="954">
        <f ca="1">IFERROR($I242*44/12*参考2_エネ使用量経年!$I135*参考2_エネ使用量経年!M135,"")</f>
        <v>0</v>
      </c>
      <c r="N242" s="954">
        <f ca="1">IFERROR($J242*44/12*参考2_エネ使用量経年!$J135*参考2_エネ使用量経年!N135,"")</f>
        <v>0</v>
      </c>
      <c r="O242" s="954">
        <f ca="1">IFERROR($K242*44/12*参考2_エネ使用量経年!$K135*参考2_エネ使用量経年!O135,"")</f>
        <v>0</v>
      </c>
      <c r="P242" s="954">
        <f ca="1">IFERROR($H242*44/12*参考2_エネ使用量経年!$H135*参考2_エネ使用量経年!P135,"")</f>
        <v>0</v>
      </c>
      <c r="Q242" s="954">
        <f ca="1">IFERROR($I242*44/12*参考2_エネ使用量経年!$I135*参考2_エネ使用量経年!Q135,"")</f>
        <v>0</v>
      </c>
      <c r="R242" s="954">
        <f ca="1">IFERROR($J242*44/12*参考2_エネ使用量経年!$J135*参考2_エネ使用量経年!R135,"")</f>
        <v>0</v>
      </c>
      <c r="S242" s="954">
        <f ca="1">IFERROR($K242*44/12*参考2_エネ使用量経年!$K135*参考2_エネ使用量経年!S135,"")</f>
        <v>0</v>
      </c>
      <c r="T242" s="954">
        <f ca="1">IFERROR($H242*44/12*参考2_エネ使用量経年!$H135*参考2_エネ使用量経年!T135,"")</f>
        <v>0</v>
      </c>
      <c r="U242" s="954">
        <f ca="1">IFERROR($I242*44/12*参考2_エネ使用量経年!$I135*参考2_エネ使用量経年!U135,"")</f>
        <v>0</v>
      </c>
      <c r="V242" s="954">
        <f ca="1">IFERROR($J242*44/12*参考2_エネ使用量経年!$J135*参考2_エネ使用量経年!V135,"")</f>
        <v>0</v>
      </c>
      <c r="W242" s="954">
        <f ca="1">IFERROR($K242*44/12*参考2_エネ使用量経年!$K135*参考2_エネ使用量経年!W135,"")</f>
        <v>0</v>
      </c>
      <c r="X242" s="959"/>
      <c r="Y242" s="959"/>
      <c r="Z242" s="959"/>
      <c r="AA242" s="959"/>
      <c r="AB242" s="959"/>
      <c r="AC242" s="959"/>
      <c r="AD242" s="959"/>
      <c r="AE242" s="959"/>
      <c r="AF242" s="959"/>
      <c r="AG242" s="959"/>
      <c r="AH242" s="959"/>
      <c r="AI242" s="959"/>
      <c r="AJ242" s="959"/>
      <c r="AK242" s="959"/>
      <c r="AL242" s="959"/>
      <c r="AM242" s="959"/>
      <c r="AN242" s="959"/>
      <c r="AO242" s="959"/>
      <c r="AP242" s="959"/>
      <c r="AQ242" s="959"/>
      <c r="AR242" s="959"/>
      <c r="AS242" s="959"/>
      <c r="AT242" s="959"/>
      <c r="AU242" s="959"/>
      <c r="AV242" s="959"/>
      <c r="AW242" s="959"/>
      <c r="AX242" s="959"/>
      <c r="AY242" s="959"/>
      <c r="AZ242" s="959"/>
      <c r="BA242" s="959"/>
      <c r="BB242" s="959"/>
      <c r="BC242" s="959"/>
      <c r="BD242" s="959"/>
      <c r="BE242" s="959"/>
      <c r="BF242" s="959"/>
      <c r="BG242" s="959"/>
      <c r="BH242" s="959"/>
      <c r="BI242" s="959"/>
      <c r="BJ242" s="959"/>
      <c r="BK242" s="959"/>
      <c r="BL242" s="959"/>
      <c r="BM242" s="959"/>
      <c r="BN242" s="959"/>
      <c r="BO242" s="959"/>
    </row>
    <row r="243" spans="1:68" ht="20.100000000000001" hidden="1" customHeight="1" outlineLevel="1">
      <c r="A243" s="786">
        <v>200</v>
      </c>
      <c r="B243" s="1870"/>
      <c r="C243" s="1872"/>
      <c r="D243" s="824" t="s">
        <v>4418</v>
      </c>
      <c r="E243" s="831" t="str">
        <f ca="1">参考2_エネ使用量経年!E136</f>
        <v/>
      </c>
      <c r="F243" s="833"/>
      <c r="G243" s="891" t="s">
        <v>4685</v>
      </c>
      <c r="H243" s="953">
        <f ca="1">IFERROR(OFFSET(貼付け_2024実績,$A243,16),"")</f>
        <v>0</v>
      </c>
      <c r="I243" s="953">
        <f ca="1">IFERROR(OFFSET(貼付け_2025実績,$A243,16),"")</f>
        <v>0</v>
      </c>
      <c r="J243" s="953">
        <f ca="1">IFERROR(OFFSET(貼付け_2026実績,$A243,16),"")</f>
        <v>0</v>
      </c>
      <c r="K243" s="953">
        <f ca="1">IFERROR(OFFSET(貼付け_2027実績,$A243,16),"")</f>
        <v>0</v>
      </c>
      <c r="L243" s="954">
        <f ca="1">IFERROR($H243*44/12*参考2_エネ使用量経年!$H136*参考2_エネ使用量経年!L136,"")</f>
        <v>0</v>
      </c>
      <c r="M243" s="954">
        <f ca="1">IFERROR($I243*44/12*参考2_エネ使用量経年!$I136*参考2_エネ使用量経年!M136,"")</f>
        <v>0</v>
      </c>
      <c r="N243" s="954">
        <f ca="1">IFERROR($J243*44/12*参考2_エネ使用量経年!$J136*参考2_エネ使用量経年!N136,"")</f>
        <v>0</v>
      </c>
      <c r="O243" s="954">
        <f ca="1">IFERROR($K243*44/12*参考2_エネ使用量経年!$K136*参考2_エネ使用量経年!O136,"")</f>
        <v>0</v>
      </c>
      <c r="P243" s="954">
        <f ca="1">IFERROR($H243*44/12*参考2_エネ使用量経年!$H136*参考2_エネ使用量経年!P136,"")</f>
        <v>0</v>
      </c>
      <c r="Q243" s="954">
        <f ca="1">IFERROR($I243*44/12*参考2_エネ使用量経年!$I136*参考2_エネ使用量経年!Q136,"")</f>
        <v>0</v>
      </c>
      <c r="R243" s="954">
        <f ca="1">IFERROR($J243*44/12*参考2_エネ使用量経年!$J136*参考2_エネ使用量経年!R136,"")</f>
        <v>0</v>
      </c>
      <c r="S243" s="954">
        <f ca="1">IFERROR($K243*44/12*参考2_エネ使用量経年!$K136*参考2_エネ使用量経年!S136,"")</f>
        <v>0</v>
      </c>
      <c r="T243" s="954">
        <f ca="1">IFERROR($H243*44/12*参考2_エネ使用量経年!$H136*参考2_エネ使用量経年!T136,"")</f>
        <v>0</v>
      </c>
      <c r="U243" s="954">
        <f ca="1">IFERROR($I243*44/12*参考2_エネ使用量経年!$I136*参考2_エネ使用量経年!U136,"")</f>
        <v>0</v>
      </c>
      <c r="V243" s="954">
        <f ca="1">IFERROR($J243*44/12*参考2_エネ使用量経年!$J136*参考2_エネ使用量経年!V136,"")</f>
        <v>0</v>
      </c>
      <c r="W243" s="954">
        <f ca="1">IFERROR($K243*44/12*参考2_エネ使用量経年!$K136*参考2_エネ使用量経年!W136,"")</f>
        <v>0</v>
      </c>
      <c r="X243" s="959"/>
      <c r="Y243" s="959"/>
      <c r="Z243" s="959"/>
      <c r="AA243" s="959"/>
      <c r="AB243" s="959"/>
      <c r="AC243" s="959"/>
      <c r="AD243" s="959"/>
      <c r="AE243" s="959"/>
      <c r="AF243" s="959"/>
      <c r="AG243" s="959"/>
      <c r="AH243" s="959"/>
      <c r="AI243" s="959"/>
      <c r="AJ243" s="959"/>
      <c r="AK243" s="959"/>
      <c r="AL243" s="959"/>
      <c r="AM243" s="959"/>
      <c r="AN243" s="959"/>
      <c r="AO243" s="959"/>
      <c r="AP243" s="959"/>
      <c r="AQ243" s="959"/>
      <c r="AR243" s="959"/>
      <c r="AS243" s="959"/>
      <c r="AT243" s="959"/>
      <c r="AU243" s="959"/>
      <c r="AV243" s="959"/>
      <c r="AW243" s="959"/>
      <c r="AX243" s="959"/>
      <c r="AY243" s="959"/>
      <c r="AZ243" s="959"/>
      <c r="BA243" s="959"/>
      <c r="BB243" s="959"/>
      <c r="BC243" s="959"/>
      <c r="BD243" s="959"/>
      <c r="BE243" s="959"/>
      <c r="BF243" s="959"/>
      <c r="BG243" s="959"/>
      <c r="BH243" s="959"/>
      <c r="BI243" s="959"/>
      <c r="BJ243" s="959"/>
      <c r="BK243" s="959"/>
      <c r="BL243" s="959"/>
      <c r="BM243" s="959"/>
      <c r="BN243" s="959"/>
      <c r="BO243" s="959"/>
    </row>
    <row r="244" spans="1:68" ht="20.100000000000001" hidden="1" customHeight="1" outlineLevel="1">
      <c r="A244" s="786">
        <v>15</v>
      </c>
      <c r="B244" s="1869" t="s">
        <v>4434</v>
      </c>
      <c r="C244" s="933" t="s">
        <v>4435</v>
      </c>
      <c r="D244" s="934"/>
      <c r="E244" s="829"/>
      <c r="F244" s="849"/>
      <c r="G244" s="891" t="s">
        <v>4685</v>
      </c>
      <c r="H244" s="955"/>
      <c r="I244" s="955"/>
      <c r="J244" s="955"/>
      <c r="K244" s="955"/>
      <c r="L244" s="954">
        <f ca="1">IFERROR(OFFSET(A1_集計2024,$A244,7)+OFFSET(A1_集計2024,$A244,8),0)</f>
        <v>0</v>
      </c>
      <c r="M244" s="954">
        <f ca="1">IFERROR(OFFSET(A1_集計2025,$A244,7)+OFFSET(A1_集計2025,$A244,8),0)</f>
        <v>0</v>
      </c>
      <c r="N244" s="954">
        <f ca="1">IFERROR(OFFSET(A1_集計2026,$A244,7)+OFFSET(A1_集計2026,$A244,8),0)</f>
        <v>0</v>
      </c>
      <c r="O244" s="954">
        <f ca="1">IFERROR(OFFSET(A1_集計2027,$A244,7)+OFFSET(A1_集計2027,$A244,8),0)</f>
        <v>0</v>
      </c>
      <c r="P244" s="954">
        <f ca="1">IFERROR(OFFSET(A1_集計2024,$A244,7),0)</f>
        <v>0</v>
      </c>
      <c r="Q244" s="954">
        <f ca="1">IFERROR(OFFSET(A1_集計2025,$A244,7),0)</f>
        <v>0</v>
      </c>
      <c r="R244" s="954">
        <f ca="1">IFERROR(OFFSET(A1_集計2026,$A244,7),0)</f>
        <v>0</v>
      </c>
      <c r="S244" s="954">
        <f ca="1">IFERROR(OFFSET(A1_集計2027,$A244,7),0)</f>
        <v>0</v>
      </c>
      <c r="T244" s="954">
        <f ca="1">IFERROR(OFFSET(A1_集計2024,$A244,8),0)</f>
        <v>0</v>
      </c>
      <c r="U244" s="954">
        <f ca="1">IFERROR(OFFSET(A1_集計2025,$A244,8),0)</f>
        <v>0</v>
      </c>
      <c r="V244" s="954">
        <f ca="1">IFERROR(OFFSET(A1_集計2026,$A244,8),0)</f>
        <v>0</v>
      </c>
      <c r="W244" s="954">
        <f ca="1">IFERROR(OFFSET(A1_集計2027,$A244,8),0)</f>
        <v>0</v>
      </c>
      <c r="X244" s="959"/>
      <c r="Y244" s="959"/>
      <c r="Z244" s="959"/>
      <c r="AA244" s="959"/>
      <c r="AB244" s="959"/>
      <c r="AC244" s="959"/>
      <c r="AD244" s="959"/>
      <c r="AE244" s="959"/>
      <c r="AF244" s="959"/>
      <c r="AG244" s="959"/>
      <c r="AH244" s="959"/>
      <c r="AI244" s="959"/>
      <c r="AJ244" s="959"/>
      <c r="AK244" s="959"/>
      <c r="AL244" s="959"/>
      <c r="AM244" s="959"/>
      <c r="AN244" s="959"/>
      <c r="AO244" s="959"/>
      <c r="AP244" s="959"/>
      <c r="AQ244" s="959"/>
      <c r="AR244" s="959"/>
      <c r="AS244" s="959"/>
      <c r="AT244" s="959"/>
      <c r="AU244" s="959"/>
      <c r="AV244" s="959"/>
      <c r="AW244" s="959"/>
      <c r="AX244" s="959"/>
      <c r="AY244" s="959"/>
      <c r="AZ244" s="959"/>
      <c r="BA244" s="959"/>
      <c r="BB244" s="959"/>
      <c r="BC244" s="959"/>
      <c r="BD244" s="959"/>
      <c r="BE244" s="959"/>
      <c r="BF244" s="959"/>
      <c r="BG244" s="959"/>
      <c r="BH244" s="959"/>
      <c r="BI244" s="959"/>
      <c r="BJ244" s="959"/>
      <c r="BK244" s="959"/>
      <c r="BL244" s="959"/>
      <c r="BM244" s="959"/>
      <c r="BN244" s="959"/>
      <c r="BO244" s="959"/>
      <c r="BP244" s="841"/>
    </row>
    <row r="245" spans="1:68" ht="20.100000000000001" hidden="1" customHeight="1" outlineLevel="1">
      <c r="A245" s="786">
        <v>74</v>
      </c>
      <c r="B245" s="1870"/>
      <c r="C245" s="1872" t="s">
        <v>4436</v>
      </c>
      <c r="D245" s="851" t="s">
        <v>4437</v>
      </c>
      <c r="E245" s="824"/>
      <c r="F245" s="849"/>
      <c r="G245" s="891" t="s">
        <v>4685</v>
      </c>
      <c r="H245" s="953">
        <f ca="1">IFERROR(OFFSET(貼付け_2024実績,$A245,6),"")</f>
        <v>0</v>
      </c>
      <c r="I245" s="953">
        <f ca="1">IFERROR(OFFSET(貼付け_2025実績,$A245,6),"")</f>
        <v>0</v>
      </c>
      <c r="J245" s="953">
        <f ca="1">IFERROR(OFFSET(貼付け_2026実績,$A245,6),"")</f>
        <v>0</v>
      </c>
      <c r="K245" s="953">
        <f ca="1">IFERROR(OFFSET(貼付け_2027実績,$A245,6),"")</f>
        <v>0</v>
      </c>
      <c r="L245" s="954">
        <f ca="1">IFERROR($H245*参考2_エネ使用量経年!L138*1000,"")</f>
        <v>0</v>
      </c>
      <c r="M245" s="954">
        <f ca="1">IFERROR($I245*参考2_エネ使用量経年!M138*1000,"")</f>
        <v>0</v>
      </c>
      <c r="N245" s="954">
        <f ca="1">IFERROR($J245*参考2_エネ使用量経年!N138*1000,"")</f>
        <v>0</v>
      </c>
      <c r="O245" s="954">
        <f ca="1">IFERROR($K245*参考2_エネ使用量経年!O138*1000,"")</f>
        <v>0</v>
      </c>
      <c r="P245" s="954">
        <f ca="1">IFERROR($H245*参考2_エネ使用量経年!P138*1000,"")</f>
        <v>0</v>
      </c>
      <c r="Q245" s="954">
        <f ca="1">IFERROR($I245*参考2_エネ使用量経年!Q138*1000,"")</f>
        <v>0</v>
      </c>
      <c r="R245" s="954">
        <f ca="1">IFERROR($J245*参考2_エネ使用量経年!R138*1000,"")</f>
        <v>0</v>
      </c>
      <c r="S245" s="954">
        <f ca="1">IFERROR($K245*参考2_エネ使用量経年!S138*1000,"")</f>
        <v>0</v>
      </c>
      <c r="T245" s="954">
        <f ca="1">IFERROR($H245*参考2_エネ使用量経年!T138*1000,"")</f>
        <v>0</v>
      </c>
      <c r="U245" s="954">
        <f ca="1">IFERROR($I245*参考2_エネ使用量経年!U138*1000,"")</f>
        <v>0</v>
      </c>
      <c r="V245" s="954">
        <f ca="1">IFERROR($J245*参考2_エネ使用量経年!V138*1000,"")</f>
        <v>0</v>
      </c>
      <c r="W245" s="954">
        <f ca="1">IFERROR($K245*参考2_エネ使用量経年!W138*1000,"")</f>
        <v>0</v>
      </c>
      <c r="X245" s="959"/>
      <c r="Y245" s="959"/>
      <c r="Z245" s="959"/>
      <c r="AA245" s="959"/>
      <c r="AB245" s="959"/>
      <c r="AC245" s="959"/>
      <c r="AD245" s="959"/>
      <c r="AE245" s="959"/>
      <c r="AF245" s="959"/>
      <c r="AG245" s="959"/>
      <c r="AH245" s="959"/>
      <c r="AI245" s="959"/>
      <c r="AJ245" s="959"/>
      <c r="AK245" s="959"/>
      <c r="AL245" s="959"/>
      <c r="AM245" s="959"/>
      <c r="AN245" s="959"/>
      <c r="AO245" s="959"/>
      <c r="AP245" s="959"/>
      <c r="AQ245" s="959"/>
      <c r="AR245" s="959"/>
      <c r="AS245" s="959"/>
      <c r="AT245" s="959"/>
      <c r="AU245" s="959"/>
      <c r="AV245" s="959"/>
      <c r="AW245" s="959"/>
      <c r="AX245" s="959"/>
      <c r="AY245" s="959"/>
      <c r="AZ245" s="959"/>
      <c r="BA245" s="959"/>
      <c r="BB245" s="959"/>
      <c r="BC245" s="959"/>
      <c r="BD245" s="959"/>
      <c r="BE245" s="959"/>
      <c r="BF245" s="959"/>
      <c r="BG245" s="959"/>
      <c r="BH245" s="959"/>
      <c r="BI245" s="959"/>
      <c r="BJ245" s="959"/>
      <c r="BK245" s="959"/>
      <c r="BL245" s="959"/>
      <c r="BM245" s="959"/>
      <c r="BN245" s="959"/>
      <c r="BO245" s="959"/>
      <c r="BP245" s="841"/>
    </row>
    <row r="246" spans="1:68" ht="20.100000000000001" hidden="1" customHeight="1" outlineLevel="1">
      <c r="A246" s="786">
        <v>76</v>
      </c>
      <c r="B246" s="1870"/>
      <c r="C246" s="1872"/>
      <c r="D246" s="853" t="s">
        <v>4438</v>
      </c>
      <c r="E246" s="824"/>
      <c r="F246" s="849"/>
      <c r="G246" s="891" t="s">
        <v>4685</v>
      </c>
      <c r="H246" s="953">
        <f ca="1">IFERROR(OFFSET(貼付け_2024実績,$A246,6),"")</f>
        <v>0</v>
      </c>
      <c r="I246" s="953">
        <f ca="1">IFERROR(OFFSET(貼付け_2025実績,$A246,6),"")</f>
        <v>0</v>
      </c>
      <c r="J246" s="953">
        <f ca="1">IFERROR(OFFSET(貼付け_2026実績,$A246,6),"")</f>
        <v>0</v>
      </c>
      <c r="K246" s="953">
        <f ca="1">IFERROR(OFFSET(貼付け_2027実績,$A246,6),"")</f>
        <v>0</v>
      </c>
      <c r="L246" s="954">
        <f ca="1">IFERROR($H246*参考2_エネ使用量経年!L139*1000,"")</f>
        <v>0</v>
      </c>
      <c r="M246" s="954">
        <f ca="1">IFERROR($I246*参考2_エネ使用量経年!M139*1000,"")</f>
        <v>0</v>
      </c>
      <c r="N246" s="954">
        <f ca="1">IFERROR($J246*参考2_エネ使用量経年!N139*1000,"")</f>
        <v>0</v>
      </c>
      <c r="O246" s="954">
        <f ca="1">IFERROR($K246*参考2_エネ使用量経年!O139*1000,"")</f>
        <v>0</v>
      </c>
      <c r="P246" s="954">
        <f ca="1">IFERROR($H246*参考2_エネ使用量経年!P139*1000,"")</f>
        <v>0</v>
      </c>
      <c r="Q246" s="954">
        <f ca="1">IFERROR($I246*参考2_エネ使用量経年!Q139*1000,"")</f>
        <v>0</v>
      </c>
      <c r="R246" s="954">
        <f ca="1">IFERROR($J246*参考2_エネ使用量経年!R139*1000,"")</f>
        <v>0</v>
      </c>
      <c r="S246" s="954">
        <f ca="1">IFERROR($K246*参考2_エネ使用量経年!S139*1000,"")</f>
        <v>0</v>
      </c>
      <c r="T246" s="954">
        <f ca="1">IFERROR($H246*参考2_エネ使用量経年!T139*1000,"")</f>
        <v>0</v>
      </c>
      <c r="U246" s="954">
        <f ca="1">IFERROR($I246*参考2_エネ使用量経年!U139*1000,"")</f>
        <v>0</v>
      </c>
      <c r="V246" s="954">
        <f ca="1">IFERROR($J246*参考2_エネ使用量経年!V139*1000,"")</f>
        <v>0</v>
      </c>
      <c r="W246" s="954">
        <f ca="1">IFERROR($K246*参考2_エネ使用量経年!W139*1000,"")</f>
        <v>0</v>
      </c>
      <c r="X246" s="959"/>
      <c r="Y246" s="959"/>
      <c r="Z246" s="959"/>
      <c r="AA246" s="959"/>
      <c r="AB246" s="959"/>
      <c r="AC246" s="959"/>
      <c r="AD246" s="959"/>
      <c r="AE246" s="959"/>
      <c r="AF246" s="959"/>
      <c r="AG246" s="959"/>
      <c r="AH246" s="959"/>
      <c r="AI246" s="959"/>
      <c r="AJ246" s="959"/>
      <c r="AK246" s="959"/>
      <c r="AL246" s="959"/>
      <c r="AM246" s="959"/>
      <c r="AN246" s="959"/>
      <c r="AO246" s="959"/>
      <c r="AP246" s="959"/>
      <c r="AQ246" s="959"/>
      <c r="AR246" s="959"/>
      <c r="AS246" s="959"/>
      <c r="AT246" s="959"/>
      <c r="AU246" s="959"/>
      <c r="AV246" s="959"/>
      <c r="AW246" s="959"/>
      <c r="AX246" s="959"/>
      <c r="AY246" s="959"/>
      <c r="AZ246" s="959"/>
      <c r="BA246" s="959"/>
      <c r="BB246" s="959"/>
      <c r="BC246" s="959"/>
      <c r="BD246" s="959"/>
      <c r="BE246" s="959"/>
      <c r="BF246" s="959"/>
      <c r="BG246" s="959"/>
      <c r="BH246" s="959"/>
      <c r="BI246" s="959"/>
      <c r="BJ246" s="959"/>
      <c r="BK246" s="959"/>
      <c r="BL246" s="959"/>
      <c r="BM246" s="959"/>
      <c r="BN246" s="959"/>
      <c r="BO246" s="959"/>
      <c r="BP246" s="841"/>
    </row>
    <row r="247" spans="1:68" ht="20.100000000000001" hidden="1" customHeight="1" outlineLevel="1">
      <c r="A247" s="1032">
        <v>202</v>
      </c>
      <c r="B247" s="1870"/>
      <c r="C247" s="1872"/>
      <c r="D247" s="853" t="s">
        <v>4250</v>
      </c>
      <c r="E247" s="831" t="str">
        <f ca="1">参考2_エネ使用量経年!E140</f>
        <v/>
      </c>
      <c r="F247" s="833"/>
      <c r="G247" s="891" t="s">
        <v>4685</v>
      </c>
      <c r="H247" s="953">
        <f ca="1">IFERROR(OFFSET(貼付け_2024実績,$A247,16),"")</f>
        <v>0</v>
      </c>
      <c r="I247" s="953">
        <f ca="1">IFERROR(OFFSET(貼付け_2025実績,$A247,16),"")</f>
        <v>0</v>
      </c>
      <c r="J247" s="953">
        <f ca="1">IFERROR(OFFSET(貼付け_2026実績,$A247,16),"")</f>
        <v>0</v>
      </c>
      <c r="K247" s="953">
        <f ca="1">IFERROR(OFFSET(貼付け_2027実績,$A247,16),"")</f>
        <v>0</v>
      </c>
      <c r="L247" s="954">
        <f ca="1">IFERROR($H247*参考2_エネ使用量経年!L140*1000,"")</f>
        <v>0</v>
      </c>
      <c r="M247" s="954">
        <f ca="1">IFERROR($I247*参考2_エネ使用量経年!M140*1000,"")</f>
        <v>0</v>
      </c>
      <c r="N247" s="954">
        <f ca="1">IFERROR($J247*参考2_エネ使用量経年!N140*1000,"")</f>
        <v>0</v>
      </c>
      <c r="O247" s="954">
        <f ca="1">IFERROR($K247*参考2_エネ使用量経年!O140*1000,"")</f>
        <v>0</v>
      </c>
      <c r="P247" s="954">
        <f ca="1">IFERROR($H247*参考2_エネ使用量経年!P140*1000,"")</f>
        <v>0</v>
      </c>
      <c r="Q247" s="954">
        <f ca="1">IFERROR($I247*参考2_エネ使用量経年!Q140*1000,"")</f>
        <v>0</v>
      </c>
      <c r="R247" s="954">
        <f ca="1">IFERROR($J247*参考2_エネ使用量経年!R140*1000,"")</f>
        <v>0</v>
      </c>
      <c r="S247" s="954">
        <f ca="1">IFERROR($K247*参考2_エネ使用量経年!S140*1000,"")</f>
        <v>0</v>
      </c>
      <c r="T247" s="954">
        <f ca="1">IFERROR($H247*参考2_エネ使用量経年!T140*1000,"")</f>
        <v>0</v>
      </c>
      <c r="U247" s="954">
        <f ca="1">IFERROR($I247*参考2_エネ使用量経年!U140*1000,"")</f>
        <v>0</v>
      </c>
      <c r="V247" s="954">
        <f ca="1">IFERROR($J247*参考2_エネ使用量経年!V140*1000,"")</f>
        <v>0</v>
      </c>
      <c r="W247" s="954">
        <f ca="1">IFERROR($K247*参考2_エネ使用量経年!W140*1000,"")</f>
        <v>0</v>
      </c>
      <c r="X247" s="959"/>
      <c r="Y247" s="959"/>
      <c r="Z247" s="959"/>
      <c r="AA247" s="959"/>
      <c r="AB247" s="959"/>
      <c r="AC247" s="959"/>
      <c r="AD247" s="959"/>
      <c r="AE247" s="959"/>
      <c r="AF247" s="959"/>
      <c r="AG247" s="959"/>
      <c r="AH247" s="959"/>
      <c r="AI247" s="959"/>
      <c r="AJ247" s="959"/>
      <c r="AK247" s="959"/>
      <c r="AL247" s="959"/>
      <c r="AM247" s="959"/>
      <c r="AN247" s="959"/>
      <c r="AO247" s="959"/>
      <c r="AP247" s="959"/>
      <c r="AQ247" s="959"/>
      <c r="AR247" s="959"/>
      <c r="AS247" s="959"/>
      <c r="AT247" s="959"/>
      <c r="AU247" s="959"/>
      <c r="AV247" s="959"/>
      <c r="AW247" s="959"/>
      <c r="AX247" s="959"/>
      <c r="AY247" s="959"/>
      <c r="AZ247" s="959"/>
      <c r="BA247" s="959"/>
      <c r="BB247" s="959"/>
      <c r="BC247" s="959"/>
      <c r="BD247" s="959"/>
      <c r="BE247" s="959"/>
      <c r="BF247" s="959"/>
      <c r="BG247" s="959"/>
      <c r="BH247" s="959"/>
      <c r="BI247" s="959"/>
      <c r="BJ247" s="959"/>
      <c r="BK247" s="959"/>
      <c r="BL247" s="959"/>
      <c r="BM247" s="959"/>
      <c r="BN247" s="959"/>
      <c r="BO247" s="959"/>
      <c r="BP247" s="841"/>
    </row>
    <row r="248" spans="1:68" ht="20.100000000000001" hidden="1" customHeight="1" outlineLevel="1">
      <c r="A248" s="1032">
        <v>203</v>
      </c>
      <c r="B248" s="1870"/>
      <c r="C248" s="1872"/>
      <c r="D248" s="944" t="s">
        <v>4251</v>
      </c>
      <c r="E248" s="831" t="str">
        <f ca="1">参考2_エネ使用量経年!E141</f>
        <v/>
      </c>
      <c r="F248" s="833"/>
      <c r="G248" s="891" t="s">
        <v>4685</v>
      </c>
      <c r="H248" s="953">
        <f ca="1">IFERROR(OFFSET(貼付け_2024実績,$A248,16),"")</f>
        <v>0</v>
      </c>
      <c r="I248" s="953">
        <f ca="1">IFERROR(OFFSET(貼付け_2025実績,$A248,16),"")</f>
        <v>0</v>
      </c>
      <c r="J248" s="953">
        <f ca="1">IFERROR(OFFSET(貼付け_2026実績,$A248,16),"")</f>
        <v>0</v>
      </c>
      <c r="K248" s="953">
        <f ca="1">IFERROR(OFFSET(貼付け_2027実績,$A248,16),"")</f>
        <v>0</v>
      </c>
      <c r="L248" s="954">
        <f ca="1">IFERROR($H248*参考2_エネ使用量経年!L141*1000,"")</f>
        <v>0</v>
      </c>
      <c r="M248" s="954">
        <f ca="1">IFERROR($I248*参考2_エネ使用量経年!M141*1000,"")</f>
        <v>0</v>
      </c>
      <c r="N248" s="954">
        <f ca="1">IFERROR($J248*参考2_エネ使用量経年!N141*1000,"")</f>
        <v>0</v>
      </c>
      <c r="O248" s="954">
        <f ca="1">IFERROR($K248*参考2_エネ使用量経年!O141*1000,"")</f>
        <v>0</v>
      </c>
      <c r="P248" s="954">
        <f ca="1">IFERROR($H248*参考2_エネ使用量経年!P141*1000,"")</f>
        <v>0</v>
      </c>
      <c r="Q248" s="954">
        <f ca="1">IFERROR($I248*参考2_エネ使用量経年!Q141*1000,"")</f>
        <v>0</v>
      </c>
      <c r="R248" s="954">
        <f ca="1">IFERROR($J248*参考2_エネ使用量経年!R141*1000,"")</f>
        <v>0</v>
      </c>
      <c r="S248" s="954">
        <f ca="1">IFERROR($K248*参考2_エネ使用量経年!S141*1000,"")</f>
        <v>0</v>
      </c>
      <c r="T248" s="954">
        <f ca="1">IFERROR($H248*参考2_エネ使用量経年!T141*1000,"")</f>
        <v>0</v>
      </c>
      <c r="U248" s="954">
        <f ca="1">IFERROR($I248*参考2_エネ使用量経年!U141*1000,"")</f>
        <v>0</v>
      </c>
      <c r="V248" s="954">
        <f ca="1">IFERROR($J248*参考2_エネ使用量経年!V141*1000,"")</f>
        <v>0</v>
      </c>
      <c r="W248" s="954">
        <f ca="1">IFERROR($K248*参考2_エネ使用量経年!W141*1000,"")</f>
        <v>0</v>
      </c>
      <c r="X248" s="959"/>
      <c r="Y248" s="959"/>
      <c r="Z248" s="959"/>
      <c r="AA248" s="959"/>
      <c r="AB248" s="959"/>
      <c r="AC248" s="959"/>
      <c r="AD248" s="959"/>
      <c r="AE248" s="959"/>
      <c r="AF248" s="959"/>
      <c r="AG248" s="959"/>
      <c r="AH248" s="959"/>
      <c r="AI248" s="959"/>
      <c r="AJ248" s="959"/>
      <c r="AK248" s="959"/>
      <c r="AL248" s="959"/>
      <c r="AM248" s="959"/>
      <c r="AN248" s="959"/>
      <c r="AO248" s="959"/>
      <c r="AP248" s="959"/>
      <c r="AQ248" s="959"/>
      <c r="AR248" s="959"/>
      <c r="AS248" s="959"/>
      <c r="AT248" s="959"/>
      <c r="AU248" s="959"/>
      <c r="AV248" s="959"/>
      <c r="AW248" s="959"/>
      <c r="AX248" s="959"/>
      <c r="AY248" s="959"/>
      <c r="AZ248" s="959"/>
      <c r="BA248" s="959"/>
      <c r="BB248" s="959"/>
      <c r="BC248" s="959"/>
      <c r="BD248" s="959"/>
      <c r="BE248" s="959"/>
      <c r="BF248" s="959"/>
      <c r="BG248" s="959"/>
      <c r="BH248" s="959"/>
      <c r="BI248" s="959"/>
      <c r="BJ248" s="959"/>
      <c r="BK248" s="959"/>
      <c r="BL248" s="959"/>
      <c r="BM248" s="959"/>
      <c r="BN248" s="959"/>
      <c r="BO248" s="959"/>
      <c r="BP248" s="841"/>
    </row>
    <row r="249" spans="1:68" ht="19.5" customHeight="1" collapsed="1">
      <c r="B249" s="964" t="s">
        <v>4494</v>
      </c>
      <c r="C249" s="878"/>
      <c r="D249" s="913" t="s">
        <v>4495</v>
      </c>
      <c r="E249" s="965"/>
      <c r="F249" s="901" t="s">
        <v>4468</v>
      </c>
      <c r="G249" s="891" t="s">
        <v>4685</v>
      </c>
      <c r="H249" s="959"/>
      <c r="I249" s="959"/>
      <c r="J249" s="959"/>
      <c r="K249" s="959"/>
      <c r="L249" s="954">
        <f t="shared" ref="L249:O249" ca="1" si="72">SUM(L230:L243)</f>
        <v>0</v>
      </c>
      <c r="M249" s="954">
        <f t="shared" ca="1" si="72"/>
        <v>0</v>
      </c>
      <c r="N249" s="954">
        <f t="shared" ca="1" si="72"/>
        <v>0</v>
      </c>
      <c r="O249" s="954">
        <f t="shared" ca="1" si="72"/>
        <v>0</v>
      </c>
      <c r="P249" s="990">
        <f ca="1">SUM(P230:P243)</f>
        <v>0</v>
      </c>
      <c r="Q249" s="990">
        <f t="shared" ref="Q249:W249" ca="1" si="73">SUM(Q230:Q243)</f>
        <v>0</v>
      </c>
      <c r="R249" s="990">
        <f t="shared" ca="1" si="73"/>
        <v>0</v>
      </c>
      <c r="S249" s="990">
        <f t="shared" ca="1" si="73"/>
        <v>0</v>
      </c>
      <c r="T249" s="990">
        <f t="shared" ca="1" si="73"/>
        <v>0</v>
      </c>
      <c r="U249" s="990">
        <f t="shared" ca="1" si="73"/>
        <v>0</v>
      </c>
      <c r="V249" s="990">
        <f t="shared" ca="1" si="73"/>
        <v>0</v>
      </c>
      <c r="W249" s="990">
        <f t="shared" ca="1" si="73"/>
        <v>0</v>
      </c>
      <c r="X249" s="959"/>
      <c r="Y249" s="959"/>
      <c r="Z249" s="959"/>
      <c r="AA249" s="959"/>
      <c r="AB249" s="959"/>
      <c r="AC249" s="959"/>
      <c r="AD249" s="959"/>
      <c r="AE249" s="959"/>
      <c r="AF249" s="959"/>
      <c r="AG249" s="959"/>
      <c r="AH249" s="959"/>
      <c r="AI249" s="959"/>
      <c r="AJ249" s="959"/>
      <c r="AK249" s="959"/>
      <c r="AL249" s="959"/>
      <c r="AM249" s="959"/>
      <c r="AN249" s="959"/>
      <c r="AO249" s="959"/>
      <c r="AP249" s="959"/>
      <c r="AQ249" s="959"/>
      <c r="AR249" s="959"/>
      <c r="AS249" s="959"/>
      <c r="AT249" s="959"/>
      <c r="AU249" s="959"/>
      <c r="AV249" s="959"/>
      <c r="AW249" s="959"/>
      <c r="AX249" s="959"/>
      <c r="AY249" s="959"/>
      <c r="AZ249" s="959"/>
      <c r="BA249" s="959"/>
      <c r="BB249" s="959"/>
      <c r="BC249" s="959"/>
      <c r="BD249" s="959"/>
      <c r="BE249" s="959"/>
      <c r="BF249" s="959"/>
      <c r="BG249" s="959"/>
      <c r="BH249" s="959"/>
      <c r="BI249" s="959"/>
      <c r="BJ249" s="959"/>
      <c r="BK249" s="959"/>
      <c r="BL249" s="959"/>
      <c r="BM249" s="959"/>
      <c r="BN249" s="959"/>
      <c r="BO249" s="959"/>
      <c r="BP249" s="841"/>
    </row>
    <row r="250" spans="1:68" ht="21">
      <c r="B250" s="968" t="s">
        <v>4545</v>
      </c>
      <c r="C250" s="971"/>
      <c r="D250" s="913" t="s">
        <v>4500</v>
      </c>
      <c r="E250" s="970"/>
      <c r="F250" s="901" t="s">
        <v>4469</v>
      </c>
      <c r="G250" s="891" t="s">
        <v>4685</v>
      </c>
      <c r="H250" s="959"/>
      <c r="I250" s="959"/>
      <c r="J250" s="959"/>
      <c r="K250" s="959"/>
      <c r="L250" s="954">
        <f t="shared" ref="L250:O250" ca="1" si="74">SUM(L244:L248)</f>
        <v>0</v>
      </c>
      <c r="M250" s="954">
        <f t="shared" ca="1" si="74"/>
        <v>0</v>
      </c>
      <c r="N250" s="954">
        <f t="shared" ca="1" si="74"/>
        <v>0</v>
      </c>
      <c r="O250" s="954">
        <f t="shared" ca="1" si="74"/>
        <v>0</v>
      </c>
      <c r="P250" s="990">
        <f ca="1">SUM(P244:P248)</f>
        <v>0</v>
      </c>
      <c r="Q250" s="990">
        <f t="shared" ref="Q250:W250" ca="1" si="75">SUM(Q244:Q248)</f>
        <v>0</v>
      </c>
      <c r="R250" s="990">
        <f t="shared" ca="1" si="75"/>
        <v>0</v>
      </c>
      <c r="S250" s="990">
        <f t="shared" ca="1" si="75"/>
        <v>0</v>
      </c>
      <c r="T250" s="990">
        <f t="shared" ca="1" si="75"/>
        <v>0</v>
      </c>
      <c r="U250" s="990">
        <f t="shared" ca="1" si="75"/>
        <v>0</v>
      </c>
      <c r="V250" s="990">
        <f t="shared" ca="1" si="75"/>
        <v>0</v>
      </c>
      <c r="W250" s="990">
        <f t="shared" ca="1" si="75"/>
        <v>0</v>
      </c>
      <c r="X250" s="959"/>
      <c r="Y250" s="959"/>
      <c r="Z250" s="959"/>
      <c r="AA250" s="959"/>
      <c r="AB250" s="959"/>
      <c r="AC250" s="959"/>
      <c r="AD250" s="959"/>
      <c r="AE250" s="959"/>
      <c r="AF250" s="959"/>
      <c r="AG250" s="959"/>
      <c r="AH250" s="959"/>
      <c r="AI250" s="959"/>
      <c r="AJ250" s="959"/>
      <c r="AK250" s="959"/>
      <c r="AL250" s="959"/>
      <c r="AM250" s="959"/>
      <c r="AN250" s="959"/>
      <c r="AO250" s="959"/>
      <c r="AP250" s="959"/>
      <c r="AQ250" s="959"/>
      <c r="AR250" s="959"/>
      <c r="AS250" s="959"/>
      <c r="AT250" s="959"/>
      <c r="AU250" s="959"/>
      <c r="AV250" s="959"/>
      <c r="AW250" s="959"/>
      <c r="AX250" s="959"/>
      <c r="AY250" s="959"/>
      <c r="AZ250" s="959"/>
      <c r="BA250" s="959"/>
      <c r="BB250" s="959"/>
      <c r="BC250" s="959"/>
      <c r="BD250" s="959"/>
      <c r="BE250" s="959"/>
      <c r="BF250" s="959"/>
      <c r="BG250" s="959"/>
      <c r="BH250" s="959"/>
      <c r="BI250" s="959"/>
      <c r="BJ250" s="959"/>
      <c r="BK250" s="959"/>
      <c r="BL250" s="959"/>
      <c r="BM250" s="959"/>
      <c r="BN250" s="959"/>
      <c r="BO250" s="959"/>
      <c r="BP250" s="841"/>
    </row>
    <row r="251" spans="1:68" ht="21" customHeight="1">
      <c r="A251" s="786">
        <v>153</v>
      </c>
      <c r="B251" s="1909" t="s">
        <v>4502</v>
      </c>
      <c r="C251" s="1912" t="s">
        <v>4503</v>
      </c>
      <c r="D251" s="974" t="s">
        <v>4504</v>
      </c>
      <c r="E251" s="975"/>
      <c r="F251" s="976" t="s">
        <v>4452</v>
      </c>
      <c r="G251" s="977" t="s">
        <v>4686</v>
      </c>
      <c r="H251" s="959"/>
      <c r="I251" s="959"/>
      <c r="J251" s="959"/>
      <c r="K251" s="959"/>
      <c r="L251" s="979">
        <f t="shared" ref="L251:O264" ca="1" si="76">SUM(P251,T251)</f>
        <v>0</v>
      </c>
      <c r="M251" s="979">
        <f t="shared" ca="1" si="76"/>
        <v>0</v>
      </c>
      <c r="N251" s="979">
        <f t="shared" ca="1" si="76"/>
        <v>0</v>
      </c>
      <c r="O251" s="979">
        <f t="shared" ca="1" si="76"/>
        <v>0</v>
      </c>
      <c r="P251" s="981">
        <f t="shared" ref="P251:P264" ca="1" si="77">IFERROR(SUM(OFFSET(貼付け_2024実績,$A251,11,1,2)),"")</f>
        <v>0</v>
      </c>
      <c r="Q251" s="981">
        <f t="shared" ref="Q251:Q264" ca="1" si="78">IFERROR(SUM(OFFSET(貼付け_2025実績,$A251,11,1,2)),"")</f>
        <v>0</v>
      </c>
      <c r="R251" s="981">
        <f t="shared" ref="R251:R264" ca="1" si="79">IFERROR(SUM(OFFSET(貼付け_2026実績,$A251,11,1,2)),"")</f>
        <v>0</v>
      </c>
      <c r="S251" s="981">
        <f t="shared" ref="S251:S264" ca="1" si="80">IFERROR(SUM(OFFSET(貼付け_2027実績,$A251,11,1,2)),"")</f>
        <v>0</v>
      </c>
      <c r="T251" s="981">
        <f t="shared" ref="T251:T264" ca="1" si="81">IFERROR(OFFSET(貼付け_2024実績,$A251,10),"")</f>
        <v>0</v>
      </c>
      <c r="U251" s="981">
        <f t="shared" ref="U251:U264" ca="1" si="82">IFERROR(OFFSET(貼付け_2025実績,$A251,10),"")</f>
        <v>0</v>
      </c>
      <c r="V251" s="981">
        <f t="shared" ref="V251:V264" ca="1" si="83">IFERROR(OFFSET(貼付け_2026実績,$A251,10),"")</f>
        <v>0</v>
      </c>
      <c r="W251" s="981">
        <f t="shared" ref="W251:W264" ca="1" si="84">IFERROR(OFFSET(貼付け_2027実績,$A251,10),"")</f>
        <v>0</v>
      </c>
      <c r="X251" s="959"/>
      <c r="Y251" s="959"/>
      <c r="Z251" s="959"/>
      <c r="AA251" s="959"/>
      <c r="AB251" s="959"/>
      <c r="AC251" s="959"/>
      <c r="AD251" s="959"/>
      <c r="AE251" s="959"/>
      <c r="AF251" s="959"/>
      <c r="AG251" s="959"/>
      <c r="AH251" s="959"/>
      <c r="AI251" s="959"/>
      <c r="AJ251" s="959"/>
      <c r="AK251" s="959"/>
      <c r="AL251" s="959"/>
      <c r="AM251" s="959"/>
      <c r="AN251" s="959"/>
      <c r="AO251" s="959"/>
      <c r="AP251" s="959"/>
      <c r="AQ251" s="959"/>
      <c r="AR251" s="959"/>
      <c r="AS251" s="959"/>
      <c r="AT251" s="959"/>
      <c r="AU251" s="959"/>
      <c r="AV251" s="959"/>
      <c r="AW251" s="959"/>
      <c r="AX251" s="959"/>
      <c r="AY251" s="959"/>
      <c r="AZ251" s="959"/>
      <c r="BA251" s="959"/>
      <c r="BB251" s="959"/>
      <c r="BC251" s="959"/>
      <c r="BD251" s="959"/>
      <c r="BE251" s="959"/>
      <c r="BF251" s="959"/>
      <c r="BG251" s="959"/>
      <c r="BH251" s="959"/>
      <c r="BI251" s="959"/>
      <c r="BJ251" s="959"/>
      <c r="BK251" s="959"/>
      <c r="BL251" s="959"/>
      <c r="BM251" s="959"/>
      <c r="BN251" s="959"/>
      <c r="BO251" s="959"/>
      <c r="BP251" s="841"/>
    </row>
    <row r="252" spans="1:68" ht="21" customHeight="1">
      <c r="A252" s="786">
        <v>154</v>
      </c>
      <c r="B252" s="1910"/>
      <c r="C252" s="1913"/>
      <c r="D252" s="974" t="s">
        <v>4505</v>
      </c>
      <c r="E252" s="975"/>
      <c r="F252" s="976" t="s">
        <v>4453</v>
      </c>
      <c r="G252" s="977" t="s">
        <v>4686</v>
      </c>
      <c r="H252" s="959"/>
      <c r="I252" s="959"/>
      <c r="J252" s="959"/>
      <c r="K252" s="959"/>
      <c r="L252" s="979">
        <f t="shared" ca="1" si="76"/>
        <v>0</v>
      </c>
      <c r="M252" s="979">
        <f t="shared" ca="1" si="76"/>
        <v>0</v>
      </c>
      <c r="N252" s="979">
        <f t="shared" ca="1" si="76"/>
        <v>0</v>
      </c>
      <c r="O252" s="979">
        <f t="shared" ca="1" si="76"/>
        <v>0</v>
      </c>
      <c r="P252" s="981">
        <f t="shared" ca="1" si="77"/>
        <v>0</v>
      </c>
      <c r="Q252" s="981">
        <f t="shared" ca="1" si="78"/>
        <v>0</v>
      </c>
      <c r="R252" s="981">
        <f t="shared" ca="1" si="79"/>
        <v>0</v>
      </c>
      <c r="S252" s="981">
        <f t="shared" ca="1" si="80"/>
        <v>0</v>
      </c>
      <c r="T252" s="981">
        <f t="shared" ca="1" si="81"/>
        <v>0</v>
      </c>
      <c r="U252" s="981">
        <f t="shared" ca="1" si="82"/>
        <v>0</v>
      </c>
      <c r="V252" s="981">
        <f t="shared" ca="1" si="83"/>
        <v>0</v>
      </c>
      <c r="W252" s="981">
        <f t="shared" ca="1" si="84"/>
        <v>0</v>
      </c>
      <c r="X252" s="959"/>
      <c r="Y252" s="959"/>
      <c r="Z252" s="959"/>
      <c r="AA252" s="959"/>
      <c r="AB252" s="959"/>
      <c r="AC252" s="959"/>
      <c r="AD252" s="959"/>
      <c r="AE252" s="959"/>
      <c r="AF252" s="959"/>
      <c r="AG252" s="959"/>
      <c r="AH252" s="959"/>
      <c r="AI252" s="959"/>
      <c r="AJ252" s="959"/>
      <c r="AK252" s="959"/>
      <c r="AL252" s="959"/>
      <c r="AM252" s="959"/>
      <c r="AN252" s="959"/>
      <c r="AO252" s="959"/>
      <c r="AP252" s="959"/>
      <c r="AQ252" s="959"/>
      <c r="AR252" s="959"/>
      <c r="AS252" s="959"/>
      <c r="AT252" s="959"/>
      <c r="AU252" s="959"/>
      <c r="AV252" s="959"/>
      <c r="AW252" s="959"/>
      <c r="AX252" s="959"/>
      <c r="AY252" s="959"/>
      <c r="AZ252" s="959"/>
      <c r="BA252" s="959"/>
      <c r="BB252" s="959"/>
      <c r="BC252" s="959"/>
      <c r="BD252" s="959"/>
      <c r="BE252" s="959"/>
      <c r="BF252" s="959"/>
      <c r="BG252" s="959"/>
      <c r="BH252" s="959"/>
      <c r="BI252" s="959"/>
      <c r="BJ252" s="959"/>
      <c r="BK252" s="959"/>
      <c r="BL252" s="959"/>
      <c r="BM252" s="959"/>
      <c r="BN252" s="959"/>
      <c r="BO252" s="959"/>
      <c r="BP252" s="841"/>
    </row>
    <row r="253" spans="1:68">
      <c r="A253" s="786">
        <v>155</v>
      </c>
      <c r="B253" s="1910"/>
      <c r="C253" s="1913"/>
      <c r="D253" s="1915" t="s">
        <v>4506</v>
      </c>
      <c r="E253" s="982" t="s">
        <v>4507</v>
      </c>
      <c r="F253" s="976" t="s">
        <v>4455</v>
      </c>
      <c r="G253" s="977" t="s">
        <v>4235</v>
      </c>
      <c r="H253" s="959"/>
      <c r="I253" s="959"/>
      <c r="J253" s="959"/>
      <c r="K253" s="959"/>
      <c r="L253" s="979">
        <f t="shared" ca="1" si="76"/>
        <v>0</v>
      </c>
      <c r="M253" s="979">
        <f t="shared" ca="1" si="76"/>
        <v>0</v>
      </c>
      <c r="N253" s="979">
        <f t="shared" ca="1" si="76"/>
        <v>0</v>
      </c>
      <c r="O253" s="979">
        <f t="shared" ca="1" si="76"/>
        <v>0</v>
      </c>
      <c r="P253" s="981">
        <f t="shared" ca="1" si="77"/>
        <v>0</v>
      </c>
      <c r="Q253" s="981">
        <f t="shared" ca="1" si="78"/>
        <v>0</v>
      </c>
      <c r="R253" s="981">
        <f t="shared" ca="1" si="79"/>
        <v>0</v>
      </c>
      <c r="S253" s="981">
        <f t="shared" ca="1" si="80"/>
        <v>0</v>
      </c>
      <c r="T253" s="979">
        <f t="shared" ca="1" si="81"/>
        <v>0</v>
      </c>
      <c r="U253" s="979">
        <f t="shared" ca="1" si="82"/>
        <v>0</v>
      </c>
      <c r="V253" s="979">
        <f t="shared" ca="1" si="83"/>
        <v>0</v>
      </c>
      <c r="W253" s="979">
        <f t="shared" ca="1" si="84"/>
        <v>0</v>
      </c>
      <c r="X253" s="959"/>
      <c r="Y253" s="959"/>
      <c r="Z253" s="959"/>
      <c r="AA253" s="959"/>
      <c r="AB253" s="959"/>
      <c r="AC253" s="959"/>
      <c r="AD253" s="959"/>
      <c r="AE253" s="959"/>
      <c r="AF253" s="959"/>
      <c r="AG253" s="959"/>
      <c r="AH253" s="959"/>
      <c r="AI253" s="959"/>
      <c r="AJ253" s="959"/>
      <c r="AK253" s="959"/>
      <c r="AL253" s="959"/>
      <c r="AM253" s="959"/>
      <c r="AN253" s="959"/>
      <c r="AO253" s="959"/>
      <c r="AP253" s="959"/>
      <c r="AQ253" s="959"/>
      <c r="AR253" s="959"/>
      <c r="AS253" s="959"/>
      <c r="AT253" s="959"/>
      <c r="AU253" s="959"/>
      <c r="AV253" s="959"/>
      <c r="AW253" s="959"/>
      <c r="AX253" s="959"/>
      <c r="AY253" s="959"/>
      <c r="AZ253" s="959"/>
      <c r="BA253" s="959"/>
      <c r="BB253" s="959"/>
      <c r="BC253" s="959"/>
      <c r="BD253" s="959"/>
      <c r="BE253" s="959"/>
      <c r="BF253" s="959"/>
      <c r="BG253" s="959"/>
      <c r="BH253" s="959"/>
      <c r="BI253" s="959"/>
      <c r="BJ253" s="959"/>
      <c r="BK253" s="959"/>
      <c r="BL253" s="959"/>
      <c r="BM253" s="959"/>
      <c r="BN253" s="959"/>
      <c r="BO253" s="959"/>
      <c r="BP253" s="841"/>
    </row>
    <row r="254" spans="1:68">
      <c r="A254" s="786">
        <v>156</v>
      </c>
      <c r="B254" s="1910"/>
      <c r="C254" s="1913"/>
      <c r="D254" s="1916"/>
      <c r="E254" s="984"/>
      <c r="F254" s="976"/>
      <c r="G254" s="977" t="s">
        <v>4239</v>
      </c>
      <c r="H254" s="959"/>
      <c r="I254" s="959"/>
      <c r="J254" s="959"/>
      <c r="K254" s="959"/>
      <c r="L254" s="979">
        <f t="shared" ca="1" si="76"/>
        <v>0</v>
      </c>
      <c r="M254" s="979">
        <f t="shared" ca="1" si="76"/>
        <v>0</v>
      </c>
      <c r="N254" s="979">
        <f t="shared" ca="1" si="76"/>
        <v>0</v>
      </c>
      <c r="O254" s="979">
        <f t="shared" ca="1" si="76"/>
        <v>0</v>
      </c>
      <c r="P254" s="981">
        <f t="shared" ca="1" si="77"/>
        <v>0</v>
      </c>
      <c r="Q254" s="981">
        <f t="shared" ca="1" si="78"/>
        <v>0</v>
      </c>
      <c r="R254" s="981">
        <f t="shared" ca="1" si="79"/>
        <v>0</v>
      </c>
      <c r="S254" s="981">
        <f t="shared" ca="1" si="80"/>
        <v>0</v>
      </c>
      <c r="T254" s="979">
        <f t="shared" ca="1" si="81"/>
        <v>0</v>
      </c>
      <c r="U254" s="979">
        <f t="shared" ca="1" si="82"/>
        <v>0</v>
      </c>
      <c r="V254" s="979">
        <f t="shared" ca="1" si="83"/>
        <v>0</v>
      </c>
      <c r="W254" s="979">
        <f t="shared" ca="1" si="84"/>
        <v>0</v>
      </c>
      <c r="X254" s="959"/>
      <c r="Y254" s="959"/>
      <c r="Z254" s="959"/>
      <c r="AA254" s="959"/>
      <c r="AB254" s="959"/>
      <c r="AC254" s="959"/>
      <c r="AD254" s="959"/>
      <c r="AE254" s="959"/>
      <c r="AF254" s="959"/>
      <c r="AG254" s="959"/>
      <c r="AH254" s="959"/>
      <c r="AI254" s="959"/>
      <c r="AJ254" s="959"/>
      <c r="AK254" s="959"/>
      <c r="AL254" s="959"/>
      <c r="AM254" s="959"/>
      <c r="AN254" s="959"/>
      <c r="AO254" s="959"/>
      <c r="AP254" s="959"/>
      <c r="AQ254" s="959"/>
      <c r="AR254" s="959"/>
      <c r="AS254" s="959"/>
      <c r="AT254" s="959"/>
      <c r="AU254" s="959"/>
      <c r="AV254" s="959"/>
      <c r="AW254" s="959"/>
      <c r="AX254" s="959"/>
      <c r="AY254" s="959"/>
      <c r="AZ254" s="959"/>
      <c r="BA254" s="959"/>
      <c r="BB254" s="959"/>
      <c r="BC254" s="959"/>
      <c r="BD254" s="959"/>
      <c r="BE254" s="959"/>
      <c r="BF254" s="959"/>
      <c r="BG254" s="959"/>
      <c r="BH254" s="959"/>
      <c r="BI254" s="959"/>
      <c r="BJ254" s="959"/>
      <c r="BK254" s="959"/>
      <c r="BL254" s="959"/>
      <c r="BM254" s="959"/>
      <c r="BN254" s="959"/>
      <c r="BO254" s="959"/>
      <c r="BP254" s="841"/>
    </row>
    <row r="255" spans="1:68" ht="21" customHeight="1">
      <c r="A255" s="786">
        <v>157</v>
      </c>
      <c r="B255" s="1910"/>
      <c r="C255" s="1913"/>
      <c r="D255" s="1916"/>
      <c r="E255" s="986" t="s">
        <v>4509</v>
      </c>
      <c r="F255" s="849" t="s">
        <v>4456</v>
      </c>
      <c r="G255" s="891" t="s">
        <v>4235</v>
      </c>
      <c r="H255" s="959"/>
      <c r="I255" s="959"/>
      <c r="J255" s="959"/>
      <c r="K255" s="959"/>
      <c r="L255" s="990">
        <f t="shared" ca="1" si="76"/>
        <v>0</v>
      </c>
      <c r="M255" s="990">
        <f t="shared" ca="1" si="76"/>
        <v>0</v>
      </c>
      <c r="N255" s="990">
        <f t="shared" ca="1" si="76"/>
        <v>0</v>
      </c>
      <c r="O255" s="990">
        <f t="shared" ca="1" si="76"/>
        <v>0</v>
      </c>
      <c r="P255" s="967">
        <f t="shared" ca="1" si="77"/>
        <v>0</v>
      </c>
      <c r="Q255" s="967">
        <f t="shared" ca="1" si="78"/>
        <v>0</v>
      </c>
      <c r="R255" s="967">
        <f t="shared" ca="1" si="79"/>
        <v>0</v>
      </c>
      <c r="S255" s="967">
        <f t="shared" ca="1" si="80"/>
        <v>0</v>
      </c>
      <c r="T255" s="990">
        <f t="shared" ca="1" si="81"/>
        <v>0</v>
      </c>
      <c r="U255" s="990">
        <f t="shared" ca="1" si="82"/>
        <v>0</v>
      </c>
      <c r="V255" s="990">
        <f t="shared" ca="1" si="83"/>
        <v>0</v>
      </c>
      <c r="W255" s="990">
        <f t="shared" ca="1" si="84"/>
        <v>0</v>
      </c>
      <c r="X255" s="959"/>
      <c r="Y255" s="959"/>
      <c r="Z255" s="959"/>
      <c r="AA255" s="959"/>
      <c r="AB255" s="959"/>
      <c r="AC255" s="959"/>
      <c r="AD255" s="959"/>
      <c r="AE255" s="959"/>
      <c r="AF255" s="959"/>
      <c r="AG255" s="959"/>
      <c r="AH255" s="959"/>
      <c r="AI255" s="959"/>
      <c r="AJ255" s="959"/>
      <c r="AK255" s="959"/>
      <c r="AL255" s="959"/>
      <c r="AM255" s="959"/>
      <c r="AN255" s="959"/>
      <c r="AO255" s="959"/>
      <c r="AP255" s="959"/>
      <c r="AQ255" s="959"/>
      <c r="AR255" s="959"/>
      <c r="AS255" s="959"/>
      <c r="AT255" s="959"/>
      <c r="AU255" s="959"/>
      <c r="AV255" s="959"/>
      <c r="AW255" s="959"/>
      <c r="AX255" s="959"/>
      <c r="AY255" s="959"/>
      <c r="AZ255" s="959"/>
      <c r="BA255" s="959"/>
      <c r="BB255" s="959"/>
      <c r="BC255" s="959"/>
      <c r="BD255" s="959"/>
      <c r="BE255" s="959"/>
      <c r="BF255" s="959"/>
      <c r="BG255" s="959"/>
      <c r="BH255" s="959"/>
      <c r="BI255" s="959"/>
      <c r="BJ255" s="959"/>
      <c r="BK255" s="959"/>
      <c r="BL255" s="959"/>
      <c r="BM255" s="959"/>
      <c r="BN255" s="959"/>
      <c r="BO255" s="959"/>
      <c r="BP255" s="841"/>
    </row>
    <row r="256" spans="1:68" ht="21" customHeight="1">
      <c r="A256" s="786">
        <v>158</v>
      </c>
      <c r="B256" s="1910"/>
      <c r="C256" s="1913"/>
      <c r="D256" s="1916"/>
      <c r="E256" s="988"/>
      <c r="F256" s="849"/>
      <c r="G256" s="891" t="s">
        <v>4196</v>
      </c>
      <c r="H256" s="959"/>
      <c r="I256" s="959"/>
      <c r="J256" s="959"/>
      <c r="K256" s="959"/>
      <c r="L256" s="990">
        <f t="shared" ca="1" si="76"/>
        <v>0</v>
      </c>
      <c r="M256" s="990">
        <f t="shared" ca="1" si="76"/>
        <v>0</v>
      </c>
      <c r="N256" s="990">
        <f t="shared" ca="1" si="76"/>
        <v>0</v>
      </c>
      <c r="O256" s="990">
        <f t="shared" ca="1" si="76"/>
        <v>0</v>
      </c>
      <c r="P256" s="967">
        <f t="shared" ca="1" si="77"/>
        <v>0</v>
      </c>
      <c r="Q256" s="967">
        <f t="shared" ca="1" si="78"/>
        <v>0</v>
      </c>
      <c r="R256" s="967">
        <f t="shared" ca="1" si="79"/>
        <v>0</v>
      </c>
      <c r="S256" s="967">
        <f t="shared" ca="1" si="80"/>
        <v>0</v>
      </c>
      <c r="T256" s="990">
        <f t="shared" ca="1" si="81"/>
        <v>0</v>
      </c>
      <c r="U256" s="990">
        <f t="shared" ca="1" si="82"/>
        <v>0</v>
      </c>
      <c r="V256" s="990">
        <f t="shared" ca="1" si="83"/>
        <v>0</v>
      </c>
      <c r="W256" s="990">
        <f t="shared" ca="1" si="84"/>
        <v>0</v>
      </c>
      <c r="X256" s="959"/>
      <c r="Y256" s="959"/>
      <c r="Z256" s="959"/>
      <c r="AA256" s="959"/>
      <c r="AB256" s="959"/>
      <c r="AC256" s="959"/>
      <c r="AD256" s="959"/>
      <c r="AE256" s="959"/>
      <c r="AF256" s="959"/>
      <c r="AG256" s="959"/>
      <c r="AH256" s="959"/>
      <c r="AI256" s="959"/>
      <c r="AJ256" s="959"/>
      <c r="AK256" s="959"/>
      <c r="AL256" s="959"/>
      <c r="AM256" s="959"/>
      <c r="AN256" s="959"/>
      <c r="AO256" s="959"/>
      <c r="AP256" s="959"/>
      <c r="AQ256" s="959"/>
      <c r="AR256" s="959"/>
      <c r="AS256" s="959"/>
      <c r="AT256" s="959"/>
      <c r="AU256" s="959"/>
      <c r="AV256" s="959"/>
      <c r="AW256" s="959"/>
      <c r="AX256" s="959"/>
      <c r="AY256" s="959"/>
      <c r="AZ256" s="959"/>
      <c r="BA256" s="959"/>
      <c r="BB256" s="959"/>
      <c r="BC256" s="959"/>
      <c r="BD256" s="959"/>
      <c r="BE256" s="959"/>
      <c r="BF256" s="959"/>
      <c r="BG256" s="959"/>
      <c r="BH256" s="959"/>
      <c r="BI256" s="959"/>
      <c r="BJ256" s="959"/>
      <c r="BK256" s="959"/>
      <c r="BL256" s="959"/>
      <c r="BM256" s="959"/>
      <c r="BN256" s="959"/>
      <c r="BO256" s="959"/>
      <c r="BP256" s="841"/>
    </row>
    <row r="257" spans="1:68">
      <c r="A257" s="786">
        <v>159</v>
      </c>
      <c r="B257" s="1910"/>
      <c r="C257" s="1913"/>
      <c r="D257" s="1917"/>
      <c r="E257" s="989" t="s">
        <v>4510</v>
      </c>
      <c r="F257" s="849" t="s">
        <v>4458</v>
      </c>
      <c r="G257" s="891" t="s">
        <v>4235</v>
      </c>
      <c r="H257" s="959"/>
      <c r="I257" s="959"/>
      <c r="J257" s="959"/>
      <c r="K257" s="959"/>
      <c r="L257" s="990">
        <f t="shared" ca="1" si="76"/>
        <v>0</v>
      </c>
      <c r="M257" s="990">
        <f t="shared" ca="1" si="76"/>
        <v>0</v>
      </c>
      <c r="N257" s="990">
        <f t="shared" ca="1" si="76"/>
        <v>0</v>
      </c>
      <c r="O257" s="990">
        <f t="shared" ca="1" si="76"/>
        <v>0</v>
      </c>
      <c r="P257" s="967">
        <f t="shared" ca="1" si="77"/>
        <v>0</v>
      </c>
      <c r="Q257" s="967">
        <f t="shared" ca="1" si="78"/>
        <v>0</v>
      </c>
      <c r="R257" s="967">
        <f t="shared" ca="1" si="79"/>
        <v>0</v>
      </c>
      <c r="S257" s="967">
        <f t="shared" ca="1" si="80"/>
        <v>0</v>
      </c>
      <c r="T257" s="990">
        <f t="shared" ca="1" si="81"/>
        <v>0</v>
      </c>
      <c r="U257" s="990">
        <f t="shared" ca="1" si="82"/>
        <v>0</v>
      </c>
      <c r="V257" s="990">
        <f t="shared" ca="1" si="83"/>
        <v>0</v>
      </c>
      <c r="W257" s="990">
        <f t="shared" ca="1" si="84"/>
        <v>0</v>
      </c>
      <c r="X257" s="959"/>
      <c r="Y257" s="959"/>
      <c r="Z257" s="959"/>
      <c r="AA257" s="959"/>
      <c r="AB257" s="959"/>
      <c r="AC257" s="959"/>
      <c r="AD257" s="959"/>
      <c r="AE257" s="959"/>
      <c r="AF257" s="959"/>
      <c r="AG257" s="959"/>
      <c r="AH257" s="959"/>
      <c r="AI257" s="959"/>
      <c r="AJ257" s="959"/>
      <c r="AK257" s="959"/>
      <c r="AL257" s="959"/>
      <c r="AM257" s="959"/>
      <c r="AN257" s="959"/>
      <c r="AO257" s="959"/>
      <c r="AP257" s="959"/>
      <c r="AQ257" s="959"/>
      <c r="AR257" s="959"/>
      <c r="AS257" s="959"/>
      <c r="AT257" s="959"/>
      <c r="AU257" s="959"/>
      <c r="AV257" s="959"/>
      <c r="AW257" s="959"/>
      <c r="AX257" s="959"/>
      <c r="AY257" s="959"/>
      <c r="AZ257" s="959"/>
      <c r="BA257" s="959"/>
      <c r="BB257" s="959"/>
      <c r="BC257" s="959"/>
      <c r="BD257" s="959"/>
      <c r="BE257" s="959"/>
      <c r="BF257" s="959"/>
      <c r="BG257" s="959"/>
      <c r="BH257" s="959"/>
      <c r="BI257" s="959"/>
      <c r="BJ257" s="959"/>
      <c r="BK257" s="959"/>
      <c r="BL257" s="959"/>
      <c r="BM257" s="959"/>
      <c r="BN257" s="959"/>
      <c r="BO257" s="959"/>
      <c r="BP257" s="841"/>
    </row>
    <row r="258" spans="1:68">
      <c r="A258" s="786">
        <v>160</v>
      </c>
      <c r="B258" s="1910"/>
      <c r="C258" s="1913"/>
      <c r="D258" s="1918" t="s">
        <v>4511</v>
      </c>
      <c r="E258" s="1031" t="s">
        <v>4512</v>
      </c>
      <c r="F258" s="849" t="s">
        <v>4460</v>
      </c>
      <c r="G258" s="891" t="s">
        <v>4235</v>
      </c>
      <c r="H258" s="959"/>
      <c r="I258" s="959"/>
      <c r="J258" s="959"/>
      <c r="K258" s="959"/>
      <c r="L258" s="990">
        <f t="shared" ca="1" si="76"/>
        <v>0</v>
      </c>
      <c r="M258" s="990">
        <f t="shared" ca="1" si="76"/>
        <v>0</v>
      </c>
      <c r="N258" s="990">
        <f t="shared" ca="1" si="76"/>
        <v>0</v>
      </c>
      <c r="O258" s="990">
        <f t="shared" ca="1" si="76"/>
        <v>0</v>
      </c>
      <c r="P258" s="967">
        <f t="shared" ca="1" si="77"/>
        <v>0</v>
      </c>
      <c r="Q258" s="967">
        <f t="shared" ca="1" si="78"/>
        <v>0</v>
      </c>
      <c r="R258" s="967">
        <f t="shared" ca="1" si="79"/>
        <v>0</v>
      </c>
      <c r="S258" s="967">
        <f t="shared" ca="1" si="80"/>
        <v>0</v>
      </c>
      <c r="T258" s="990">
        <f t="shared" ca="1" si="81"/>
        <v>0</v>
      </c>
      <c r="U258" s="990">
        <f t="shared" ca="1" si="82"/>
        <v>0</v>
      </c>
      <c r="V258" s="990">
        <f t="shared" ca="1" si="83"/>
        <v>0</v>
      </c>
      <c r="W258" s="990">
        <f t="shared" ca="1" si="84"/>
        <v>0</v>
      </c>
      <c r="X258" s="959"/>
      <c r="Y258" s="959"/>
      <c r="Z258" s="959"/>
      <c r="AA258" s="959"/>
      <c r="AB258" s="959"/>
      <c r="AC258" s="959"/>
      <c r="AD258" s="959"/>
      <c r="AE258" s="959"/>
      <c r="AF258" s="959"/>
      <c r="AG258" s="959"/>
      <c r="AH258" s="959"/>
      <c r="AI258" s="959"/>
      <c r="AJ258" s="959"/>
      <c r="AK258" s="959"/>
      <c r="AL258" s="959"/>
      <c r="AM258" s="959"/>
      <c r="AN258" s="959"/>
      <c r="AO258" s="959"/>
      <c r="AP258" s="959"/>
      <c r="AQ258" s="959"/>
      <c r="AR258" s="959"/>
      <c r="AS258" s="959"/>
      <c r="AT258" s="959"/>
      <c r="AU258" s="959"/>
      <c r="AV258" s="959"/>
      <c r="AW258" s="959"/>
      <c r="AX258" s="959"/>
      <c r="AY258" s="959"/>
      <c r="AZ258" s="959"/>
      <c r="BA258" s="959"/>
      <c r="BB258" s="959"/>
      <c r="BC258" s="959"/>
      <c r="BD258" s="959"/>
      <c r="BE258" s="959"/>
      <c r="BF258" s="959"/>
      <c r="BG258" s="959"/>
      <c r="BH258" s="959"/>
      <c r="BI258" s="959"/>
      <c r="BJ258" s="959"/>
      <c r="BK258" s="959"/>
      <c r="BL258" s="959"/>
      <c r="BM258" s="959"/>
      <c r="BN258" s="959"/>
      <c r="BO258" s="959"/>
      <c r="BP258" s="841"/>
    </row>
    <row r="259" spans="1:68">
      <c r="A259" s="786">
        <v>161</v>
      </c>
      <c r="B259" s="1910"/>
      <c r="C259" s="1913"/>
      <c r="D259" s="1919"/>
      <c r="E259" s="992"/>
      <c r="F259" s="849"/>
      <c r="G259" s="891" t="s">
        <v>4239</v>
      </c>
      <c r="H259" s="959"/>
      <c r="I259" s="959"/>
      <c r="J259" s="959"/>
      <c r="K259" s="959"/>
      <c r="L259" s="990">
        <f t="shared" ca="1" si="76"/>
        <v>0</v>
      </c>
      <c r="M259" s="990">
        <f t="shared" ca="1" si="76"/>
        <v>0</v>
      </c>
      <c r="N259" s="990">
        <f t="shared" ca="1" si="76"/>
        <v>0</v>
      </c>
      <c r="O259" s="990">
        <f t="shared" ca="1" si="76"/>
        <v>0</v>
      </c>
      <c r="P259" s="967">
        <f t="shared" ca="1" si="77"/>
        <v>0</v>
      </c>
      <c r="Q259" s="967">
        <f t="shared" ca="1" si="78"/>
        <v>0</v>
      </c>
      <c r="R259" s="967">
        <f t="shared" ca="1" si="79"/>
        <v>0</v>
      </c>
      <c r="S259" s="967">
        <f t="shared" ca="1" si="80"/>
        <v>0</v>
      </c>
      <c r="T259" s="990">
        <f t="shared" ca="1" si="81"/>
        <v>0</v>
      </c>
      <c r="U259" s="990">
        <f t="shared" ca="1" si="82"/>
        <v>0</v>
      </c>
      <c r="V259" s="990">
        <f t="shared" ca="1" si="83"/>
        <v>0</v>
      </c>
      <c r="W259" s="990">
        <f t="shared" ca="1" si="84"/>
        <v>0</v>
      </c>
      <c r="X259" s="959"/>
      <c r="Y259" s="959"/>
      <c r="Z259" s="959"/>
      <c r="AA259" s="959"/>
      <c r="AB259" s="959"/>
      <c r="AC259" s="959"/>
      <c r="AD259" s="959"/>
      <c r="AE259" s="959"/>
      <c r="AF259" s="959"/>
      <c r="AG259" s="959"/>
      <c r="AH259" s="959"/>
      <c r="AI259" s="959"/>
      <c r="AJ259" s="959"/>
      <c r="AK259" s="959"/>
      <c r="AL259" s="959"/>
      <c r="AM259" s="959"/>
      <c r="AN259" s="959"/>
      <c r="AO259" s="959"/>
      <c r="AP259" s="959"/>
      <c r="AQ259" s="959"/>
      <c r="AR259" s="959"/>
      <c r="AS259" s="959"/>
      <c r="AT259" s="959"/>
      <c r="AU259" s="959"/>
      <c r="AV259" s="959"/>
      <c r="AW259" s="959"/>
      <c r="AX259" s="959"/>
      <c r="AY259" s="959"/>
      <c r="AZ259" s="959"/>
      <c r="BA259" s="959"/>
      <c r="BB259" s="959"/>
      <c r="BC259" s="959"/>
      <c r="BD259" s="959"/>
      <c r="BE259" s="959"/>
      <c r="BF259" s="959"/>
      <c r="BG259" s="959"/>
      <c r="BH259" s="959"/>
      <c r="BI259" s="959"/>
      <c r="BJ259" s="959"/>
      <c r="BK259" s="959"/>
      <c r="BL259" s="959"/>
      <c r="BM259" s="959"/>
      <c r="BN259" s="959"/>
      <c r="BO259" s="959"/>
      <c r="BP259" s="841"/>
    </row>
    <row r="260" spans="1:68" ht="21" customHeight="1">
      <c r="A260" s="786">
        <v>162</v>
      </c>
      <c r="B260" s="1910"/>
      <c r="C260" s="1913"/>
      <c r="D260" s="1919"/>
      <c r="E260" s="993" t="s">
        <v>4513</v>
      </c>
      <c r="F260" s="849" t="s">
        <v>4461</v>
      </c>
      <c r="G260" s="891" t="s">
        <v>4235</v>
      </c>
      <c r="H260" s="959"/>
      <c r="I260" s="959"/>
      <c r="J260" s="959"/>
      <c r="K260" s="959"/>
      <c r="L260" s="990">
        <f t="shared" ca="1" si="76"/>
        <v>0</v>
      </c>
      <c r="M260" s="990">
        <f t="shared" ca="1" si="76"/>
        <v>0</v>
      </c>
      <c r="N260" s="990">
        <f t="shared" ca="1" si="76"/>
        <v>0</v>
      </c>
      <c r="O260" s="990">
        <f t="shared" ca="1" si="76"/>
        <v>0</v>
      </c>
      <c r="P260" s="967">
        <f t="shared" ca="1" si="77"/>
        <v>0</v>
      </c>
      <c r="Q260" s="967">
        <f t="shared" ca="1" si="78"/>
        <v>0</v>
      </c>
      <c r="R260" s="967">
        <f t="shared" ca="1" si="79"/>
        <v>0</v>
      </c>
      <c r="S260" s="967">
        <f t="shared" ca="1" si="80"/>
        <v>0</v>
      </c>
      <c r="T260" s="990">
        <f t="shared" ca="1" si="81"/>
        <v>0</v>
      </c>
      <c r="U260" s="990">
        <f t="shared" ca="1" si="82"/>
        <v>0</v>
      </c>
      <c r="V260" s="990">
        <f t="shared" ca="1" si="83"/>
        <v>0</v>
      </c>
      <c r="W260" s="990">
        <f t="shared" ca="1" si="84"/>
        <v>0</v>
      </c>
      <c r="X260" s="959"/>
      <c r="Y260" s="959"/>
      <c r="Z260" s="959"/>
      <c r="AA260" s="959"/>
      <c r="AB260" s="959"/>
      <c r="AC260" s="959"/>
      <c r="AD260" s="959"/>
      <c r="AE260" s="959"/>
      <c r="AF260" s="959"/>
      <c r="AG260" s="959"/>
      <c r="AH260" s="959"/>
      <c r="AI260" s="959"/>
      <c r="AJ260" s="959"/>
      <c r="AK260" s="959"/>
      <c r="AL260" s="959"/>
      <c r="AM260" s="959"/>
      <c r="AN260" s="959"/>
      <c r="AO260" s="959"/>
      <c r="AP260" s="959"/>
      <c r="AQ260" s="959"/>
      <c r="AR260" s="959"/>
      <c r="AS260" s="959"/>
      <c r="AT260" s="959"/>
      <c r="AU260" s="959"/>
      <c r="AV260" s="959"/>
      <c r="AW260" s="959"/>
      <c r="AX260" s="959"/>
      <c r="AY260" s="959"/>
      <c r="AZ260" s="959"/>
      <c r="BA260" s="959"/>
      <c r="BB260" s="959"/>
      <c r="BC260" s="959"/>
      <c r="BD260" s="959"/>
      <c r="BE260" s="959"/>
      <c r="BF260" s="959"/>
      <c r="BG260" s="959"/>
      <c r="BH260" s="959"/>
      <c r="BI260" s="959"/>
      <c r="BJ260" s="959"/>
      <c r="BK260" s="959"/>
      <c r="BL260" s="959"/>
      <c r="BM260" s="959"/>
      <c r="BN260" s="959"/>
      <c r="BO260" s="959"/>
      <c r="BP260" s="841"/>
    </row>
    <row r="261" spans="1:68">
      <c r="A261" s="786">
        <v>163</v>
      </c>
      <c r="B261" s="1910"/>
      <c r="C261" s="1913"/>
      <c r="D261" s="1920"/>
      <c r="E261" s="994"/>
      <c r="F261" s="849"/>
      <c r="G261" s="891" t="s">
        <v>4196</v>
      </c>
      <c r="H261" s="959"/>
      <c r="I261" s="959"/>
      <c r="J261" s="959"/>
      <c r="K261" s="959"/>
      <c r="L261" s="990">
        <f t="shared" ca="1" si="76"/>
        <v>0</v>
      </c>
      <c r="M261" s="990">
        <f t="shared" ca="1" si="76"/>
        <v>0</v>
      </c>
      <c r="N261" s="990">
        <f t="shared" ca="1" si="76"/>
        <v>0</v>
      </c>
      <c r="O261" s="990">
        <f t="shared" ca="1" si="76"/>
        <v>0</v>
      </c>
      <c r="P261" s="967">
        <f t="shared" ca="1" si="77"/>
        <v>0</v>
      </c>
      <c r="Q261" s="967">
        <f t="shared" ca="1" si="78"/>
        <v>0</v>
      </c>
      <c r="R261" s="967">
        <f t="shared" ca="1" si="79"/>
        <v>0</v>
      </c>
      <c r="S261" s="967">
        <f t="shared" ca="1" si="80"/>
        <v>0</v>
      </c>
      <c r="T261" s="990">
        <f t="shared" ca="1" si="81"/>
        <v>0</v>
      </c>
      <c r="U261" s="990">
        <f t="shared" ca="1" si="82"/>
        <v>0</v>
      </c>
      <c r="V261" s="990">
        <f t="shared" ca="1" si="83"/>
        <v>0</v>
      </c>
      <c r="W261" s="990">
        <f t="shared" ca="1" si="84"/>
        <v>0</v>
      </c>
      <c r="X261" s="959"/>
      <c r="Y261" s="959"/>
      <c r="Z261" s="959"/>
      <c r="AA261" s="959"/>
      <c r="AB261" s="959"/>
      <c r="AC261" s="959"/>
      <c r="AD261" s="959"/>
      <c r="AE261" s="959"/>
      <c r="AF261" s="959"/>
      <c r="AG261" s="959"/>
      <c r="AH261" s="959"/>
      <c r="AI261" s="959"/>
      <c r="AJ261" s="959"/>
      <c r="AK261" s="959"/>
      <c r="AL261" s="959"/>
      <c r="AM261" s="959"/>
      <c r="AN261" s="959"/>
      <c r="AO261" s="959"/>
      <c r="AP261" s="959"/>
      <c r="AQ261" s="959"/>
      <c r="AR261" s="959"/>
      <c r="AS261" s="959"/>
      <c r="AT261" s="959"/>
      <c r="AU261" s="959"/>
      <c r="AV261" s="959"/>
      <c r="AW261" s="959"/>
      <c r="AX261" s="959"/>
      <c r="AY261" s="959"/>
      <c r="AZ261" s="959"/>
      <c r="BA261" s="959"/>
      <c r="BB261" s="959"/>
      <c r="BC261" s="959"/>
      <c r="BD261" s="959"/>
      <c r="BE261" s="959"/>
      <c r="BF261" s="959"/>
      <c r="BG261" s="959"/>
      <c r="BH261" s="959"/>
      <c r="BI261" s="959"/>
      <c r="BJ261" s="959"/>
      <c r="BK261" s="959"/>
      <c r="BL261" s="959"/>
      <c r="BM261" s="959"/>
      <c r="BN261" s="959"/>
      <c r="BO261" s="959"/>
      <c r="BP261" s="841"/>
    </row>
    <row r="262" spans="1:68" ht="19.5" customHeight="1">
      <c r="A262" s="786">
        <v>164</v>
      </c>
      <c r="B262" s="1910"/>
      <c r="C262" s="1914"/>
      <c r="D262" s="995" t="s">
        <v>4514</v>
      </c>
      <c r="E262" s="996" t="str">
        <f ca="1">E214</f>
        <v/>
      </c>
      <c r="F262" s="849" t="s">
        <v>4463</v>
      </c>
      <c r="G262" s="891" t="s">
        <v>4685</v>
      </c>
      <c r="H262" s="959"/>
      <c r="I262" s="959"/>
      <c r="J262" s="959"/>
      <c r="K262" s="959"/>
      <c r="L262" s="990">
        <f t="shared" ca="1" si="76"/>
        <v>0</v>
      </c>
      <c r="M262" s="990">
        <f t="shared" ca="1" si="76"/>
        <v>0</v>
      </c>
      <c r="N262" s="990">
        <f t="shared" ca="1" si="76"/>
        <v>0</v>
      </c>
      <c r="O262" s="990">
        <f t="shared" ca="1" si="76"/>
        <v>0</v>
      </c>
      <c r="P262" s="967">
        <f t="shared" ca="1" si="77"/>
        <v>0</v>
      </c>
      <c r="Q262" s="967">
        <f t="shared" ca="1" si="78"/>
        <v>0</v>
      </c>
      <c r="R262" s="967">
        <f t="shared" ca="1" si="79"/>
        <v>0</v>
      </c>
      <c r="S262" s="967">
        <f t="shared" ca="1" si="80"/>
        <v>0</v>
      </c>
      <c r="T262" s="990">
        <f t="shared" ca="1" si="81"/>
        <v>0</v>
      </c>
      <c r="U262" s="990">
        <f t="shared" ca="1" si="82"/>
        <v>0</v>
      </c>
      <c r="V262" s="990">
        <f t="shared" ca="1" si="83"/>
        <v>0</v>
      </c>
      <c r="W262" s="990">
        <f t="shared" ca="1" si="84"/>
        <v>0</v>
      </c>
      <c r="X262" s="959"/>
      <c r="Y262" s="959"/>
      <c r="Z262" s="959"/>
      <c r="AA262" s="959"/>
      <c r="AB262" s="959"/>
      <c r="AC262" s="959"/>
      <c r="AD262" s="959"/>
      <c r="AE262" s="959"/>
      <c r="AF262" s="959"/>
      <c r="AG262" s="959"/>
      <c r="AH262" s="959"/>
      <c r="AI262" s="959"/>
      <c r="AJ262" s="959"/>
      <c r="AK262" s="959"/>
      <c r="AL262" s="959"/>
      <c r="AM262" s="959"/>
      <c r="AN262" s="959"/>
      <c r="AO262" s="959"/>
      <c r="AP262" s="959"/>
      <c r="AQ262" s="959"/>
      <c r="AR262" s="959"/>
      <c r="AS262" s="959"/>
      <c r="AT262" s="959"/>
      <c r="AU262" s="959"/>
      <c r="AV262" s="959"/>
      <c r="AW262" s="959"/>
      <c r="AX262" s="959"/>
      <c r="AY262" s="959"/>
      <c r="AZ262" s="959"/>
      <c r="BA262" s="959"/>
      <c r="BB262" s="959"/>
      <c r="BC262" s="959"/>
      <c r="BD262" s="959"/>
      <c r="BE262" s="959"/>
      <c r="BF262" s="959"/>
      <c r="BG262" s="959"/>
      <c r="BH262" s="959"/>
      <c r="BI262" s="959"/>
      <c r="BJ262" s="959"/>
      <c r="BK262" s="959"/>
      <c r="BL262" s="959"/>
      <c r="BM262" s="959"/>
      <c r="BN262" s="959"/>
      <c r="BO262" s="959"/>
      <c r="BP262" s="841"/>
    </row>
    <row r="263" spans="1:68" ht="21">
      <c r="A263" s="786">
        <v>165</v>
      </c>
      <c r="B263" s="1910"/>
      <c r="C263" s="997" t="s">
        <v>4515</v>
      </c>
      <c r="D263" s="998"/>
      <c r="E263" s="998"/>
      <c r="F263" s="849" t="s">
        <v>4464</v>
      </c>
      <c r="G263" s="891" t="s">
        <v>4685</v>
      </c>
      <c r="H263" s="1926" t="s">
        <v>4516</v>
      </c>
      <c r="I263" s="1927"/>
      <c r="J263" s="1927"/>
      <c r="K263" s="1928"/>
      <c r="L263" s="990">
        <f t="shared" ca="1" si="76"/>
        <v>0</v>
      </c>
      <c r="M263" s="990">
        <f t="shared" ca="1" si="76"/>
        <v>0</v>
      </c>
      <c r="N263" s="990">
        <f t="shared" ca="1" si="76"/>
        <v>0</v>
      </c>
      <c r="O263" s="990">
        <f t="shared" ca="1" si="76"/>
        <v>0</v>
      </c>
      <c r="P263" s="967">
        <f t="shared" ca="1" si="77"/>
        <v>0</v>
      </c>
      <c r="Q263" s="967">
        <f t="shared" ca="1" si="78"/>
        <v>0</v>
      </c>
      <c r="R263" s="967">
        <f t="shared" ca="1" si="79"/>
        <v>0</v>
      </c>
      <c r="S263" s="967">
        <f t="shared" ca="1" si="80"/>
        <v>0</v>
      </c>
      <c r="T263" s="990">
        <f t="shared" ca="1" si="81"/>
        <v>0</v>
      </c>
      <c r="U263" s="990">
        <f t="shared" ca="1" si="82"/>
        <v>0</v>
      </c>
      <c r="V263" s="990">
        <f t="shared" ca="1" si="83"/>
        <v>0</v>
      </c>
      <c r="W263" s="990">
        <f t="shared" ca="1" si="84"/>
        <v>0</v>
      </c>
      <c r="X263" s="959"/>
      <c r="Y263" s="959"/>
      <c r="Z263" s="959"/>
      <c r="AA263" s="959"/>
      <c r="AB263" s="959"/>
      <c r="AC263" s="959"/>
      <c r="AD263" s="959"/>
      <c r="AE263" s="959"/>
      <c r="AF263" s="959"/>
      <c r="AG263" s="959"/>
      <c r="AH263" s="959"/>
      <c r="AI263" s="959"/>
      <c r="AJ263" s="959"/>
      <c r="AK263" s="959"/>
      <c r="AL263" s="959"/>
      <c r="AM263" s="959"/>
      <c r="AN263" s="959"/>
      <c r="AO263" s="959"/>
      <c r="AP263" s="959"/>
      <c r="AQ263" s="959"/>
      <c r="AR263" s="959"/>
      <c r="AS263" s="959"/>
      <c r="AT263" s="959"/>
      <c r="AU263" s="959"/>
      <c r="AV263" s="959"/>
      <c r="AW263" s="959"/>
      <c r="AX263" s="959"/>
      <c r="AY263" s="959"/>
      <c r="AZ263" s="959"/>
      <c r="BA263" s="959"/>
      <c r="BB263" s="959"/>
      <c r="BC263" s="959"/>
      <c r="BD263" s="959"/>
      <c r="BE263" s="959"/>
      <c r="BF263" s="959"/>
      <c r="BG263" s="959"/>
      <c r="BH263" s="959"/>
      <c r="BI263" s="959"/>
      <c r="BJ263" s="959"/>
      <c r="BK263" s="959"/>
      <c r="BL263" s="959"/>
      <c r="BM263" s="959"/>
      <c r="BN263" s="959"/>
      <c r="BO263" s="959"/>
      <c r="BP263" s="841"/>
    </row>
    <row r="264" spans="1:68" ht="19.5" customHeight="1">
      <c r="A264" s="786">
        <v>166</v>
      </c>
      <c r="B264" s="1910"/>
      <c r="C264" s="1929" t="s">
        <v>4517</v>
      </c>
      <c r="D264" s="1918" t="s">
        <v>4546</v>
      </c>
      <c r="E264" s="974" t="s">
        <v>4519</v>
      </c>
      <c r="F264" s="849"/>
      <c r="G264" s="891" t="s">
        <v>4508</v>
      </c>
      <c r="H264" s="897">
        <f ca="1">H106</f>
        <v>0</v>
      </c>
      <c r="I264" s="897">
        <f ca="1">I106</f>
        <v>0</v>
      </c>
      <c r="J264" s="897">
        <f ca="1">J106</f>
        <v>0</v>
      </c>
      <c r="K264" s="897">
        <f ca="1">K106</f>
        <v>0</v>
      </c>
      <c r="L264" s="990">
        <f t="shared" ca="1" si="76"/>
        <v>0</v>
      </c>
      <c r="M264" s="990">
        <f t="shared" ca="1" si="76"/>
        <v>0</v>
      </c>
      <c r="N264" s="990">
        <f t="shared" ca="1" si="76"/>
        <v>0</v>
      </c>
      <c r="O264" s="990">
        <f t="shared" ca="1" si="76"/>
        <v>0</v>
      </c>
      <c r="P264" s="967">
        <f t="shared" ca="1" si="77"/>
        <v>0</v>
      </c>
      <c r="Q264" s="967">
        <f t="shared" ca="1" si="78"/>
        <v>0</v>
      </c>
      <c r="R264" s="967">
        <f t="shared" ca="1" si="79"/>
        <v>0</v>
      </c>
      <c r="S264" s="967">
        <f t="shared" ca="1" si="80"/>
        <v>0</v>
      </c>
      <c r="T264" s="990">
        <f t="shared" ca="1" si="81"/>
        <v>0</v>
      </c>
      <c r="U264" s="990">
        <f t="shared" ca="1" si="82"/>
        <v>0</v>
      </c>
      <c r="V264" s="990">
        <f t="shared" ca="1" si="83"/>
        <v>0</v>
      </c>
      <c r="W264" s="990">
        <f t="shared" ca="1" si="84"/>
        <v>0</v>
      </c>
      <c r="X264" s="959"/>
      <c r="Y264" s="959"/>
      <c r="Z264" s="959"/>
      <c r="AA264" s="959"/>
      <c r="AB264" s="959"/>
      <c r="AC264" s="959"/>
      <c r="AD264" s="959"/>
      <c r="AE264" s="959"/>
      <c r="AF264" s="959"/>
      <c r="AG264" s="959"/>
      <c r="AH264" s="959"/>
      <c r="AI264" s="959"/>
      <c r="AJ264" s="959"/>
      <c r="AK264" s="959"/>
      <c r="AL264" s="959"/>
      <c r="AM264" s="959"/>
      <c r="AN264" s="959"/>
      <c r="AO264" s="959"/>
      <c r="AP264" s="959"/>
      <c r="AQ264" s="959"/>
      <c r="AR264" s="959"/>
      <c r="AS264" s="959"/>
      <c r="AT264" s="959"/>
      <c r="AU264" s="959"/>
      <c r="AV264" s="959"/>
      <c r="AW264" s="959"/>
      <c r="AX264" s="959"/>
      <c r="AY264" s="959"/>
      <c r="AZ264" s="959"/>
      <c r="BA264" s="959"/>
      <c r="BB264" s="959"/>
      <c r="BC264" s="959"/>
      <c r="BD264" s="959"/>
      <c r="BE264" s="959"/>
      <c r="BF264" s="959"/>
      <c r="BG264" s="959"/>
      <c r="BH264" s="959"/>
      <c r="BI264" s="959"/>
      <c r="BJ264" s="959"/>
      <c r="BK264" s="959"/>
      <c r="BL264" s="959"/>
      <c r="BM264" s="959"/>
      <c r="BN264" s="959"/>
      <c r="BO264" s="959"/>
      <c r="BP264" s="841"/>
    </row>
    <row r="265" spans="1:68" ht="21">
      <c r="B265" s="1910"/>
      <c r="C265" s="1930"/>
      <c r="D265" s="1920"/>
      <c r="E265" s="974" t="s">
        <v>4520</v>
      </c>
      <c r="F265" s="849"/>
      <c r="G265" s="891" t="s">
        <v>4685</v>
      </c>
      <c r="H265" s="1926" t="s">
        <v>4521</v>
      </c>
      <c r="I265" s="1927"/>
      <c r="J265" s="1927"/>
      <c r="K265" s="1928"/>
      <c r="L265" s="954">
        <f ca="1">L264*H264*H266</f>
        <v>0</v>
      </c>
      <c r="M265" s="954">
        <f ca="1">M264*I264*I266</f>
        <v>0</v>
      </c>
      <c r="N265" s="954">
        <f ca="1">N264*J264*J266</f>
        <v>0</v>
      </c>
      <c r="O265" s="954">
        <f ca="1">O264*K264*K266</f>
        <v>0</v>
      </c>
      <c r="P265" s="954">
        <f ca="1">P264*H264*H266</f>
        <v>0</v>
      </c>
      <c r="Q265" s="954">
        <f ca="1">Q264*I264*I266</f>
        <v>0</v>
      </c>
      <c r="R265" s="954">
        <f ca="1">R264*J264*J266</f>
        <v>0</v>
      </c>
      <c r="S265" s="954">
        <f ca="1">S264*K264*K266</f>
        <v>0</v>
      </c>
      <c r="T265" s="954">
        <f ca="1">T264*H264*H266</f>
        <v>0</v>
      </c>
      <c r="U265" s="954">
        <f ca="1">U264*I264*I266</f>
        <v>0</v>
      </c>
      <c r="V265" s="954">
        <f ca="1">V264*J264*J266</f>
        <v>0</v>
      </c>
      <c r="W265" s="954">
        <f ca="1">W264*K264*K266</f>
        <v>0</v>
      </c>
      <c r="X265" s="959"/>
      <c r="Y265" s="959"/>
      <c r="Z265" s="959"/>
      <c r="AA265" s="959"/>
      <c r="AB265" s="959"/>
      <c r="AC265" s="959"/>
      <c r="AD265" s="959"/>
      <c r="AE265" s="959"/>
      <c r="AF265" s="959"/>
      <c r="AG265" s="959"/>
      <c r="AH265" s="959"/>
      <c r="AI265" s="959"/>
      <c r="AJ265" s="959"/>
      <c r="AK265" s="959"/>
      <c r="AL265" s="959"/>
      <c r="AM265" s="959"/>
      <c r="AN265" s="959"/>
      <c r="AO265" s="959"/>
      <c r="AP265" s="959"/>
      <c r="AQ265" s="959"/>
      <c r="AR265" s="959"/>
      <c r="AS265" s="959"/>
      <c r="AT265" s="959"/>
      <c r="AU265" s="959"/>
      <c r="AV265" s="959"/>
      <c r="AW265" s="959"/>
      <c r="AX265" s="959"/>
      <c r="AY265" s="959"/>
      <c r="AZ265" s="959"/>
      <c r="BA265" s="959"/>
      <c r="BB265" s="959"/>
      <c r="BC265" s="959"/>
      <c r="BD265" s="959"/>
      <c r="BE265" s="959"/>
      <c r="BF265" s="959"/>
      <c r="BG265" s="959"/>
      <c r="BH265" s="959"/>
      <c r="BI265" s="959"/>
      <c r="BJ265" s="959"/>
      <c r="BK265" s="959"/>
      <c r="BL265" s="959"/>
      <c r="BM265" s="959"/>
      <c r="BN265" s="959"/>
      <c r="BO265" s="959"/>
      <c r="BP265" s="841"/>
    </row>
    <row r="266" spans="1:68">
      <c r="A266" s="786">
        <v>167</v>
      </c>
      <c r="B266" s="1910"/>
      <c r="C266" s="1930"/>
      <c r="D266" s="1918" t="s">
        <v>4547</v>
      </c>
      <c r="E266" s="974" t="s">
        <v>4519</v>
      </c>
      <c r="F266" s="849"/>
      <c r="G266" s="891" t="s">
        <v>4508</v>
      </c>
      <c r="H266" s="897">
        <f ca="1">H108</f>
        <v>0</v>
      </c>
      <c r="I266" s="897">
        <f ca="1">I108</f>
        <v>0</v>
      </c>
      <c r="J266" s="897">
        <f ca="1">J108</f>
        <v>0</v>
      </c>
      <c r="K266" s="897">
        <f ca="1">K108</f>
        <v>0</v>
      </c>
      <c r="L266" s="990">
        <f ca="1">SUM(P266,T266)</f>
        <v>0</v>
      </c>
      <c r="M266" s="990">
        <f ca="1">SUM(Q266,U266)</f>
        <v>0</v>
      </c>
      <c r="N266" s="990">
        <f ca="1">SUM(R266,V266)</f>
        <v>0</v>
      </c>
      <c r="O266" s="990">
        <f ca="1">SUM(S266,W266)</f>
        <v>0</v>
      </c>
      <c r="P266" s="967">
        <f ca="1">IFERROR(SUM(OFFSET(貼付け_2024実績,$A266,11,1,2)),"")</f>
        <v>0</v>
      </c>
      <c r="Q266" s="967">
        <f ca="1">IFERROR(SUM(OFFSET(貼付け_2025実績,$A266,11,1,2)),"")</f>
        <v>0</v>
      </c>
      <c r="R266" s="967">
        <f ca="1">IFERROR(SUM(OFFSET(貼付け_2026実績,$A266,11,1,2)),"")</f>
        <v>0</v>
      </c>
      <c r="S266" s="967">
        <f ca="1">IFERROR(SUM(OFFSET(貼付け_2027実績,$A266,11,1,2)),"")</f>
        <v>0</v>
      </c>
      <c r="T266" s="990">
        <f ca="1">IFERROR(OFFSET(貼付け_2024実績,$A266,10),"")</f>
        <v>0</v>
      </c>
      <c r="U266" s="990">
        <f ca="1">IFERROR(OFFSET(貼付け_2025実績,$A266,10),"")</f>
        <v>0</v>
      </c>
      <c r="V266" s="990">
        <f ca="1">IFERROR(OFFSET(貼付け_2026実績,$A266,10),"")</f>
        <v>0</v>
      </c>
      <c r="W266" s="990">
        <f ca="1">IFERROR(OFFSET(貼付け_2027実績,$A266,10),"")</f>
        <v>0</v>
      </c>
      <c r="X266" s="959"/>
      <c r="Y266" s="959"/>
      <c r="Z266" s="959"/>
      <c r="AA266" s="959"/>
      <c r="AB266" s="959"/>
      <c r="AC266" s="959"/>
      <c r="AD266" s="959"/>
      <c r="AE266" s="959"/>
      <c r="AF266" s="959"/>
      <c r="AG266" s="959"/>
      <c r="AH266" s="959"/>
      <c r="AI266" s="959"/>
      <c r="AJ266" s="959"/>
      <c r="AK266" s="959"/>
      <c r="AL266" s="959"/>
      <c r="AM266" s="959"/>
      <c r="AN266" s="959"/>
      <c r="AO266" s="959"/>
      <c r="AP266" s="959"/>
      <c r="AQ266" s="959"/>
      <c r="AR266" s="959"/>
      <c r="AS266" s="959"/>
      <c r="AT266" s="959"/>
      <c r="AU266" s="959"/>
      <c r="AV266" s="959"/>
      <c r="AW266" s="959"/>
      <c r="AX266" s="959"/>
      <c r="AY266" s="959"/>
      <c r="AZ266" s="959"/>
      <c r="BA266" s="959"/>
      <c r="BB266" s="959"/>
      <c r="BC266" s="959"/>
      <c r="BD266" s="959"/>
      <c r="BE266" s="959"/>
      <c r="BF266" s="959"/>
      <c r="BG266" s="959"/>
      <c r="BH266" s="959"/>
      <c r="BI266" s="959"/>
      <c r="BJ266" s="959"/>
      <c r="BK266" s="959"/>
      <c r="BL266" s="959"/>
      <c r="BM266" s="959"/>
      <c r="BN266" s="959"/>
      <c r="BO266" s="959"/>
      <c r="BP266" s="841"/>
    </row>
    <row r="267" spans="1:68" ht="21">
      <c r="B267" s="1910"/>
      <c r="C267" s="1930"/>
      <c r="D267" s="1920"/>
      <c r="E267" s="974" t="s">
        <v>4520</v>
      </c>
      <c r="F267" s="849"/>
      <c r="G267" s="891" t="s">
        <v>4685</v>
      </c>
      <c r="H267" s="1926" t="s">
        <v>4523</v>
      </c>
      <c r="I267" s="1927"/>
      <c r="J267" s="1927"/>
      <c r="K267" s="1928"/>
      <c r="L267" s="954">
        <f ca="1">L266*$H264*$H268</f>
        <v>0</v>
      </c>
      <c r="M267" s="954">
        <f ca="1">M266*$I264*$I268</f>
        <v>0</v>
      </c>
      <c r="N267" s="954">
        <f ca="1">N266*$J264*$J268</f>
        <v>0</v>
      </c>
      <c r="O267" s="954">
        <f ca="1">O266*$K264*$K268</f>
        <v>0</v>
      </c>
      <c r="P267" s="954">
        <f ca="1">P266*$H264*$H268</f>
        <v>0</v>
      </c>
      <c r="Q267" s="954">
        <f ca="1">Q266*$I264*$I268</f>
        <v>0</v>
      </c>
      <c r="R267" s="954">
        <f ca="1">R266*$J264*$J268</f>
        <v>0</v>
      </c>
      <c r="S267" s="954">
        <f ca="1">S266*$K264*$K268</f>
        <v>0</v>
      </c>
      <c r="T267" s="954">
        <f ca="1">T266*$H264*$H268</f>
        <v>0</v>
      </c>
      <c r="U267" s="954">
        <f ca="1">U266*$I264*$I268</f>
        <v>0</v>
      </c>
      <c r="V267" s="954">
        <f ca="1">V266*$J264*$J268</f>
        <v>0</v>
      </c>
      <c r="W267" s="954">
        <f ca="1">W266*$K264*$K268</f>
        <v>0</v>
      </c>
      <c r="X267" s="959"/>
      <c r="Y267" s="959"/>
      <c r="Z267" s="959"/>
      <c r="AA267" s="959"/>
      <c r="AB267" s="959"/>
      <c r="AC267" s="959"/>
      <c r="AD267" s="959"/>
      <c r="AE267" s="959"/>
      <c r="AF267" s="959"/>
      <c r="AG267" s="959"/>
      <c r="AH267" s="959"/>
      <c r="AI267" s="959"/>
      <c r="AJ267" s="959"/>
      <c r="AK267" s="959"/>
      <c r="AL267" s="959"/>
      <c r="AM267" s="959"/>
      <c r="AN267" s="959"/>
      <c r="AO267" s="959"/>
      <c r="AP267" s="959"/>
      <c r="AQ267" s="959"/>
      <c r="AR267" s="959"/>
      <c r="AS267" s="959"/>
      <c r="AT267" s="959"/>
      <c r="AU267" s="959"/>
      <c r="AV267" s="959"/>
      <c r="AW267" s="959"/>
      <c r="AX267" s="959"/>
      <c r="AY267" s="959"/>
      <c r="AZ267" s="959"/>
      <c r="BA267" s="959"/>
      <c r="BB267" s="959"/>
      <c r="BC267" s="959"/>
      <c r="BD267" s="959"/>
      <c r="BE267" s="959"/>
      <c r="BF267" s="959"/>
      <c r="BG267" s="959"/>
      <c r="BH267" s="959"/>
      <c r="BI267" s="959"/>
      <c r="BJ267" s="959"/>
      <c r="BK267" s="959"/>
      <c r="BL267" s="959"/>
      <c r="BM267" s="959"/>
      <c r="BN267" s="959"/>
      <c r="BO267" s="959"/>
      <c r="BP267" s="841"/>
    </row>
    <row r="268" spans="1:68">
      <c r="A268" s="786">
        <v>168</v>
      </c>
      <c r="B268" s="1910"/>
      <c r="C268" s="1930"/>
      <c r="D268" s="1918" t="s">
        <v>4548</v>
      </c>
      <c r="E268" s="974" t="s">
        <v>4519</v>
      </c>
      <c r="F268" s="849"/>
      <c r="G268" s="891" t="s">
        <v>4508</v>
      </c>
      <c r="H268" s="897">
        <f ca="1">H110</f>
        <v>0</v>
      </c>
      <c r="I268" s="897">
        <f ca="1">I110</f>
        <v>0</v>
      </c>
      <c r="J268" s="897">
        <f ca="1">J110</f>
        <v>0</v>
      </c>
      <c r="K268" s="897">
        <f ca="1">K110</f>
        <v>0</v>
      </c>
      <c r="L268" s="990">
        <f ca="1">SUM(P268,T268)</f>
        <v>0</v>
      </c>
      <c r="M268" s="990">
        <f ca="1">SUM(Q268,U268)</f>
        <v>0</v>
      </c>
      <c r="N268" s="990">
        <f ca="1">SUM(R268,V268)</f>
        <v>0</v>
      </c>
      <c r="O268" s="990">
        <f ca="1">SUM(S268,W268)</f>
        <v>0</v>
      </c>
      <c r="P268" s="967">
        <f ca="1">IFERROR(SUM(OFFSET(貼付け_2024実績,$A268,11,1,2)),"")</f>
        <v>0</v>
      </c>
      <c r="Q268" s="967">
        <f ca="1">IFERROR(SUM(OFFSET(貼付け_2025実績,$A268,11,1,2)),"")</f>
        <v>0</v>
      </c>
      <c r="R268" s="967">
        <f ca="1">IFERROR(SUM(OFFSET(貼付け_2026実績,$A268,11,1,2)),"")</f>
        <v>0</v>
      </c>
      <c r="S268" s="967">
        <f ca="1">IFERROR(SUM(OFFSET(貼付け_2027実績,$A268,11,1,2)),"")</f>
        <v>0</v>
      </c>
      <c r="T268" s="990">
        <f ca="1">IFERROR(OFFSET(貼付け_2024実績,$A268,10),"")</f>
        <v>0</v>
      </c>
      <c r="U268" s="990">
        <f ca="1">IFERROR(OFFSET(貼付け_2025実績,$A268,10),"")</f>
        <v>0</v>
      </c>
      <c r="V268" s="990">
        <f ca="1">IFERROR(OFFSET(貼付け_2026実績,$A268,10),"")</f>
        <v>0</v>
      </c>
      <c r="W268" s="990">
        <f ca="1">IFERROR(OFFSET(貼付け_2027実績,$A268,10),"")</f>
        <v>0</v>
      </c>
      <c r="X268" s="959"/>
      <c r="Y268" s="959"/>
      <c r="Z268" s="959"/>
      <c r="AA268" s="959"/>
      <c r="AB268" s="959"/>
      <c r="AC268" s="959"/>
      <c r="AD268" s="959"/>
      <c r="AE268" s="959"/>
      <c r="AF268" s="959"/>
      <c r="AG268" s="959"/>
      <c r="AH268" s="959"/>
      <c r="AI268" s="959"/>
      <c r="AJ268" s="959"/>
      <c r="AK268" s="959"/>
      <c r="AL268" s="959"/>
      <c r="AM268" s="959"/>
      <c r="AN268" s="959"/>
      <c r="AO268" s="959"/>
      <c r="AP268" s="959"/>
      <c r="AQ268" s="959"/>
      <c r="AR268" s="959"/>
      <c r="AS268" s="959"/>
      <c r="AT268" s="959"/>
      <c r="AU268" s="959"/>
      <c r="AV268" s="959"/>
      <c r="AW268" s="959"/>
      <c r="AX268" s="959"/>
      <c r="AY268" s="959"/>
      <c r="AZ268" s="959"/>
      <c r="BA268" s="959"/>
      <c r="BB268" s="959"/>
      <c r="BC268" s="959"/>
      <c r="BD268" s="959"/>
      <c r="BE268" s="959"/>
      <c r="BF268" s="959"/>
      <c r="BG268" s="959"/>
      <c r="BH268" s="959"/>
      <c r="BI268" s="959"/>
      <c r="BJ268" s="959"/>
      <c r="BK268" s="959"/>
      <c r="BL268" s="959"/>
      <c r="BM268" s="959"/>
      <c r="BN268" s="959"/>
      <c r="BO268" s="959"/>
      <c r="BP268" s="841"/>
    </row>
    <row r="269" spans="1:68" ht="21">
      <c r="B269" s="1910"/>
      <c r="C269" s="1930"/>
      <c r="D269" s="1920"/>
      <c r="E269" s="974" t="s">
        <v>4520</v>
      </c>
      <c r="F269" s="849"/>
      <c r="G269" s="891" t="s">
        <v>4685</v>
      </c>
      <c r="H269" s="1033"/>
      <c r="I269" s="1033"/>
      <c r="J269" s="1033"/>
      <c r="K269" s="1033"/>
      <c r="L269" s="954">
        <f ca="1">L268*$H264*$H268</f>
        <v>0</v>
      </c>
      <c r="M269" s="954">
        <f ca="1">M268*$I264*$I268</f>
        <v>0</v>
      </c>
      <c r="N269" s="954">
        <f ca="1">N268*$J264*$J268</f>
        <v>0</v>
      </c>
      <c r="O269" s="954">
        <f ca="1">O268*$K264*$K268</f>
        <v>0</v>
      </c>
      <c r="P269" s="954">
        <f ca="1">P268*$H264*$H268</f>
        <v>0</v>
      </c>
      <c r="Q269" s="954">
        <f ca="1">Q268*$I264*$I268</f>
        <v>0</v>
      </c>
      <c r="R269" s="954">
        <f ca="1">R268*$J264*$J268</f>
        <v>0</v>
      </c>
      <c r="S269" s="954">
        <f ca="1">S268*$K264*$K268</f>
        <v>0</v>
      </c>
      <c r="T269" s="954">
        <f ca="1">T268*$H264*$H268</f>
        <v>0</v>
      </c>
      <c r="U269" s="954">
        <f ca="1">U268*$I264*$I268</f>
        <v>0</v>
      </c>
      <c r="V269" s="954">
        <f ca="1">V268*$J264*$J268</f>
        <v>0</v>
      </c>
      <c r="W269" s="954">
        <f ca="1">W268*$K264*$K268</f>
        <v>0</v>
      </c>
      <c r="X269" s="959"/>
      <c r="Y269" s="959"/>
      <c r="Z269" s="959"/>
      <c r="AA269" s="959"/>
      <c r="AB269" s="959"/>
      <c r="AC269" s="959"/>
      <c r="AD269" s="959"/>
      <c r="AE269" s="959"/>
      <c r="AF269" s="959"/>
      <c r="AG269" s="959"/>
      <c r="AH269" s="959"/>
      <c r="AI269" s="959"/>
      <c r="AJ269" s="959"/>
      <c r="AK269" s="959"/>
      <c r="AL269" s="959"/>
      <c r="AM269" s="959"/>
      <c r="AN269" s="959"/>
      <c r="AO269" s="959"/>
      <c r="AP269" s="959"/>
      <c r="AQ269" s="959"/>
      <c r="AR269" s="959"/>
      <c r="AS269" s="959"/>
      <c r="AT269" s="959"/>
      <c r="AU269" s="959"/>
      <c r="AV269" s="959"/>
      <c r="AW269" s="959"/>
      <c r="AX269" s="959"/>
      <c r="AY269" s="959"/>
      <c r="AZ269" s="959"/>
      <c r="BA269" s="959"/>
      <c r="BB269" s="959"/>
      <c r="BC269" s="959"/>
      <c r="BD269" s="959"/>
      <c r="BE269" s="959"/>
      <c r="BF269" s="959"/>
      <c r="BG269" s="959"/>
      <c r="BH269" s="959"/>
      <c r="BI269" s="959"/>
      <c r="BJ269" s="959"/>
      <c r="BK269" s="959"/>
      <c r="BL269" s="959"/>
      <c r="BM269" s="959"/>
      <c r="BN269" s="959"/>
      <c r="BO269" s="959"/>
      <c r="BP269" s="841"/>
    </row>
    <row r="270" spans="1:68">
      <c r="B270" s="1910"/>
      <c r="C270" s="1930"/>
      <c r="D270" s="1932" t="s">
        <v>4454</v>
      </c>
      <c r="E270" s="974" t="s">
        <v>4519</v>
      </c>
      <c r="F270" s="849" t="s">
        <v>4465</v>
      </c>
      <c r="G270" s="891" t="s">
        <v>4508</v>
      </c>
      <c r="H270" s="959"/>
      <c r="I270" s="959"/>
      <c r="J270" s="959"/>
      <c r="K270" s="959"/>
      <c r="L270" s="967">
        <f t="shared" ref="L270:O270" ca="1" si="85">SUM(P270,T270)</f>
        <v>0</v>
      </c>
      <c r="M270" s="967">
        <f t="shared" ca="1" si="85"/>
        <v>0</v>
      </c>
      <c r="N270" s="967">
        <f t="shared" ca="1" si="85"/>
        <v>0</v>
      </c>
      <c r="O270" s="967">
        <f t="shared" ca="1" si="85"/>
        <v>0</v>
      </c>
      <c r="P270" s="967">
        <f t="shared" ref="P270:W271" ca="1" si="86">SUM(P264,P266,P268)</f>
        <v>0</v>
      </c>
      <c r="Q270" s="967">
        <f t="shared" ca="1" si="86"/>
        <v>0</v>
      </c>
      <c r="R270" s="967">
        <f t="shared" ca="1" si="86"/>
        <v>0</v>
      </c>
      <c r="S270" s="967">
        <f t="shared" ca="1" si="86"/>
        <v>0</v>
      </c>
      <c r="T270" s="967">
        <f ca="1">SUM(T264,T266,T268)</f>
        <v>0</v>
      </c>
      <c r="U270" s="967">
        <f t="shared" ref="U270:W270" ca="1" si="87">SUM(U264,U266,U268)</f>
        <v>0</v>
      </c>
      <c r="V270" s="967">
        <f t="shared" ca="1" si="87"/>
        <v>0</v>
      </c>
      <c r="W270" s="967">
        <f t="shared" ca="1" si="87"/>
        <v>0</v>
      </c>
      <c r="X270" s="959"/>
      <c r="Y270" s="959"/>
      <c r="Z270" s="959"/>
      <c r="AA270" s="959"/>
      <c r="AB270" s="959"/>
      <c r="AC270" s="959"/>
      <c r="AD270" s="959"/>
      <c r="AE270" s="959"/>
      <c r="AF270" s="959"/>
      <c r="AG270" s="959"/>
      <c r="AH270" s="959"/>
      <c r="AI270" s="959"/>
      <c r="AJ270" s="959"/>
      <c r="AK270" s="959"/>
      <c r="AL270" s="959"/>
      <c r="AM270" s="959"/>
      <c r="AN270" s="959"/>
      <c r="AO270" s="959"/>
      <c r="AP270" s="959"/>
      <c r="AQ270" s="959"/>
      <c r="AR270" s="959"/>
      <c r="AS270" s="959"/>
      <c r="AT270" s="959"/>
      <c r="AU270" s="959"/>
      <c r="AV270" s="959"/>
      <c r="AW270" s="959"/>
      <c r="AX270" s="959"/>
      <c r="AY270" s="959"/>
      <c r="AZ270" s="959"/>
      <c r="BA270" s="959"/>
      <c r="BB270" s="959"/>
      <c r="BC270" s="959"/>
      <c r="BD270" s="959"/>
      <c r="BE270" s="959"/>
      <c r="BF270" s="959"/>
      <c r="BG270" s="959"/>
      <c r="BH270" s="959"/>
      <c r="BI270" s="959"/>
      <c r="BJ270" s="959"/>
      <c r="BK270" s="959"/>
      <c r="BL270" s="959"/>
      <c r="BM270" s="959"/>
      <c r="BN270" s="959"/>
      <c r="BO270" s="959"/>
      <c r="BP270" s="841"/>
    </row>
    <row r="271" spans="1:68" ht="21">
      <c r="B271" s="1910"/>
      <c r="C271" s="1931"/>
      <c r="D271" s="1933"/>
      <c r="E271" s="974" t="s">
        <v>4520</v>
      </c>
      <c r="F271" s="849" t="s">
        <v>4466</v>
      </c>
      <c r="G271" s="891" t="s">
        <v>4685</v>
      </c>
      <c r="H271" s="959"/>
      <c r="I271" s="959"/>
      <c r="J271" s="959"/>
      <c r="K271" s="959"/>
      <c r="L271" s="967">
        <f t="shared" ref="L271:O271" ca="1" si="88">SUM(L265,L267,L269)</f>
        <v>0</v>
      </c>
      <c r="M271" s="967">
        <f t="shared" ca="1" si="88"/>
        <v>0</v>
      </c>
      <c r="N271" s="967">
        <f t="shared" ca="1" si="88"/>
        <v>0</v>
      </c>
      <c r="O271" s="967">
        <f t="shared" ca="1" si="88"/>
        <v>0</v>
      </c>
      <c r="P271" s="967">
        <f ca="1">SUM(P265,P267,P269)</f>
        <v>0</v>
      </c>
      <c r="Q271" s="967">
        <f t="shared" ca="1" si="86"/>
        <v>0</v>
      </c>
      <c r="R271" s="967">
        <f t="shared" ca="1" si="86"/>
        <v>0</v>
      </c>
      <c r="S271" s="967">
        <f t="shared" ca="1" si="86"/>
        <v>0</v>
      </c>
      <c r="T271" s="967">
        <f t="shared" ca="1" si="86"/>
        <v>0</v>
      </c>
      <c r="U271" s="967">
        <f t="shared" ca="1" si="86"/>
        <v>0</v>
      </c>
      <c r="V271" s="967">
        <f t="shared" ca="1" si="86"/>
        <v>0</v>
      </c>
      <c r="W271" s="967">
        <f t="shared" ca="1" si="86"/>
        <v>0</v>
      </c>
      <c r="X271" s="959"/>
      <c r="Y271" s="959"/>
      <c r="Z271" s="959"/>
      <c r="AA271" s="959"/>
      <c r="AB271" s="959"/>
      <c r="AC271" s="959"/>
      <c r="AD271" s="959"/>
      <c r="AE271" s="959"/>
      <c r="AF271" s="959"/>
      <c r="AG271" s="959"/>
      <c r="AH271" s="959"/>
      <c r="AI271" s="959"/>
      <c r="AJ271" s="959"/>
      <c r="AK271" s="959"/>
      <c r="AL271" s="959"/>
      <c r="AM271" s="959"/>
      <c r="AN271" s="959"/>
      <c r="AO271" s="959"/>
      <c r="AP271" s="959"/>
      <c r="AQ271" s="959"/>
      <c r="AR271" s="959"/>
      <c r="AS271" s="959"/>
      <c r="AT271" s="959"/>
      <c r="AU271" s="959"/>
      <c r="AV271" s="959"/>
      <c r="AW271" s="959"/>
      <c r="AX271" s="959"/>
      <c r="AY271" s="959"/>
      <c r="AZ271" s="959"/>
      <c r="BA271" s="959"/>
      <c r="BB271" s="959"/>
      <c r="BC271" s="959"/>
      <c r="BD271" s="959"/>
      <c r="BE271" s="959"/>
      <c r="BF271" s="959"/>
      <c r="BG271" s="959"/>
      <c r="BH271" s="959"/>
      <c r="BI271" s="959"/>
      <c r="BJ271" s="959"/>
      <c r="BK271" s="959"/>
      <c r="BL271" s="959"/>
      <c r="BM271" s="959"/>
      <c r="BN271" s="959"/>
      <c r="BO271" s="959"/>
      <c r="BP271" s="841"/>
    </row>
    <row r="272" spans="1:68" ht="21">
      <c r="B272" s="1910"/>
      <c r="C272" s="997" t="s">
        <v>4525</v>
      </c>
      <c r="D272" s="999"/>
      <c r="E272" s="975"/>
      <c r="F272" s="849"/>
      <c r="G272" s="891" t="s">
        <v>4685</v>
      </c>
      <c r="H272" s="959"/>
      <c r="I272" s="959"/>
      <c r="J272" s="959"/>
      <c r="K272" s="959"/>
      <c r="L272" s="954">
        <f ca="1">ROUNDDOWN(IF(L253+L258+L271&gt;=L250,L250,L253+L258+L271),0)</f>
        <v>0</v>
      </c>
      <c r="M272" s="954">
        <f t="shared" ref="M272:W272" ca="1" si="89">ROUNDDOWN(IF(M253+M258+M271&gt;=M250,M250,M253+M258+M271),0)</f>
        <v>0</v>
      </c>
      <c r="N272" s="954">
        <f t="shared" ca="1" si="89"/>
        <v>0</v>
      </c>
      <c r="O272" s="954">
        <f t="shared" ca="1" si="89"/>
        <v>0</v>
      </c>
      <c r="P272" s="954">
        <f t="shared" ca="1" si="89"/>
        <v>0</v>
      </c>
      <c r="Q272" s="954">
        <f t="shared" ca="1" si="89"/>
        <v>0</v>
      </c>
      <c r="R272" s="954">
        <f t="shared" ca="1" si="89"/>
        <v>0</v>
      </c>
      <c r="S272" s="954">
        <f t="shared" ca="1" si="89"/>
        <v>0</v>
      </c>
      <c r="T272" s="954">
        <f t="shared" ca="1" si="89"/>
        <v>0</v>
      </c>
      <c r="U272" s="954">
        <f t="shared" ca="1" si="89"/>
        <v>0</v>
      </c>
      <c r="V272" s="954">
        <f t="shared" ca="1" si="89"/>
        <v>0</v>
      </c>
      <c r="W272" s="954">
        <f t="shared" ca="1" si="89"/>
        <v>0</v>
      </c>
      <c r="X272" s="959"/>
      <c r="Y272" s="959"/>
      <c r="Z272" s="959"/>
      <c r="AA272" s="959"/>
      <c r="AB272" s="959"/>
      <c r="AC272" s="959"/>
      <c r="AD272" s="959"/>
      <c r="AE272" s="959"/>
      <c r="AF272" s="959"/>
      <c r="AG272" s="959"/>
      <c r="AH272" s="959"/>
      <c r="AI272" s="959"/>
      <c r="AJ272" s="959"/>
      <c r="AK272" s="959"/>
      <c r="AL272" s="959"/>
      <c r="AM272" s="959"/>
      <c r="AN272" s="959"/>
      <c r="AO272" s="959"/>
      <c r="AP272" s="959"/>
      <c r="AQ272" s="959"/>
      <c r="AR272" s="959"/>
      <c r="AS272" s="959"/>
      <c r="AT272" s="959"/>
      <c r="AU272" s="959"/>
      <c r="AV272" s="959"/>
      <c r="AW272" s="959"/>
      <c r="AX272" s="959"/>
      <c r="AY272" s="959"/>
      <c r="AZ272" s="959"/>
      <c r="BA272" s="959"/>
      <c r="BB272" s="959"/>
      <c r="BC272" s="959"/>
      <c r="BD272" s="959"/>
      <c r="BE272" s="959"/>
      <c r="BF272" s="959"/>
      <c r="BG272" s="959"/>
      <c r="BH272" s="959"/>
      <c r="BI272" s="959"/>
      <c r="BJ272" s="959"/>
      <c r="BK272" s="959"/>
      <c r="BL272" s="959"/>
      <c r="BM272" s="959"/>
      <c r="BN272" s="959"/>
      <c r="BO272" s="959"/>
      <c r="BP272" s="841"/>
    </row>
    <row r="273" spans="1:68" ht="21">
      <c r="B273" s="968" t="s">
        <v>4479</v>
      </c>
      <c r="C273" s="910"/>
      <c r="D273" s="892"/>
      <c r="E273" s="973" t="s">
        <v>4549</v>
      </c>
      <c r="F273" s="901"/>
      <c r="G273" s="891" t="s">
        <v>4685</v>
      </c>
      <c r="H273" s="959"/>
      <c r="I273" s="959"/>
      <c r="J273" s="959"/>
      <c r="K273" s="959"/>
      <c r="L273" s="966">
        <f ca="1">IF(L249+L250-L272-L262&gt;0,ROUND(ROUNDDOWN(L249+L250-L272-L262,0),2-INT(LOG(ROUNDDOWN(L249+L250-L272-L262,0)))),0)</f>
        <v>0</v>
      </c>
      <c r="M273" s="966">
        <f t="shared" ref="M273:W273" ca="1" si="90">IF(M249+M250-M272-M262&gt;0,ROUND(ROUNDDOWN(M249+M250-M272-M262,0),2-INT(LOG(ROUNDDOWN(M249+M250-M272-M262,0)))),0)</f>
        <v>0</v>
      </c>
      <c r="N273" s="966">
        <f t="shared" ca="1" si="90"/>
        <v>0</v>
      </c>
      <c r="O273" s="966">
        <f t="shared" ca="1" si="90"/>
        <v>0</v>
      </c>
      <c r="P273" s="966">
        <f t="shared" ca="1" si="90"/>
        <v>0</v>
      </c>
      <c r="Q273" s="966">
        <f t="shared" ca="1" si="90"/>
        <v>0</v>
      </c>
      <c r="R273" s="966">
        <f t="shared" ca="1" si="90"/>
        <v>0</v>
      </c>
      <c r="S273" s="966">
        <f t="shared" ca="1" si="90"/>
        <v>0</v>
      </c>
      <c r="T273" s="966">
        <f t="shared" ca="1" si="90"/>
        <v>0</v>
      </c>
      <c r="U273" s="966">
        <f t="shared" ca="1" si="90"/>
        <v>0</v>
      </c>
      <c r="V273" s="966">
        <f t="shared" ca="1" si="90"/>
        <v>0</v>
      </c>
      <c r="W273" s="966">
        <f t="shared" ca="1" si="90"/>
        <v>0</v>
      </c>
      <c r="X273" s="959"/>
      <c r="Y273" s="959"/>
      <c r="Z273" s="959"/>
      <c r="AA273" s="959"/>
      <c r="AB273" s="959"/>
      <c r="AC273" s="959"/>
      <c r="AD273" s="959"/>
      <c r="AE273" s="959"/>
      <c r="AF273" s="959"/>
      <c r="AG273" s="959"/>
      <c r="AH273" s="959"/>
      <c r="AI273" s="959"/>
      <c r="AJ273" s="959"/>
      <c r="AK273" s="959"/>
      <c r="AL273" s="959"/>
      <c r="AM273" s="959"/>
      <c r="AN273" s="959"/>
      <c r="AO273" s="959"/>
      <c r="AP273" s="959"/>
      <c r="AQ273" s="959"/>
      <c r="AR273" s="959"/>
      <c r="AS273" s="959"/>
      <c r="AT273" s="959"/>
      <c r="AU273" s="959"/>
      <c r="AV273" s="959"/>
      <c r="AW273" s="959"/>
      <c r="AX273" s="959"/>
      <c r="AY273" s="959"/>
      <c r="AZ273" s="959"/>
      <c r="BA273" s="959"/>
      <c r="BB273" s="959"/>
      <c r="BC273" s="959"/>
      <c r="BD273" s="959"/>
      <c r="BE273" s="959"/>
      <c r="BF273" s="959"/>
      <c r="BG273" s="959"/>
      <c r="BH273" s="959"/>
      <c r="BI273" s="959"/>
      <c r="BJ273" s="959"/>
      <c r="BK273" s="959"/>
      <c r="BL273" s="959"/>
      <c r="BM273" s="959"/>
      <c r="BN273" s="959"/>
      <c r="BO273" s="959"/>
      <c r="BP273" s="841"/>
    </row>
    <row r="274" spans="1:68" ht="20.100000000000001" customHeight="1">
      <c r="B274" s="950">
        <v>2</v>
      </c>
      <c r="C274" s="951" t="s">
        <v>4480</v>
      </c>
      <c r="D274" s="820"/>
      <c r="E274" s="820"/>
      <c r="F274" s="820"/>
      <c r="G274" s="820"/>
      <c r="H274" s="821"/>
      <c r="I274" s="821"/>
      <c r="J274" s="821"/>
      <c r="K274" s="821"/>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row>
    <row r="275" spans="1:68" ht="20.100000000000001" hidden="1" customHeight="1" outlineLevel="1">
      <c r="A275" s="786">
        <v>10</v>
      </c>
      <c r="B275" s="1871"/>
      <c r="C275" s="1872"/>
      <c r="D275" s="824" t="s">
        <v>4392</v>
      </c>
      <c r="E275" s="824"/>
      <c r="F275" s="825"/>
      <c r="G275" s="891" t="s">
        <v>4685</v>
      </c>
      <c r="H275" s="953">
        <f t="shared" ref="H275:H281" ca="1" si="91">IFERROR(OFFSET(貼付け_2024実績,$A275,6),"")</f>
        <v>1.8700000000000001E-2</v>
      </c>
      <c r="I275" s="953">
        <f t="shared" ref="I275:I281" ca="1" si="92">IFERROR(OFFSET(貼付け_2025実績,$A275,6),"")</f>
        <v>1.8700000000000001E-2</v>
      </c>
      <c r="J275" s="953">
        <f t="shared" ref="J275:J281" ca="1" si="93">IFERROR(OFFSET(貼付け_2026実績,$A275,6),"")</f>
        <v>1.8700000000000001E-2</v>
      </c>
      <c r="K275" s="953">
        <f t="shared" ref="K275:K281" ca="1" si="94">IFERROR(OFFSET(貼付け_2027実績,$A275,6),"")</f>
        <v>1.8700000000000001E-2</v>
      </c>
      <c r="L275" s="954">
        <f t="shared" ref="L275:W281" ca="1" si="95">L230</f>
        <v>0</v>
      </c>
      <c r="M275" s="954">
        <f t="shared" ca="1" si="95"/>
        <v>0</v>
      </c>
      <c r="N275" s="954">
        <f t="shared" ca="1" si="95"/>
        <v>0</v>
      </c>
      <c r="O275" s="954">
        <f t="shared" ca="1" si="95"/>
        <v>0</v>
      </c>
      <c r="P275" s="990">
        <f ca="1">P230</f>
        <v>0</v>
      </c>
      <c r="Q275" s="990">
        <f t="shared" ref="Q275:W275" ca="1" si="96">Q230</f>
        <v>0</v>
      </c>
      <c r="R275" s="990">
        <f t="shared" ca="1" si="96"/>
        <v>0</v>
      </c>
      <c r="S275" s="990">
        <f t="shared" ca="1" si="96"/>
        <v>0</v>
      </c>
      <c r="T275" s="990">
        <f t="shared" ca="1" si="96"/>
        <v>0</v>
      </c>
      <c r="U275" s="990">
        <f t="shared" ca="1" si="96"/>
        <v>0</v>
      </c>
      <c r="V275" s="990">
        <f t="shared" ca="1" si="96"/>
        <v>0</v>
      </c>
      <c r="W275" s="990">
        <f t="shared" ca="1" si="96"/>
        <v>0</v>
      </c>
      <c r="X275" s="959"/>
      <c r="Y275" s="959"/>
      <c r="Z275" s="959"/>
      <c r="AA275" s="959"/>
      <c r="AB275" s="959"/>
      <c r="AC275" s="959"/>
      <c r="AD275" s="959"/>
      <c r="AE275" s="959"/>
      <c r="AF275" s="959"/>
      <c r="AG275" s="959"/>
      <c r="AH275" s="959"/>
      <c r="AI275" s="959"/>
      <c r="AJ275" s="959"/>
      <c r="AK275" s="959"/>
      <c r="AL275" s="959"/>
      <c r="AM275" s="959"/>
      <c r="AN275" s="959"/>
      <c r="AO275" s="959"/>
      <c r="AP275" s="959"/>
      <c r="AQ275" s="959"/>
      <c r="AR275" s="959"/>
      <c r="AS275" s="959"/>
      <c r="AT275" s="959"/>
      <c r="AU275" s="959"/>
      <c r="AV275" s="959"/>
      <c r="AW275" s="959"/>
      <c r="AX275" s="959"/>
      <c r="AY275" s="959"/>
      <c r="AZ275" s="959"/>
      <c r="BA275" s="959"/>
      <c r="BB275" s="959"/>
      <c r="BC275" s="959"/>
      <c r="BD275" s="959"/>
      <c r="BE275" s="959"/>
      <c r="BF275" s="959"/>
      <c r="BG275" s="959"/>
      <c r="BH275" s="959"/>
      <c r="BI275" s="959"/>
      <c r="BJ275" s="959"/>
      <c r="BK275" s="959"/>
      <c r="BL275" s="959"/>
      <c r="BM275" s="959"/>
      <c r="BN275" s="959"/>
      <c r="BO275" s="959"/>
    </row>
    <row r="276" spans="1:68" ht="20.100000000000001" hidden="1" customHeight="1" outlineLevel="1">
      <c r="A276" s="786">
        <v>12</v>
      </c>
      <c r="B276" s="1870"/>
      <c r="C276" s="1872"/>
      <c r="D276" s="824" t="s">
        <v>4393</v>
      </c>
      <c r="E276" s="824"/>
      <c r="F276" s="825"/>
      <c r="G276" s="891" t="s">
        <v>4685</v>
      </c>
      <c r="H276" s="953">
        <f t="shared" ca="1" si="91"/>
        <v>1.8599999999999998E-2</v>
      </c>
      <c r="I276" s="953">
        <f t="shared" ca="1" si="92"/>
        <v>1.8599999999999998E-2</v>
      </c>
      <c r="J276" s="953">
        <f t="shared" ca="1" si="93"/>
        <v>1.8599999999999998E-2</v>
      </c>
      <c r="K276" s="953">
        <f t="shared" ca="1" si="94"/>
        <v>1.8599999999999998E-2</v>
      </c>
      <c r="L276" s="954">
        <f t="shared" ca="1" si="95"/>
        <v>0</v>
      </c>
      <c r="M276" s="954">
        <f t="shared" ca="1" si="95"/>
        <v>0</v>
      </c>
      <c r="N276" s="954">
        <f t="shared" ca="1" si="95"/>
        <v>0</v>
      </c>
      <c r="O276" s="954">
        <f t="shared" ca="1" si="95"/>
        <v>0</v>
      </c>
      <c r="P276" s="990">
        <f t="shared" ca="1" si="95"/>
        <v>0</v>
      </c>
      <c r="Q276" s="990">
        <f t="shared" ca="1" si="95"/>
        <v>0</v>
      </c>
      <c r="R276" s="990">
        <f t="shared" ca="1" si="95"/>
        <v>0</v>
      </c>
      <c r="S276" s="990">
        <f t="shared" ca="1" si="95"/>
        <v>0</v>
      </c>
      <c r="T276" s="990">
        <f t="shared" ca="1" si="95"/>
        <v>0</v>
      </c>
      <c r="U276" s="990">
        <f t="shared" ca="1" si="95"/>
        <v>0</v>
      </c>
      <c r="V276" s="990">
        <f t="shared" ca="1" si="95"/>
        <v>0</v>
      </c>
      <c r="W276" s="990">
        <f t="shared" ca="1" si="95"/>
        <v>0</v>
      </c>
      <c r="X276" s="959"/>
      <c r="Y276" s="959"/>
      <c r="Z276" s="959"/>
      <c r="AA276" s="959"/>
      <c r="AB276" s="959"/>
      <c r="AC276" s="959"/>
      <c r="AD276" s="959"/>
      <c r="AE276" s="959"/>
      <c r="AF276" s="959"/>
      <c r="AG276" s="959"/>
      <c r="AH276" s="959"/>
      <c r="AI276" s="959"/>
      <c r="AJ276" s="959"/>
      <c r="AK276" s="959"/>
      <c r="AL276" s="959"/>
      <c r="AM276" s="959"/>
      <c r="AN276" s="959"/>
      <c r="AO276" s="959"/>
      <c r="AP276" s="959"/>
      <c r="AQ276" s="959"/>
      <c r="AR276" s="959"/>
      <c r="AS276" s="959"/>
      <c r="AT276" s="959"/>
      <c r="AU276" s="959"/>
      <c r="AV276" s="959"/>
      <c r="AW276" s="959"/>
      <c r="AX276" s="959"/>
      <c r="AY276" s="959"/>
      <c r="AZ276" s="959"/>
      <c r="BA276" s="959"/>
      <c r="BB276" s="959"/>
      <c r="BC276" s="959"/>
      <c r="BD276" s="959"/>
      <c r="BE276" s="959"/>
      <c r="BF276" s="959"/>
      <c r="BG276" s="959"/>
      <c r="BH276" s="959"/>
      <c r="BI276" s="959"/>
      <c r="BJ276" s="959"/>
      <c r="BK276" s="959"/>
      <c r="BL276" s="959"/>
      <c r="BM276" s="959"/>
      <c r="BN276" s="959"/>
      <c r="BO276" s="959"/>
    </row>
    <row r="277" spans="1:68" ht="20.100000000000001" hidden="1" customHeight="1" outlineLevel="1">
      <c r="A277" s="786">
        <v>14</v>
      </c>
      <c r="B277" s="1871"/>
      <c r="C277" s="1872"/>
      <c r="D277" s="824" t="s">
        <v>4150</v>
      </c>
      <c r="E277" s="824"/>
      <c r="F277" s="825"/>
      <c r="G277" s="891" t="s">
        <v>4685</v>
      </c>
      <c r="H277" s="953">
        <f t="shared" ca="1" si="91"/>
        <v>1.8800000000000001E-2</v>
      </c>
      <c r="I277" s="953">
        <f t="shared" ca="1" si="92"/>
        <v>1.8800000000000001E-2</v>
      </c>
      <c r="J277" s="953">
        <f t="shared" ca="1" si="93"/>
        <v>1.8800000000000001E-2</v>
      </c>
      <c r="K277" s="953">
        <f t="shared" ca="1" si="94"/>
        <v>1.8800000000000001E-2</v>
      </c>
      <c r="L277" s="954">
        <f t="shared" ca="1" si="95"/>
        <v>0</v>
      </c>
      <c r="M277" s="954">
        <f t="shared" ca="1" si="95"/>
        <v>0</v>
      </c>
      <c r="N277" s="954">
        <f t="shared" ca="1" si="95"/>
        <v>0</v>
      </c>
      <c r="O277" s="954">
        <f t="shared" ca="1" si="95"/>
        <v>0</v>
      </c>
      <c r="P277" s="990">
        <f t="shared" ca="1" si="95"/>
        <v>0</v>
      </c>
      <c r="Q277" s="990">
        <f t="shared" ca="1" si="95"/>
        <v>0</v>
      </c>
      <c r="R277" s="990">
        <f t="shared" ca="1" si="95"/>
        <v>0</v>
      </c>
      <c r="S277" s="990">
        <f t="shared" ca="1" si="95"/>
        <v>0</v>
      </c>
      <c r="T277" s="990">
        <f t="shared" ca="1" si="95"/>
        <v>0</v>
      </c>
      <c r="U277" s="990">
        <f t="shared" ca="1" si="95"/>
        <v>0</v>
      </c>
      <c r="V277" s="990">
        <f t="shared" ca="1" si="95"/>
        <v>0</v>
      </c>
      <c r="W277" s="990">
        <f t="shared" ca="1" si="95"/>
        <v>0</v>
      </c>
      <c r="X277" s="959"/>
      <c r="Y277" s="959"/>
      <c r="Z277" s="959"/>
      <c r="AA277" s="959"/>
      <c r="AB277" s="959"/>
      <c r="AC277" s="959"/>
      <c r="AD277" s="959"/>
      <c r="AE277" s="959"/>
      <c r="AF277" s="959"/>
      <c r="AG277" s="959"/>
      <c r="AH277" s="959"/>
      <c r="AI277" s="959"/>
      <c r="AJ277" s="959"/>
      <c r="AK277" s="959"/>
      <c r="AL277" s="959"/>
      <c r="AM277" s="959"/>
      <c r="AN277" s="959"/>
      <c r="AO277" s="959"/>
      <c r="AP277" s="959"/>
      <c r="AQ277" s="959"/>
      <c r="AR277" s="959"/>
      <c r="AS277" s="959"/>
      <c r="AT277" s="959"/>
      <c r="AU277" s="959"/>
      <c r="AV277" s="959"/>
      <c r="AW277" s="959"/>
      <c r="AX277" s="959"/>
      <c r="AY277" s="959"/>
      <c r="AZ277" s="959"/>
      <c r="BA277" s="959"/>
      <c r="BB277" s="959"/>
      <c r="BC277" s="959"/>
      <c r="BD277" s="959"/>
      <c r="BE277" s="959"/>
      <c r="BF277" s="959"/>
      <c r="BG277" s="959"/>
      <c r="BH277" s="959"/>
      <c r="BI277" s="959"/>
      <c r="BJ277" s="959"/>
      <c r="BK277" s="959"/>
      <c r="BL277" s="959"/>
      <c r="BM277" s="959"/>
      <c r="BN277" s="959"/>
      <c r="BO277" s="959"/>
    </row>
    <row r="278" spans="1:68" ht="20.100000000000001" hidden="1" customHeight="1" outlineLevel="1">
      <c r="A278" s="786">
        <v>15</v>
      </c>
      <c r="B278" s="1870"/>
      <c r="C278" s="1872"/>
      <c r="D278" s="824" t="s">
        <v>4151</v>
      </c>
      <c r="E278" s="824"/>
      <c r="F278" s="825"/>
      <c r="G278" s="891" t="s">
        <v>4685</v>
      </c>
      <c r="H278" s="953">
        <f t="shared" ca="1" si="91"/>
        <v>1.9300000000000001E-2</v>
      </c>
      <c r="I278" s="953">
        <f t="shared" ca="1" si="92"/>
        <v>1.9300000000000001E-2</v>
      </c>
      <c r="J278" s="953">
        <f t="shared" ca="1" si="93"/>
        <v>1.9300000000000001E-2</v>
      </c>
      <c r="K278" s="953">
        <f t="shared" ca="1" si="94"/>
        <v>1.9300000000000001E-2</v>
      </c>
      <c r="L278" s="954">
        <f t="shared" ca="1" si="95"/>
        <v>0</v>
      </c>
      <c r="M278" s="954">
        <f t="shared" ca="1" si="95"/>
        <v>0</v>
      </c>
      <c r="N278" s="954">
        <f t="shared" ca="1" si="95"/>
        <v>0</v>
      </c>
      <c r="O278" s="954">
        <f t="shared" ca="1" si="95"/>
        <v>0</v>
      </c>
      <c r="P278" s="990">
        <f t="shared" ca="1" si="95"/>
        <v>0</v>
      </c>
      <c r="Q278" s="990">
        <f t="shared" ca="1" si="95"/>
        <v>0</v>
      </c>
      <c r="R278" s="990">
        <f t="shared" ca="1" si="95"/>
        <v>0</v>
      </c>
      <c r="S278" s="990">
        <f t="shared" ca="1" si="95"/>
        <v>0</v>
      </c>
      <c r="T278" s="990">
        <f t="shared" ca="1" si="95"/>
        <v>0</v>
      </c>
      <c r="U278" s="990">
        <f t="shared" ca="1" si="95"/>
        <v>0</v>
      </c>
      <c r="V278" s="990">
        <f t="shared" ca="1" si="95"/>
        <v>0</v>
      </c>
      <c r="W278" s="990">
        <f t="shared" ca="1" si="95"/>
        <v>0</v>
      </c>
      <c r="X278" s="959"/>
      <c r="Y278" s="959"/>
      <c r="Z278" s="959"/>
      <c r="AA278" s="959"/>
      <c r="AB278" s="959"/>
      <c r="AC278" s="959"/>
      <c r="AD278" s="959"/>
      <c r="AE278" s="959"/>
      <c r="AF278" s="959"/>
      <c r="AG278" s="959"/>
      <c r="AH278" s="959"/>
      <c r="AI278" s="959"/>
      <c r="AJ278" s="959"/>
      <c r="AK278" s="959"/>
      <c r="AL278" s="959"/>
      <c r="AM278" s="959"/>
      <c r="AN278" s="959"/>
      <c r="AO278" s="959"/>
      <c r="AP278" s="959"/>
      <c r="AQ278" s="959"/>
      <c r="AR278" s="959"/>
      <c r="AS278" s="959"/>
      <c r="AT278" s="959"/>
      <c r="AU278" s="959"/>
      <c r="AV278" s="959"/>
      <c r="AW278" s="959"/>
      <c r="AX278" s="959"/>
      <c r="AY278" s="959"/>
      <c r="AZ278" s="959"/>
      <c r="BA278" s="959"/>
      <c r="BB278" s="959"/>
      <c r="BC278" s="959"/>
      <c r="BD278" s="959"/>
      <c r="BE278" s="959"/>
      <c r="BF278" s="959"/>
      <c r="BG278" s="959"/>
      <c r="BH278" s="959"/>
      <c r="BI278" s="959"/>
      <c r="BJ278" s="959"/>
      <c r="BK278" s="959"/>
      <c r="BL278" s="959"/>
      <c r="BM278" s="959"/>
      <c r="BN278" s="959"/>
      <c r="BO278" s="959"/>
    </row>
    <row r="279" spans="1:68" ht="20.100000000000001" hidden="1" customHeight="1" outlineLevel="1">
      <c r="A279" s="786">
        <v>16</v>
      </c>
      <c r="B279" s="1870"/>
      <c r="C279" s="1872"/>
      <c r="D279" s="824" t="s">
        <v>4152</v>
      </c>
      <c r="E279" s="818"/>
      <c r="F279" s="825"/>
      <c r="G279" s="891" t="s">
        <v>4685</v>
      </c>
      <c r="H279" s="953">
        <f t="shared" ca="1" si="91"/>
        <v>2.0199999999999999E-2</v>
      </c>
      <c r="I279" s="953">
        <f t="shared" ca="1" si="92"/>
        <v>2.0199999999999999E-2</v>
      </c>
      <c r="J279" s="953">
        <f t="shared" ca="1" si="93"/>
        <v>2.0199999999999999E-2</v>
      </c>
      <c r="K279" s="953">
        <f t="shared" ca="1" si="94"/>
        <v>2.0199999999999999E-2</v>
      </c>
      <c r="L279" s="954">
        <f t="shared" ca="1" si="95"/>
        <v>0</v>
      </c>
      <c r="M279" s="954">
        <f t="shared" ca="1" si="95"/>
        <v>0</v>
      </c>
      <c r="N279" s="954">
        <f t="shared" ca="1" si="95"/>
        <v>0</v>
      </c>
      <c r="O279" s="954">
        <f t="shared" ca="1" si="95"/>
        <v>0</v>
      </c>
      <c r="P279" s="990">
        <f t="shared" ca="1" si="95"/>
        <v>0</v>
      </c>
      <c r="Q279" s="990">
        <f t="shared" ca="1" si="95"/>
        <v>0</v>
      </c>
      <c r="R279" s="990">
        <f t="shared" ca="1" si="95"/>
        <v>0</v>
      </c>
      <c r="S279" s="990">
        <f t="shared" ca="1" si="95"/>
        <v>0</v>
      </c>
      <c r="T279" s="990">
        <f t="shared" ca="1" si="95"/>
        <v>0</v>
      </c>
      <c r="U279" s="990">
        <f t="shared" ca="1" si="95"/>
        <v>0</v>
      </c>
      <c r="V279" s="990">
        <f t="shared" ca="1" si="95"/>
        <v>0</v>
      </c>
      <c r="W279" s="990">
        <f t="shared" ca="1" si="95"/>
        <v>0</v>
      </c>
      <c r="X279" s="959"/>
      <c r="Y279" s="959"/>
      <c r="Z279" s="959"/>
      <c r="AA279" s="959"/>
      <c r="AB279" s="959"/>
      <c r="AC279" s="959"/>
      <c r="AD279" s="959"/>
      <c r="AE279" s="959"/>
      <c r="AF279" s="959"/>
      <c r="AG279" s="959"/>
      <c r="AH279" s="959"/>
      <c r="AI279" s="959"/>
      <c r="AJ279" s="959"/>
      <c r="AK279" s="959"/>
      <c r="AL279" s="959"/>
      <c r="AM279" s="959"/>
      <c r="AN279" s="959"/>
      <c r="AO279" s="959"/>
      <c r="AP279" s="959"/>
      <c r="AQ279" s="959"/>
      <c r="AR279" s="959"/>
      <c r="AS279" s="959"/>
      <c r="AT279" s="959"/>
      <c r="AU279" s="959"/>
      <c r="AV279" s="959"/>
      <c r="AW279" s="959"/>
      <c r="AX279" s="959"/>
      <c r="AY279" s="959"/>
      <c r="AZ279" s="959"/>
      <c r="BA279" s="959"/>
      <c r="BB279" s="959"/>
      <c r="BC279" s="959"/>
      <c r="BD279" s="959"/>
      <c r="BE279" s="959"/>
      <c r="BF279" s="959"/>
      <c r="BG279" s="959"/>
      <c r="BH279" s="959"/>
      <c r="BI279" s="959"/>
      <c r="BJ279" s="959"/>
      <c r="BK279" s="959"/>
      <c r="BL279" s="959"/>
      <c r="BM279" s="959"/>
      <c r="BN279" s="959"/>
      <c r="BO279" s="959"/>
    </row>
    <row r="280" spans="1:68" ht="20.100000000000001" hidden="1" customHeight="1" outlineLevel="1">
      <c r="A280" s="786">
        <v>19</v>
      </c>
      <c r="B280" s="1871"/>
      <c r="C280" s="1872"/>
      <c r="D280" s="824" t="s">
        <v>4394</v>
      </c>
      <c r="E280" s="824"/>
      <c r="F280" s="825"/>
      <c r="G280" s="891" t="s">
        <v>4685</v>
      </c>
      <c r="H280" s="953">
        <f t="shared" ca="1" si="91"/>
        <v>1.6299999999999999E-2</v>
      </c>
      <c r="I280" s="953">
        <f t="shared" ca="1" si="92"/>
        <v>1.6299999999999999E-2</v>
      </c>
      <c r="J280" s="953">
        <f t="shared" ca="1" si="93"/>
        <v>1.6299999999999999E-2</v>
      </c>
      <c r="K280" s="953">
        <f t="shared" ca="1" si="94"/>
        <v>1.6299999999999999E-2</v>
      </c>
      <c r="L280" s="954">
        <f t="shared" ca="1" si="95"/>
        <v>0</v>
      </c>
      <c r="M280" s="954">
        <f t="shared" ca="1" si="95"/>
        <v>0</v>
      </c>
      <c r="N280" s="954">
        <f t="shared" ca="1" si="95"/>
        <v>0</v>
      </c>
      <c r="O280" s="954">
        <f t="shared" ca="1" si="95"/>
        <v>0</v>
      </c>
      <c r="P280" s="990">
        <f t="shared" ca="1" si="95"/>
        <v>0</v>
      </c>
      <c r="Q280" s="990">
        <f t="shared" ca="1" si="95"/>
        <v>0</v>
      </c>
      <c r="R280" s="990">
        <f t="shared" ca="1" si="95"/>
        <v>0</v>
      </c>
      <c r="S280" s="990">
        <f t="shared" ca="1" si="95"/>
        <v>0</v>
      </c>
      <c r="T280" s="990">
        <f t="shared" ca="1" si="95"/>
        <v>0</v>
      </c>
      <c r="U280" s="990">
        <f t="shared" ca="1" si="95"/>
        <v>0</v>
      </c>
      <c r="V280" s="990">
        <f t="shared" ca="1" si="95"/>
        <v>0</v>
      </c>
      <c r="W280" s="990">
        <f t="shared" ca="1" si="95"/>
        <v>0</v>
      </c>
      <c r="X280" s="959"/>
      <c r="Y280" s="959"/>
      <c r="Z280" s="959"/>
      <c r="AA280" s="959"/>
      <c r="AB280" s="959"/>
      <c r="AC280" s="959"/>
      <c r="AD280" s="959"/>
      <c r="AE280" s="959"/>
      <c r="AF280" s="959"/>
      <c r="AG280" s="959"/>
      <c r="AH280" s="959"/>
      <c r="AI280" s="959"/>
      <c r="AJ280" s="959"/>
      <c r="AK280" s="959"/>
      <c r="AL280" s="959"/>
      <c r="AM280" s="959"/>
      <c r="AN280" s="959"/>
      <c r="AO280" s="959"/>
      <c r="AP280" s="959"/>
      <c r="AQ280" s="959"/>
      <c r="AR280" s="959"/>
      <c r="AS280" s="959"/>
      <c r="AT280" s="959"/>
      <c r="AU280" s="959"/>
      <c r="AV280" s="959"/>
      <c r="AW280" s="959"/>
      <c r="AX280" s="959"/>
      <c r="AY280" s="959"/>
      <c r="AZ280" s="959"/>
      <c r="BA280" s="959"/>
      <c r="BB280" s="959"/>
      <c r="BC280" s="959"/>
      <c r="BD280" s="959"/>
      <c r="BE280" s="959"/>
      <c r="BF280" s="959"/>
      <c r="BG280" s="959"/>
      <c r="BH280" s="959"/>
      <c r="BI280" s="959"/>
      <c r="BJ280" s="959"/>
      <c r="BK280" s="959"/>
      <c r="BL280" s="959"/>
      <c r="BM280" s="959"/>
      <c r="BN280" s="959"/>
      <c r="BO280" s="959"/>
    </row>
    <row r="281" spans="1:68" ht="20.100000000000001" hidden="1" customHeight="1" outlineLevel="1">
      <c r="A281" s="786">
        <v>21</v>
      </c>
      <c r="B281" s="1871"/>
      <c r="C281" s="1872"/>
      <c r="D281" s="824" t="s">
        <v>4396</v>
      </c>
      <c r="E281" s="818"/>
      <c r="F281" s="825"/>
      <c r="G281" s="891" t="s">
        <v>4685</v>
      </c>
      <c r="H281" s="953">
        <f t="shared" ca="1" si="91"/>
        <v>1.3899999999999999E-2</v>
      </c>
      <c r="I281" s="953">
        <f t="shared" ca="1" si="92"/>
        <v>1.3899999999999999E-2</v>
      </c>
      <c r="J281" s="953">
        <f t="shared" ca="1" si="93"/>
        <v>1.3899999999999999E-2</v>
      </c>
      <c r="K281" s="953">
        <f t="shared" ca="1" si="94"/>
        <v>1.3899999999999999E-2</v>
      </c>
      <c r="L281" s="954">
        <f t="shared" ca="1" si="95"/>
        <v>0</v>
      </c>
      <c r="M281" s="954">
        <f t="shared" ca="1" si="95"/>
        <v>0</v>
      </c>
      <c r="N281" s="954">
        <f t="shared" ca="1" si="95"/>
        <v>0</v>
      </c>
      <c r="O281" s="954">
        <f t="shared" ca="1" si="95"/>
        <v>0</v>
      </c>
      <c r="P281" s="990">
        <f t="shared" ca="1" si="95"/>
        <v>0</v>
      </c>
      <c r="Q281" s="990">
        <f t="shared" ca="1" si="95"/>
        <v>0</v>
      </c>
      <c r="R281" s="990">
        <f t="shared" ca="1" si="95"/>
        <v>0</v>
      </c>
      <c r="S281" s="990">
        <f t="shared" ca="1" si="95"/>
        <v>0</v>
      </c>
      <c r="T281" s="990">
        <f t="shared" ca="1" si="95"/>
        <v>0</v>
      </c>
      <c r="U281" s="990">
        <f t="shared" ca="1" si="95"/>
        <v>0</v>
      </c>
      <c r="V281" s="990">
        <f t="shared" ca="1" si="95"/>
        <v>0</v>
      </c>
      <c r="W281" s="990">
        <f t="shared" ca="1" si="95"/>
        <v>0</v>
      </c>
      <c r="X281" s="959"/>
      <c r="Y281" s="959"/>
      <c r="Z281" s="959"/>
      <c r="AA281" s="959"/>
      <c r="AB281" s="959"/>
      <c r="AC281" s="959"/>
      <c r="AD281" s="959"/>
      <c r="AE281" s="959"/>
      <c r="AF281" s="959"/>
      <c r="AG281" s="959"/>
      <c r="AH281" s="959"/>
      <c r="AI281" s="959"/>
      <c r="AJ281" s="959"/>
      <c r="AK281" s="959"/>
      <c r="AL281" s="959"/>
      <c r="AM281" s="959"/>
      <c r="AN281" s="959"/>
      <c r="AO281" s="959"/>
      <c r="AP281" s="959"/>
      <c r="AQ281" s="959"/>
      <c r="AR281" s="959"/>
      <c r="AS281" s="959"/>
      <c r="AT281" s="959"/>
      <c r="AU281" s="959"/>
      <c r="AV281" s="959"/>
      <c r="AW281" s="959"/>
      <c r="AX281" s="959"/>
      <c r="AY281" s="959"/>
      <c r="AZ281" s="959"/>
      <c r="BA281" s="959"/>
      <c r="BB281" s="959"/>
      <c r="BC281" s="959"/>
      <c r="BD281" s="959"/>
      <c r="BE281" s="959"/>
      <c r="BF281" s="959"/>
      <c r="BG281" s="959"/>
      <c r="BH281" s="959"/>
      <c r="BI281" s="959"/>
      <c r="BJ281" s="959"/>
      <c r="BK281" s="959"/>
      <c r="BL281" s="959"/>
      <c r="BM281" s="959"/>
      <c r="BN281" s="959"/>
      <c r="BO281" s="959"/>
    </row>
    <row r="282" spans="1:68" ht="20.100000000000001" hidden="1" customHeight="1" outlineLevel="1">
      <c r="A282" s="786">
        <v>8</v>
      </c>
      <c r="B282" s="1871"/>
      <c r="C282" s="1872"/>
      <c r="D282" s="824" t="s">
        <v>4405</v>
      </c>
      <c r="E282" s="829"/>
      <c r="F282" s="825"/>
      <c r="G282" s="891" t="s">
        <v>4685</v>
      </c>
      <c r="H282" s="955"/>
      <c r="I282" s="955"/>
      <c r="J282" s="955"/>
      <c r="K282" s="955"/>
      <c r="L282" s="954">
        <f ca="1">IFERROR(OFFSET(A1_集計2024,$A282,7)+OFFSET(A1_集計2024,$A282,8),0)</f>
        <v>0</v>
      </c>
      <c r="M282" s="954">
        <f ca="1">IFERROR(OFFSET(A1_集計2025,$A282,7)+OFFSET(A1_集計2025,$A282,8),0)</f>
        <v>0</v>
      </c>
      <c r="N282" s="954">
        <f ca="1">IFERROR(OFFSET(A1_集計2026,$A282,7)+OFFSET(A1_集計2026,$A282,8),0)</f>
        <v>0</v>
      </c>
      <c r="O282" s="954">
        <f ca="1">IFERROR(OFFSET(A1_集計2027,$A282,7)+OFFSET(A1_集計2027,$A282,8),0)</f>
        <v>0</v>
      </c>
      <c r="P282" s="954">
        <f ca="1">IFERROR(OFFSET(A1_集計2024,$A282,7),0)</f>
        <v>0</v>
      </c>
      <c r="Q282" s="954">
        <f ca="1">IFERROR(OFFSET(A1_集計2025,$A282,7),0)</f>
        <v>0</v>
      </c>
      <c r="R282" s="954">
        <f ca="1">IFERROR(OFFSET(A1_集計2026,$A282,7),0)</f>
        <v>0</v>
      </c>
      <c r="S282" s="954">
        <f ca="1">IFERROR(OFFSET(A1_集計2027,$A282,7),0)</f>
        <v>0</v>
      </c>
      <c r="T282" s="954">
        <f ca="1">IFERROR(OFFSET(A1_集計2024,$A282,8),0)</f>
        <v>0</v>
      </c>
      <c r="U282" s="954">
        <f ca="1">IFERROR(OFFSET(A1_集計2025,$A282,8),0)</f>
        <v>0</v>
      </c>
      <c r="V282" s="954">
        <f ca="1">IFERROR(OFFSET(A1_集計2026,$A282,8),0)</f>
        <v>0</v>
      </c>
      <c r="W282" s="954">
        <f ca="1">IFERROR(OFFSET(A1_集計2027,$A282,8),0)</f>
        <v>0</v>
      </c>
      <c r="X282" s="959"/>
      <c r="Y282" s="959"/>
      <c r="Z282" s="959"/>
      <c r="AA282" s="959"/>
      <c r="AB282" s="959"/>
      <c r="AC282" s="959"/>
      <c r="AD282" s="959"/>
      <c r="AE282" s="959"/>
      <c r="AF282" s="959"/>
      <c r="AG282" s="959"/>
      <c r="AH282" s="959"/>
      <c r="AI282" s="959"/>
      <c r="AJ282" s="959"/>
      <c r="AK282" s="959"/>
      <c r="AL282" s="959"/>
      <c r="AM282" s="959"/>
      <c r="AN282" s="959"/>
      <c r="AO282" s="959"/>
      <c r="AP282" s="959"/>
      <c r="AQ282" s="959"/>
      <c r="AR282" s="959"/>
      <c r="AS282" s="959"/>
      <c r="AT282" s="959"/>
      <c r="AU282" s="959"/>
      <c r="AV282" s="959"/>
      <c r="AW282" s="959"/>
      <c r="AX282" s="959"/>
      <c r="AY282" s="959"/>
      <c r="AZ282" s="959"/>
      <c r="BA282" s="959"/>
      <c r="BB282" s="959"/>
      <c r="BC282" s="959"/>
      <c r="BD282" s="959"/>
      <c r="BE282" s="959"/>
      <c r="BF282" s="959"/>
      <c r="BG282" s="959"/>
      <c r="BH282" s="959"/>
      <c r="BI282" s="959"/>
      <c r="BJ282" s="959"/>
      <c r="BK282" s="959"/>
      <c r="BL282" s="959"/>
      <c r="BM282" s="959"/>
      <c r="BN282" s="959"/>
      <c r="BO282" s="959"/>
    </row>
    <row r="283" spans="1:68" ht="20.100000000000001" hidden="1" customHeight="1" outlineLevel="1">
      <c r="A283" s="786">
        <v>200</v>
      </c>
      <c r="B283" s="1870"/>
      <c r="C283" s="1872"/>
      <c r="D283" s="824" t="s">
        <v>4248</v>
      </c>
      <c r="E283" s="831" t="str">
        <f ca="1">E238</f>
        <v/>
      </c>
      <c r="F283" s="825"/>
      <c r="G283" s="891" t="s">
        <v>4685</v>
      </c>
      <c r="H283" s="953">
        <f ca="1">IFERROR(OFFSET(貼付け_2024実績,$A283,17),"")</f>
        <v>0</v>
      </c>
      <c r="I283" s="953">
        <f ca="1">IFERROR(OFFSET(貼付け_2025実績,$A283,17),"")</f>
        <v>0</v>
      </c>
      <c r="J283" s="953">
        <f ca="1">IFERROR(OFFSET(貼付け_2026実績,$A283,17),"")</f>
        <v>0</v>
      </c>
      <c r="K283" s="953">
        <f ca="1">IFERROR(OFFSET(貼付け_2027実績,$A283,17),"")</f>
        <v>0</v>
      </c>
      <c r="L283" s="954">
        <f t="shared" ref="L283:W288" ca="1" si="97">L238</f>
        <v>0</v>
      </c>
      <c r="M283" s="954">
        <f t="shared" ca="1" si="97"/>
        <v>0</v>
      </c>
      <c r="N283" s="954">
        <f t="shared" ca="1" si="97"/>
        <v>0</v>
      </c>
      <c r="O283" s="954">
        <f t="shared" ca="1" si="97"/>
        <v>0</v>
      </c>
      <c r="P283" s="990">
        <f t="shared" ca="1" si="97"/>
        <v>0</v>
      </c>
      <c r="Q283" s="990">
        <f t="shared" ca="1" si="97"/>
        <v>0</v>
      </c>
      <c r="R283" s="990">
        <f t="shared" ca="1" si="97"/>
        <v>0</v>
      </c>
      <c r="S283" s="990">
        <f t="shared" ca="1" si="97"/>
        <v>0</v>
      </c>
      <c r="T283" s="990">
        <f t="shared" ca="1" si="97"/>
        <v>0</v>
      </c>
      <c r="U283" s="990">
        <f t="shared" ca="1" si="97"/>
        <v>0</v>
      </c>
      <c r="V283" s="990">
        <f t="shared" ca="1" si="97"/>
        <v>0</v>
      </c>
      <c r="W283" s="990">
        <f t="shared" ca="1" si="97"/>
        <v>0</v>
      </c>
      <c r="X283" s="959"/>
      <c r="Y283" s="959"/>
      <c r="Z283" s="959"/>
      <c r="AA283" s="959"/>
      <c r="AB283" s="959"/>
      <c r="AC283" s="959"/>
      <c r="AD283" s="959"/>
      <c r="AE283" s="959"/>
      <c r="AF283" s="959"/>
      <c r="AG283" s="959"/>
      <c r="AH283" s="959"/>
      <c r="AI283" s="959"/>
      <c r="AJ283" s="959"/>
      <c r="AK283" s="959"/>
      <c r="AL283" s="959"/>
      <c r="AM283" s="959"/>
      <c r="AN283" s="959"/>
      <c r="AO283" s="959"/>
      <c r="AP283" s="959"/>
      <c r="AQ283" s="959"/>
      <c r="AR283" s="959"/>
      <c r="AS283" s="959"/>
      <c r="AT283" s="959"/>
      <c r="AU283" s="959"/>
      <c r="AV283" s="959"/>
      <c r="AW283" s="959"/>
      <c r="AX283" s="959"/>
      <c r="AY283" s="959"/>
      <c r="AZ283" s="959"/>
      <c r="BA283" s="959"/>
      <c r="BB283" s="959"/>
      <c r="BC283" s="959"/>
      <c r="BD283" s="959"/>
      <c r="BE283" s="959"/>
      <c r="BF283" s="959"/>
      <c r="BG283" s="959"/>
      <c r="BH283" s="959"/>
      <c r="BI283" s="959"/>
      <c r="BJ283" s="959"/>
      <c r="BK283" s="959"/>
      <c r="BL283" s="959"/>
      <c r="BM283" s="959"/>
      <c r="BN283" s="959"/>
      <c r="BO283" s="959"/>
    </row>
    <row r="284" spans="1:68" ht="20.100000000000001" hidden="1" customHeight="1" outlineLevel="1">
      <c r="A284" s="786">
        <v>40</v>
      </c>
      <c r="B284" s="1870"/>
      <c r="C284" s="1872" t="s">
        <v>4544</v>
      </c>
      <c r="D284" s="824" t="s">
        <v>4179</v>
      </c>
      <c r="E284" s="824"/>
      <c r="F284" s="825"/>
      <c r="G284" s="891" t="s">
        <v>4685</v>
      </c>
      <c r="H284" s="953">
        <f ca="1">IFERROR(OFFSET(貼付け_2024実績,$A284,6),"")</f>
        <v>0</v>
      </c>
      <c r="I284" s="953">
        <f ca="1">IFERROR(OFFSET(貼付け_2025実績,$A284,6),"")</f>
        <v>0</v>
      </c>
      <c r="J284" s="953">
        <f ca="1">IFERROR(OFFSET(貼付け_2026実績,$A284,6),"")</f>
        <v>0</v>
      </c>
      <c r="K284" s="953">
        <f ca="1">IFERROR(OFFSET(貼付け_2027実績,$A284,6),"")</f>
        <v>0</v>
      </c>
      <c r="L284" s="954">
        <f t="shared" ca="1" si="97"/>
        <v>0</v>
      </c>
      <c r="M284" s="954">
        <f t="shared" ca="1" si="97"/>
        <v>0</v>
      </c>
      <c r="N284" s="954">
        <f t="shared" ca="1" si="97"/>
        <v>0</v>
      </c>
      <c r="O284" s="954">
        <f t="shared" ca="1" si="97"/>
        <v>0</v>
      </c>
      <c r="P284" s="990">
        <f t="shared" ca="1" si="97"/>
        <v>0</v>
      </c>
      <c r="Q284" s="990">
        <f t="shared" ca="1" si="97"/>
        <v>0</v>
      </c>
      <c r="R284" s="990">
        <f t="shared" ca="1" si="97"/>
        <v>0</v>
      </c>
      <c r="S284" s="990">
        <f t="shared" ca="1" si="97"/>
        <v>0</v>
      </c>
      <c r="T284" s="990">
        <f t="shared" ca="1" si="97"/>
        <v>0</v>
      </c>
      <c r="U284" s="990">
        <f t="shared" ca="1" si="97"/>
        <v>0</v>
      </c>
      <c r="V284" s="990">
        <f t="shared" ca="1" si="97"/>
        <v>0</v>
      </c>
      <c r="W284" s="990">
        <f t="shared" ca="1" si="97"/>
        <v>0</v>
      </c>
      <c r="X284" s="959"/>
      <c r="Y284" s="959"/>
      <c r="Z284" s="959"/>
      <c r="AA284" s="959"/>
      <c r="AB284" s="959"/>
      <c r="AC284" s="959"/>
      <c r="AD284" s="959"/>
      <c r="AE284" s="959"/>
      <c r="AF284" s="959"/>
      <c r="AG284" s="959"/>
      <c r="AH284" s="959"/>
      <c r="AI284" s="959"/>
      <c r="AJ284" s="959"/>
      <c r="AK284" s="959"/>
      <c r="AL284" s="959"/>
      <c r="AM284" s="959"/>
      <c r="AN284" s="959"/>
      <c r="AO284" s="959"/>
      <c r="AP284" s="959"/>
      <c r="AQ284" s="959"/>
      <c r="AR284" s="959"/>
      <c r="AS284" s="959"/>
      <c r="AT284" s="959"/>
      <c r="AU284" s="959"/>
      <c r="AV284" s="959"/>
      <c r="AW284" s="959"/>
      <c r="AX284" s="959"/>
      <c r="AY284" s="959"/>
      <c r="AZ284" s="959"/>
      <c r="BA284" s="959"/>
      <c r="BB284" s="959"/>
      <c r="BC284" s="959"/>
      <c r="BD284" s="959"/>
      <c r="BE284" s="959"/>
      <c r="BF284" s="959"/>
      <c r="BG284" s="959"/>
      <c r="BH284" s="959"/>
      <c r="BI284" s="959"/>
      <c r="BJ284" s="959"/>
      <c r="BK284" s="959"/>
      <c r="BL284" s="959"/>
      <c r="BM284" s="959"/>
      <c r="BN284" s="959"/>
      <c r="BO284" s="959"/>
    </row>
    <row r="285" spans="1:68" ht="20.100000000000001" hidden="1" customHeight="1" outlineLevel="1">
      <c r="A285" s="786">
        <v>41</v>
      </c>
      <c r="B285" s="1870"/>
      <c r="C285" s="1872"/>
      <c r="D285" s="824" t="s">
        <v>4180</v>
      </c>
      <c r="E285" s="824"/>
      <c r="F285" s="825"/>
      <c r="G285" s="891" t="s">
        <v>4685</v>
      </c>
      <c r="H285" s="953">
        <f ca="1">IFERROR(OFFSET(貼付け_2024実績,$A285,6),"")</f>
        <v>0</v>
      </c>
      <c r="I285" s="953">
        <f ca="1">IFERROR(OFFSET(貼付け_2025実績,$A285,6),"")</f>
        <v>0</v>
      </c>
      <c r="J285" s="953">
        <f ca="1">IFERROR(OFFSET(貼付け_2026実績,$A285,6),"")</f>
        <v>0</v>
      </c>
      <c r="K285" s="953">
        <f ca="1">IFERROR(OFFSET(貼付け_2027実績,$A285,6),"")</f>
        <v>0</v>
      </c>
      <c r="L285" s="954">
        <f t="shared" ca="1" si="97"/>
        <v>0</v>
      </c>
      <c r="M285" s="954">
        <f t="shared" ca="1" si="97"/>
        <v>0</v>
      </c>
      <c r="N285" s="954">
        <f t="shared" ca="1" si="97"/>
        <v>0</v>
      </c>
      <c r="O285" s="954">
        <f t="shared" ca="1" si="97"/>
        <v>0</v>
      </c>
      <c r="P285" s="990">
        <f t="shared" ca="1" si="97"/>
        <v>0</v>
      </c>
      <c r="Q285" s="990">
        <f t="shared" ca="1" si="97"/>
        <v>0</v>
      </c>
      <c r="R285" s="990">
        <f t="shared" ca="1" si="97"/>
        <v>0</v>
      </c>
      <c r="S285" s="990">
        <f t="shared" ca="1" si="97"/>
        <v>0</v>
      </c>
      <c r="T285" s="990">
        <f t="shared" ca="1" si="97"/>
        <v>0</v>
      </c>
      <c r="U285" s="990">
        <f t="shared" ca="1" si="97"/>
        <v>0</v>
      </c>
      <c r="V285" s="990">
        <f t="shared" ca="1" si="97"/>
        <v>0</v>
      </c>
      <c r="W285" s="990">
        <f t="shared" ca="1" si="97"/>
        <v>0</v>
      </c>
      <c r="X285" s="959"/>
      <c r="Y285" s="959"/>
      <c r="Z285" s="959"/>
      <c r="AA285" s="959"/>
      <c r="AB285" s="959"/>
      <c r="AC285" s="959"/>
      <c r="AD285" s="959"/>
      <c r="AE285" s="959"/>
      <c r="AF285" s="959"/>
      <c r="AG285" s="959"/>
      <c r="AH285" s="959"/>
      <c r="AI285" s="959"/>
      <c r="AJ285" s="959"/>
      <c r="AK285" s="959"/>
      <c r="AL285" s="959"/>
      <c r="AM285" s="959"/>
      <c r="AN285" s="959"/>
      <c r="AO285" s="959"/>
      <c r="AP285" s="959"/>
      <c r="AQ285" s="959"/>
      <c r="AR285" s="959"/>
      <c r="AS285" s="959"/>
      <c r="AT285" s="959"/>
      <c r="AU285" s="959"/>
      <c r="AV285" s="959"/>
      <c r="AW285" s="959"/>
      <c r="AX285" s="959"/>
      <c r="AY285" s="959"/>
      <c r="AZ285" s="959"/>
      <c r="BA285" s="959"/>
      <c r="BB285" s="959"/>
      <c r="BC285" s="959"/>
      <c r="BD285" s="959"/>
      <c r="BE285" s="959"/>
      <c r="BF285" s="959"/>
      <c r="BG285" s="959"/>
      <c r="BH285" s="959"/>
      <c r="BI285" s="959"/>
      <c r="BJ285" s="959"/>
      <c r="BK285" s="959"/>
      <c r="BL285" s="959"/>
      <c r="BM285" s="959"/>
      <c r="BN285" s="959"/>
      <c r="BO285" s="959"/>
    </row>
    <row r="286" spans="1:68" ht="20.100000000000001" hidden="1" customHeight="1" outlineLevel="1">
      <c r="A286" s="786">
        <v>52</v>
      </c>
      <c r="B286" s="1870"/>
      <c r="C286" s="1872"/>
      <c r="D286" s="824" t="s">
        <v>4417</v>
      </c>
      <c r="E286" s="824"/>
      <c r="F286" s="825"/>
      <c r="G286" s="891" t="s">
        <v>4685</v>
      </c>
      <c r="H286" s="953">
        <f ca="1">IFERROR(OFFSET(貼付け_2024実績,$A286,6),"")</f>
        <v>0</v>
      </c>
      <c r="I286" s="953">
        <f ca="1">IFERROR(OFFSET(貼付け_2025実績,$A286,6),"")</f>
        <v>0</v>
      </c>
      <c r="J286" s="953">
        <f ca="1">IFERROR(OFFSET(貼付け_2026実績,$A286,6),"")</f>
        <v>0</v>
      </c>
      <c r="K286" s="953">
        <f ca="1">IFERROR(OFFSET(貼付け_2027実績,$A286,6),"")</f>
        <v>0</v>
      </c>
      <c r="L286" s="954">
        <f t="shared" ca="1" si="97"/>
        <v>0</v>
      </c>
      <c r="M286" s="954">
        <f t="shared" ca="1" si="97"/>
        <v>0</v>
      </c>
      <c r="N286" s="954">
        <f t="shared" ca="1" si="97"/>
        <v>0</v>
      </c>
      <c r="O286" s="954">
        <f t="shared" ca="1" si="97"/>
        <v>0</v>
      </c>
      <c r="P286" s="990">
        <f t="shared" ca="1" si="97"/>
        <v>0</v>
      </c>
      <c r="Q286" s="990">
        <f t="shared" ca="1" si="97"/>
        <v>0</v>
      </c>
      <c r="R286" s="990">
        <f t="shared" ca="1" si="97"/>
        <v>0</v>
      </c>
      <c r="S286" s="990">
        <f t="shared" ca="1" si="97"/>
        <v>0</v>
      </c>
      <c r="T286" s="990">
        <f t="shared" ca="1" si="97"/>
        <v>0</v>
      </c>
      <c r="U286" s="990">
        <f t="shared" ca="1" si="97"/>
        <v>0</v>
      </c>
      <c r="V286" s="990">
        <f t="shared" ca="1" si="97"/>
        <v>0</v>
      </c>
      <c r="W286" s="990">
        <f t="shared" ca="1" si="97"/>
        <v>0</v>
      </c>
      <c r="X286" s="959"/>
      <c r="Y286" s="959"/>
      <c r="Z286" s="959"/>
      <c r="AA286" s="959"/>
      <c r="AB286" s="959"/>
      <c r="AC286" s="959"/>
      <c r="AD286" s="959"/>
      <c r="AE286" s="959"/>
      <c r="AF286" s="959"/>
      <c r="AG286" s="959"/>
      <c r="AH286" s="959"/>
      <c r="AI286" s="959"/>
      <c r="AJ286" s="959"/>
      <c r="AK286" s="959"/>
      <c r="AL286" s="959"/>
      <c r="AM286" s="959"/>
      <c r="AN286" s="959"/>
      <c r="AO286" s="959"/>
      <c r="AP286" s="959"/>
      <c r="AQ286" s="959"/>
      <c r="AR286" s="959"/>
      <c r="AS286" s="959"/>
      <c r="AT286" s="959"/>
      <c r="AU286" s="959"/>
      <c r="AV286" s="959"/>
      <c r="AW286" s="959"/>
      <c r="AX286" s="959"/>
      <c r="AY286" s="959"/>
      <c r="AZ286" s="959"/>
      <c r="BA286" s="959"/>
      <c r="BB286" s="959"/>
      <c r="BC286" s="959"/>
      <c r="BD286" s="959"/>
      <c r="BE286" s="959"/>
      <c r="BF286" s="959"/>
      <c r="BG286" s="959"/>
      <c r="BH286" s="959"/>
      <c r="BI286" s="959"/>
      <c r="BJ286" s="959"/>
      <c r="BK286" s="959"/>
      <c r="BL286" s="959"/>
      <c r="BM286" s="959"/>
      <c r="BN286" s="959"/>
      <c r="BO286" s="959"/>
    </row>
    <row r="287" spans="1:68" ht="20.100000000000001" hidden="1" customHeight="1" outlineLevel="1">
      <c r="A287" s="786">
        <v>53</v>
      </c>
      <c r="B287" s="1870"/>
      <c r="C287" s="1872"/>
      <c r="D287" s="824" t="s">
        <v>4192</v>
      </c>
      <c r="E287" s="824"/>
      <c r="F287" s="825"/>
      <c r="G287" s="891" t="s">
        <v>4685</v>
      </c>
      <c r="H287" s="953">
        <f ca="1">IFERROR(OFFSET(貼付け_2024実績,$A287,6),"")</f>
        <v>0</v>
      </c>
      <c r="I287" s="953">
        <f ca="1">IFERROR(OFFSET(貼付け_2025実績,$A287,6),"")</f>
        <v>0</v>
      </c>
      <c r="J287" s="953">
        <f ca="1">IFERROR(OFFSET(貼付け_2026実績,$A287,6),"")</f>
        <v>0</v>
      </c>
      <c r="K287" s="953">
        <f ca="1">IFERROR(OFFSET(貼付け_2027実績,$A287,6),"")</f>
        <v>0</v>
      </c>
      <c r="L287" s="954">
        <f t="shared" ca="1" si="97"/>
        <v>0</v>
      </c>
      <c r="M287" s="954">
        <f t="shared" ca="1" si="97"/>
        <v>0</v>
      </c>
      <c r="N287" s="954">
        <f t="shared" ca="1" si="97"/>
        <v>0</v>
      </c>
      <c r="O287" s="954">
        <f t="shared" ca="1" si="97"/>
        <v>0</v>
      </c>
      <c r="P287" s="990">
        <f t="shared" ca="1" si="97"/>
        <v>0</v>
      </c>
      <c r="Q287" s="990">
        <f t="shared" ca="1" si="97"/>
        <v>0</v>
      </c>
      <c r="R287" s="990">
        <f t="shared" ca="1" si="97"/>
        <v>0</v>
      </c>
      <c r="S287" s="990">
        <f t="shared" ca="1" si="97"/>
        <v>0</v>
      </c>
      <c r="T287" s="990">
        <f t="shared" ca="1" si="97"/>
        <v>0</v>
      </c>
      <c r="U287" s="990">
        <f t="shared" ca="1" si="97"/>
        <v>0</v>
      </c>
      <c r="V287" s="990">
        <f t="shared" ca="1" si="97"/>
        <v>0</v>
      </c>
      <c r="W287" s="990">
        <f t="shared" ca="1" si="97"/>
        <v>0</v>
      </c>
      <c r="X287" s="959"/>
      <c r="Y287" s="959"/>
      <c r="Z287" s="959"/>
      <c r="AA287" s="959"/>
      <c r="AB287" s="959"/>
      <c r="AC287" s="959"/>
      <c r="AD287" s="959"/>
      <c r="AE287" s="959"/>
      <c r="AF287" s="959"/>
      <c r="AG287" s="959"/>
      <c r="AH287" s="959"/>
      <c r="AI287" s="959"/>
      <c r="AJ287" s="959"/>
      <c r="AK287" s="959"/>
      <c r="AL287" s="959"/>
      <c r="AM287" s="959"/>
      <c r="AN287" s="959"/>
      <c r="AO287" s="959"/>
      <c r="AP287" s="959"/>
      <c r="AQ287" s="959"/>
      <c r="AR287" s="959"/>
      <c r="AS287" s="959"/>
      <c r="AT287" s="959"/>
      <c r="AU287" s="959"/>
      <c r="AV287" s="959"/>
      <c r="AW287" s="959"/>
      <c r="AX287" s="959"/>
      <c r="AY287" s="959"/>
      <c r="AZ287" s="959"/>
      <c r="BA287" s="959"/>
      <c r="BB287" s="959"/>
      <c r="BC287" s="959"/>
      <c r="BD287" s="959"/>
      <c r="BE287" s="959"/>
      <c r="BF287" s="959"/>
      <c r="BG287" s="959"/>
      <c r="BH287" s="959"/>
      <c r="BI287" s="959"/>
      <c r="BJ287" s="959"/>
      <c r="BK287" s="959"/>
      <c r="BL287" s="959"/>
      <c r="BM287" s="959"/>
      <c r="BN287" s="959"/>
      <c r="BO287" s="959"/>
    </row>
    <row r="288" spans="1:68" ht="20.100000000000001" hidden="1" customHeight="1" outlineLevel="1">
      <c r="A288" s="786">
        <v>200</v>
      </c>
      <c r="B288" s="1870"/>
      <c r="C288" s="1872"/>
      <c r="D288" s="824" t="s">
        <v>4418</v>
      </c>
      <c r="E288" s="831" t="str">
        <f ca="1">E243</f>
        <v/>
      </c>
      <c r="F288" s="833"/>
      <c r="G288" s="891" t="s">
        <v>4685</v>
      </c>
      <c r="H288" s="953">
        <f ca="1">IFERROR(OFFSET(貼付け_2024実績,$A288,17),"")</f>
        <v>0</v>
      </c>
      <c r="I288" s="953">
        <f ca="1">IFERROR(OFFSET(貼付け_2025実績,$A288,17),"")</f>
        <v>0</v>
      </c>
      <c r="J288" s="953">
        <f ca="1">IFERROR(OFFSET(貼付け_2026実績,$A288,17),"")</f>
        <v>0</v>
      </c>
      <c r="K288" s="953">
        <f ca="1">IFERROR(OFFSET(貼付け_2027実績,$A288,17),"")</f>
        <v>0</v>
      </c>
      <c r="L288" s="954">
        <f t="shared" ca="1" si="97"/>
        <v>0</v>
      </c>
      <c r="M288" s="954">
        <f t="shared" ca="1" si="97"/>
        <v>0</v>
      </c>
      <c r="N288" s="954">
        <f t="shared" ca="1" si="97"/>
        <v>0</v>
      </c>
      <c r="O288" s="954">
        <f t="shared" ca="1" si="97"/>
        <v>0</v>
      </c>
      <c r="P288" s="990">
        <f t="shared" ca="1" si="97"/>
        <v>0</v>
      </c>
      <c r="Q288" s="990">
        <f t="shared" ca="1" si="97"/>
        <v>0</v>
      </c>
      <c r="R288" s="990">
        <f t="shared" ca="1" si="97"/>
        <v>0</v>
      </c>
      <c r="S288" s="990">
        <f t="shared" ca="1" si="97"/>
        <v>0</v>
      </c>
      <c r="T288" s="990">
        <f t="shared" ca="1" si="97"/>
        <v>0</v>
      </c>
      <c r="U288" s="990">
        <f t="shared" ca="1" si="97"/>
        <v>0</v>
      </c>
      <c r="V288" s="990">
        <f t="shared" ca="1" si="97"/>
        <v>0</v>
      </c>
      <c r="W288" s="990">
        <f t="shared" ca="1" si="97"/>
        <v>0</v>
      </c>
      <c r="X288" s="959"/>
      <c r="Y288" s="959"/>
      <c r="Z288" s="959"/>
      <c r="AA288" s="959"/>
      <c r="AB288" s="959"/>
      <c r="AC288" s="959"/>
      <c r="AD288" s="959"/>
      <c r="AE288" s="959"/>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959"/>
      <c r="BG288" s="959"/>
      <c r="BH288" s="959"/>
      <c r="BI288" s="959"/>
      <c r="BJ288" s="959"/>
      <c r="BK288" s="959"/>
      <c r="BL288" s="959"/>
      <c r="BM288" s="959"/>
      <c r="BN288" s="959"/>
      <c r="BO288" s="959"/>
    </row>
    <row r="289" spans="1:68" ht="20.100000000000001" hidden="1" customHeight="1" outlineLevel="1">
      <c r="A289" s="786">
        <v>16</v>
      </c>
      <c r="B289" s="1869" t="s">
        <v>4434</v>
      </c>
      <c r="C289" s="933" t="s">
        <v>4435</v>
      </c>
      <c r="D289" s="934"/>
      <c r="E289" s="829"/>
      <c r="F289" s="849"/>
      <c r="G289" s="891" t="s">
        <v>4685</v>
      </c>
      <c r="H289" s="955"/>
      <c r="I289" s="955"/>
      <c r="J289" s="955"/>
      <c r="K289" s="955"/>
      <c r="L289" s="954">
        <f ca="1">IFERROR(OFFSET(A1_集計2024,$A289,7)+OFFSET(A1_集計2024,$A289,8),0)</f>
        <v>0</v>
      </c>
      <c r="M289" s="954">
        <f ca="1">IFERROR(OFFSET(A1_集計2025,$A289,7)+OFFSET(A1_集計2025,$A289,8),0)</f>
        <v>0</v>
      </c>
      <c r="N289" s="954">
        <f ca="1">IFERROR(OFFSET(A1_集計2026,$A289,7)+OFFSET(A1_集計2026,$A289,8),0)</f>
        <v>0</v>
      </c>
      <c r="O289" s="954">
        <f ca="1">IFERROR(OFFSET(A1_集計2027,$A289,7)+OFFSET(A1_集計2027,$A289,8),0)</f>
        <v>0</v>
      </c>
      <c r="P289" s="954">
        <f ca="1">IFERROR(OFFSET(A1_集計2024,$A289,7),0)</f>
        <v>0</v>
      </c>
      <c r="Q289" s="954">
        <f ca="1">IFERROR(OFFSET(A1_集計2025,$A289,7),0)</f>
        <v>0</v>
      </c>
      <c r="R289" s="954">
        <f ca="1">IFERROR(OFFSET(A1_集計2026,$A289,7),0)</f>
        <v>0</v>
      </c>
      <c r="S289" s="954">
        <f ca="1">IFERROR(OFFSET(A1_集計2027,$A289,7),0)</f>
        <v>0</v>
      </c>
      <c r="T289" s="954">
        <f ca="1">IFERROR(OFFSET(A1_集計2024,$A289,8),0)</f>
        <v>0</v>
      </c>
      <c r="U289" s="954">
        <f ca="1">IFERROR(OFFSET(A1_集計2025,$A289,8),0)</f>
        <v>0</v>
      </c>
      <c r="V289" s="954">
        <f ca="1">IFERROR(OFFSET(A1_集計2026,$A289,8),0)</f>
        <v>0</v>
      </c>
      <c r="W289" s="954">
        <f ca="1">IFERROR(OFFSET(A1_集計2027,$A289,8),0)</f>
        <v>0</v>
      </c>
      <c r="X289" s="959"/>
      <c r="Y289" s="959"/>
      <c r="Z289" s="959"/>
      <c r="AA289" s="959"/>
      <c r="AB289" s="959"/>
      <c r="AC289" s="959"/>
      <c r="AD289" s="959"/>
      <c r="AE289" s="959"/>
      <c r="AF289" s="959"/>
      <c r="AG289" s="959"/>
      <c r="AH289" s="959"/>
      <c r="AI289" s="959"/>
      <c r="AJ289" s="959"/>
      <c r="AK289" s="959"/>
      <c r="AL289" s="959"/>
      <c r="AM289" s="959"/>
      <c r="AN289" s="959"/>
      <c r="AO289" s="959"/>
      <c r="AP289" s="959"/>
      <c r="AQ289" s="959"/>
      <c r="AR289" s="959"/>
      <c r="AS289" s="959"/>
      <c r="AT289" s="959"/>
      <c r="AU289" s="959"/>
      <c r="AV289" s="959"/>
      <c r="AW289" s="959"/>
      <c r="AX289" s="959"/>
      <c r="AY289" s="959"/>
      <c r="AZ289" s="959"/>
      <c r="BA289" s="959"/>
      <c r="BB289" s="959"/>
      <c r="BC289" s="959"/>
      <c r="BD289" s="959"/>
      <c r="BE289" s="959"/>
      <c r="BF289" s="959"/>
      <c r="BG289" s="959"/>
      <c r="BH289" s="959"/>
      <c r="BI289" s="959"/>
      <c r="BJ289" s="959"/>
      <c r="BK289" s="959"/>
      <c r="BL289" s="959"/>
      <c r="BM289" s="959"/>
      <c r="BN289" s="959"/>
      <c r="BO289" s="959"/>
      <c r="BP289" s="841"/>
    </row>
    <row r="290" spans="1:68" ht="20.100000000000001" hidden="1" customHeight="1" outlineLevel="1">
      <c r="A290" s="786">
        <v>74</v>
      </c>
      <c r="B290" s="1870"/>
      <c r="C290" s="1872" t="s">
        <v>4436</v>
      </c>
      <c r="D290" s="851" t="s">
        <v>4437</v>
      </c>
      <c r="E290" s="824"/>
      <c r="F290" s="849"/>
      <c r="G290" s="891" t="s">
        <v>4685</v>
      </c>
      <c r="H290" s="953">
        <f ca="1">IFERROR(OFFSET(貼付け_2024実績,$A290,6),"")</f>
        <v>0</v>
      </c>
      <c r="I290" s="953">
        <f ca="1">IFERROR(OFFSET(貼付け_2025実績,$A290,6),"")</f>
        <v>0</v>
      </c>
      <c r="J290" s="953">
        <f ca="1">IFERROR(OFFSET(貼付け_2026実績,$A290,6),"")</f>
        <v>0</v>
      </c>
      <c r="K290" s="953">
        <f ca="1">IFERROR(OFFSET(貼付け_2027実績,$A290,6),"")</f>
        <v>0</v>
      </c>
      <c r="L290" s="954">
        <f t="shared" ref="L290:W293" ca="1" si="98">L245</f>
        <v>0</v>
      </c>
      <c r="M290" s="954">
        <f t="shared" ca="1" si="98"/>
        <v>0</v>
      </c>
      <c r="N290" s="954">
        <f t="shared" ca="1" si="98"/>
        <v>0</v>
      </c>
      <c r="O290" s="954">
        <f t="shared" ca="1" si="98"/>
        <v>0</v>
      </c>
      <c r="P290" s="990">
        <f t="shared" ca="1" si="98"/>
        <v>0</v>
      </c>
      <c r="Q290" s="990">
        <f t="shared" ca="1" si="98"/>
        <v>0</v>
      </c>
      <c r="R290" s="990">
        <f t="shared" ca="1" si="98"/>
        <v>0</v>
      </c>
      <c r="S290" s="990">
        <f t="shared" ca="1" si="98"/>
        <v>0</v>
      </c>
      <c r="T290" s="990">
        <f t="shared" ca="1" si="98"/>
        <v>0</v>
      </c>
      <c r="U290" s="990">
        <f t="shared" ca="1" si="98"/>
        <v>0</v>
      </c>
      <c r="V290" s="990">
        <f t="shared" ca="1" si="98"/>
        <v>0</v>
      </c>
      <c r="W290" s="990">
        <f t="shared" ca="1" si="98"/>
        <v>0</v>
      </c>
      <c r="X290" s="959"/>
      <c r="Y290" s="959"/>
      <c r="Z290" s="959"/>
      <c r="AA290" s="959"/>
      <c r="AB290" s="959"/>
      <c r="AC290" s="959"/>
      <c r="AD290" s="959"/>
      <c r="AE290" s="959"/>
      <c r="AF290" s="959"/>
      <c r="AG290" s="959"/>
      <c r="AH290" s="959"/>
      <c r="AI290" s="959"/>
      <c r="AJ290" s="959"/>
      <c r="AK290" s="959"/>
      <c r="AL290" s="959"/>
      <c r="AM290" s="959"/>
      <c r="AN290" s="959"/>
      <c r="AO290" s="959"/>
      <c r="AP290" s="959"/>
      <c r="AQ290" s="959"/>
      <c r="AR290" s="959"/>
      <c r="AS290" s="959"/>
      <c r="AT290" s="959"/>
      <c r="AU290" s="959"/>
      <c r="AV290" s="959"/>
      <c r="AW290" s="959"/>
      <c r="AX290" s="959"/>
      <c r="AY290" s="959"/>
      <c r="AZ290" s="959"/>
      <c r="BA290" s="959"/>
      <c r="BB290" s="959"/>
      <c r="BC290" s="959"/>
      <c r="BD290" s="959"/>
      <c r="BE290" s="959"/>
      <c r="BF290" s="959"/>
      <c r="BG290" s="959"/>
      <c r="BH290" s="959"/>
      <c r="BI290" s="959"/>
      <c r="BJ290" s="959"/>
      <c r="BK290" s="959"/>
      <c r="BL290" s="959"/>
      <c r="BM290" s="959"/>
      <c r="BN290" s="959"/>
      <c r="BO290" s="959"/>
      <c r="BP290" s="841"/>
    </row>
    <row r="291" spans="1:68" ht="20.100000000000001" hidden="1" customHeight="1" outlineLevel="1">
      <c r="A291" s="786">
        <v>76</v>
      </c>
      <c r="B291" s="1870"/>
      <c r="C291" s="1872"/>
      <c r="D291" s="853" t="s">
        <v>4438</v>
      </c>
      <c r="E291" s="824"/>
      <c r="F291" s="849"/>
      <c r="G291" s="891" t="s">
        <v>4685</v>
      </c>
      <c r="H291" s="953">
        <f ca="1">IFERROR(OFFSET(貼付け_2024実績,$A291,6),"")</f>
        <v>0</v>
      </c>
      <c r="I291" s="953">
        <f ca="1">IFERROR(OFFSET(貼付け_2025実績,$A291,6),"")</f>
        <v>0</v>
      </c>
      <c r="J291" s="953">
        <f ca="1">IFERROR(OFFSET(貼付け_2026実績,$A291,6),"")</f>
        <v>0</v>
      </c>
      <c r="K291" s="953">
        <f ca="1">IFERROR(OFFSET(貼付け_2027実績,$A291,6),"")</f>
        <v>0</v>
      </c>
      <c r="L291" s="954">
        <f t="shared" ca="1" si="98"/>
        <v>0</v>
      </c>
      <c r="M291" s="954">
        <f t="shared" ca="1" si="98"/>
        <v>0</v>
      </c>
      <c r="N291" s="954">
        <f t="shared" ca="1" si="98"/>
        <v>0</v>
      </c>
      <c r="O291" s="954">
        <f t="shared" ca="1" si="98"/>
        <v>0</v>
      </c>
      <c r="P291" s="990">
        <f t="shared" ca="1" si="98"/>
        <v>0</v>
      </c>
      <c r="Q291" s="990">
        <f t="shared" ca="1" si="98"/>
        <v>0</v>
      </c>
      <c r="R291" s="990">
        <f t="shared" ca="1" si="98"/>
        <v>0</v>
      </c>
      <c r="S291" s="990">
        <f t="shared" ca="1" si="98"/>
        <v>0</v>
      </c>
      <c r="T291" s="990">
        <f t="shared" ca="1" si="98"/>
        <v>0</v>
      </c>
      <c r="U291" s="990">
        <f t="shared" ca="1" si="98"/>
        <v>0</v>
      </c>
      <c r="V291" s="990">
        <f t="shared" ca="1" si="98"/>
        <v>0</v>
      </c>
      <c r="W291" s="990">
        <f t="shared" ca="1" si="98"/>
        <v>0</v>
      </c>
      <c r="X291" s="959"/>
      <c r="Y291" s="959"/>
      <c r="Z291" s="959"/>
      <c r="AA291" s="959"/>
      <c r="AB291" s="959"/>
      <c r="AC291" s="959"/>
      <c r="AD291" s="959"/>
      <c r="AE291" s="959"/>
      <c r="AF291" s="959"/>
      <c r="AG291" s="959"/>
      <c r="AH291" s="959"/>
      <c r="AI291" s="959"/>
      <c r="AJ291" s="959"/>
      <c r="AK291" s="959"/>
      <c r="AL291" s="959"/>
      <c r="AM291" s="959"/>
      <c r="AN291" s="959"/>
      <c r="AO291" s="959"/>
      <c r="AP291" s="959"/>
      <c r="AQ291" s="959"/>
      <c r="AR291" s="959"/>
      <c r="AS291" s="959"/>
      <c r="AT291" s="959"/>
      <c r="AU291" s="959"/>
      <c r="AV291" s="959"/>
      <c r="AW291" s="959"/>
      <c r="AX291" s="959"/>
      <c r="AY291" s="959"/>
      <c r="AZ291" s="959"/>
      <c r="BA291" s="959"/>
      <c r="BB291" s="959"/>
      <c r="BC291" s="959"/>
      <c r="BD291" s="959"/>
      <c r="BE291" s="959"/>
      <c r="BF291" s="959"/>
      <c r="BG291" s="959"/>
      <c r="BH291" s="959"/>
      <c r="BI291" s="959"/>
      <c r="BJ291" s="959"/>
      <c r="BK291" s="959"/>
      <c r="BL291" s="959"/>
      <c r="BM291" s="959"/>
      <c r="BN291" s="959"/>
      <c r="BO291" s="959"/>
      <c r="BP291" s="841"/>
    </row>
    <row r="292" spans="1:68" ht="20.100000000000001" hidden="1" customHeight="1" outlineLevel="1">
      <c r="A292" s="786">
        <v>201</v>
      </c>
      <c r="B292" s="1870"/>
      <c r="C292" s="1872"/>
      <c r="D292" s="853" t="s">
        <v>4250</v>
      </c>
      <c r="E292" s="831" t="str">
        <f ca="1">E247</f>
        <v/>
      </c>
      <c r="F292" s="833"/>
      <c r="G292" s="891" t="s">
        <v>4685</v>
      </c>
      <c r="H292" s="953">
        <f ca="1">IFERROR(OFFSET(貼付け_2024実績,$A292,17),"")</f>
        <v>0</v>
      </c>
      <c r="I292" s="953">
        <f ca="1">IFERROR(OFFSET(貼付け_2025実績,$A292,17),"")</f>
        <v>0</v>
      </c>
      <c r="J292" s="953">
        <f ca="1">IFERROR(OFFSET(貼付け_2026実績,$A292,17),"")</f>
        <v>0</v>
      </c>
      <c r="K292" s="953">
        <f ca="1">IFERROR(OFFSET(貼付け_2027実績,$A292,17),"")</f>
        <v>0</v>
      </c>
      <c r="L292" s="954">
        <f t="shared" ca="1" si="98"/>
        <v>0</v>
      </c>
      <c r="M292" s="954">
        <f t="shared" ca="1" si="98"/>
        <v>0</v>
      </c>
      <c r="N292" s="954">
        <f t="shared" ca="1" si="98"/>
        <v>0</v>
      </c>
      <c r="O292" s="954">
        <f t="shared" ca="1" si="98"/>
        <v>0</v>
      </c>
      <c r="P292" s="990">
        <f t="shared" ca="1" si="98"/>
        <v>0</v>
      </c>
      <c r="Q292" s="990">
        <f t="shared" ca="1" si="98"/>
        <v>0</v>
      </c>
      <c r="R292" s="990">
        <f t="shared" ca="1" si="98"/>
        <v>0</v>
      </c>
      <c r="S292" s="990">
        <f t="shared" ca="1" si="98"/>
        <v>0</v>
      </c>
      <c r="T292" s="990">
        <f t="shared" ca="1" si="98"/>
        <v>0</v>
      </c>
      <c r="U292" s="990">
        <f t="shared" ca="1" si="98"/>
        <v>0</v>
      </c>
      <c r="V292" s="990">
        <f t="shared" ca="1" si="98"/>
        <v>0</v>
      </c>
      <c r="W292" s="990">
        <f t="shared" ca="1" si="98"/>
        <v>0</v>
      </c>
      <c r="X292" s="959"/>
      <c r="Y292" s="959"/>
      <c r="Z292" s="959"/>
      <c r="AA292" s="959"/>
      <c r="AB292" s="959"/>
      <c r="AC292" s="959"/>
      <c r="AD292" s="959"/>
      <c r="AE292" s="959"/>
      <c r="AF292" s="959"/>
      <c r="AG292" s="959"/>
      <c r="AH292" s="959"/>
      <c r="AI292" s="959"/>
      <c r="AJ292" s="959"/>
      <c r="AK292" s="959"/>
      <c r="AL292" s="959"/>
      <c r="AM292" s="959"/>
      <c r="AN292" s="959"/>
      <c r="AO292" s="959"/>
      <c r="AP292" s="959"/>
      <c r="AQ292" s="959"/>
      <c r="AR292" s="959"/>
      <c r="AS292" s="959"/>
      <c r="AT292" s="959"/>
      <c r="AU292" s="959"/>
      <c r="AV292" s="959"/>
      <c r="AW292" s="959"/>
      <c r="AX292" s="959"/>
      <c r="AY292" s="959"/>
      <c r="AZ292" s="959"/>
      <c r="BA292" s="959"/>
      <c r="BB292" s="959"/>
      <c r="BC292" s="959"/>
      <c r="BD292" s="959"/>
      <c r="BE292" s="959"/>
      <c r="BF292" s="959"/>
      <c r="BG292" s="959"/>
      <c r="BH292" s="959"/>
      <c r="BI292" s="959"/>
      <c r="BJ292" s="959"/>
      <c r="BK292" s="959"/>
      <c r="BL292" s="959"/>
      <c r="BM292" s="959"/>
      <c r="BN292" s="959"/>
      <c r="BO292" s="959"/>
      <c r="BP292" s="841"/>
    </row>
    <row r="293" spans="1:68" ht="20.100000000000001" hidden="1" customHeight="1" outlineLevel="1">
      <c r="A293" s="786">
        <v>202</v>
      </c>
      <c r="B293" s="1870"/>
      <c r="C293" s="1872"/>
      <c r="D293" s="944" t="s">
        <v>4251</v>
      </c>
      <c r="E293" s="831" t="str">
        <f ca="1">E248</f>
        <v/>
      </c>
      <c r="F293" s="833"/>
      <c r="G293" s="891" t="s">
        <v>4685</v>
      </c>
      <c r="H293" s="953">
        <f ca="1">IFERROR(OFFSET(貼付け_2024実績,$A293,17),"")</f>
        <v>0</v>
      </c>
      <c r="I293" s="953">
        <f ca="1">IFERROR(OFFSET(貼付け_2025実績,$A293,17),"")</f>
        <v>0</v>
      </c>
      <c r="J293" s="953">
        <f ca="1">IFERROR(OFFSET(貼付け_2026実績,$A293,17),"")</f>
        <v>0</v>
      </c>
      <c r="K293" s="953">
        <f ca="1">IFERROR(OFFSET(貼付け_2027実績,$A293,17),"")</f>
        <v>0</v>
      </c>
      <c r="L293" s="954">
        <f t="shared" ca="1" si="98"/>
        <v>0</v>
      </c>
      <c r="M293" s="954">
        <f t="shared" ca="1" si="98"/>
        <v>0</v>
      </c>
      <c r="N293" s="954">
        <f t="shared" ca="1" si="98"/>
        <v>0</v>
      </c>
      <c r="O293" s="954">
        <f t="shared" ca="1" si="98"/>
        <v>0</v>
      </c>
      <c r="P293" s="990">
        <f t="shared" ca="1" si="98"/>
        <v>0</v>
      </c>
      <c r="Q293" s="990">
        <f t="shared" ca="1" si="98"/>
        <v>0</v>
      </c>
      <c r="R293" s="990">
        <f t="shared" ca="1" si="98"/>
        <v>0</v>
      </c>
      <c r="S293" s="990">
        <f t="shared" ca="1" si="98"/>
        <v>0</v>
      </c>
      <c r="T293" s="990">
        <f t="shared" ca="1" si="98"/>
        <v>0</v>
      </c>
      <c r="U293" s="990">
        <f t="shared" ca="1" si="98"/>
        <v>0</v>
      </c>
      <c r="V293" s="990">
        <f t="shared" ca="1" si="98"/>
        <v>0</v>
      </c>
      <c r="W293" s="990">
        <f t="shared" ca="1" si="98"/>
        <v>0</v>
      </c>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841"/>
    </row>
    <row r="294" spans="1:68" ht="19.5" customHeight="1" collapsed="1">
      <c r="B294" s="964" t="s">
        <v>4494</v>
      </c>
      <c r="C294" s="878"/>
      <c r="D294" s="913" t="s">
        <v>4495</v>
      </c>
      <c r="E294" s="965"/>
      <c r="F294" s="901" t="s">
        <v>4550</v>
      </c>
      <c r="G294" s="891" t="s">
        <v>4685</v>
      </c>
      <c r="H294" s="959"/>
      <c r="I294" s="959"/>
      <c r="J294" s="959"/>
      <c r="K294" s="959"/>
      <c r="L294" s="966">
        <f t="shared" ref="L294:O294" ca="1" si="99">SUM(L275:L288)</f>
        <v>0</v>
      </c>
      <c r="M294" s="966">
        <f t="shared" ca="1" si="99"/>
        <v>0</v>
      </c>
      <c r="N294" s="966">
        <f t="shared" ca="1" si="99"/>
        <v>0</v>
      </c>
      <c r="O294" s="966">
        <f t="shared" ca="1" si="99"/>
        <v>0</v>
      </c>
      <c r="P294" s="967">
        <f ca="1">SUM(P275:P288)</f>
        <v>0</v>
      </c>
      <c r="Q294" s="967">
        <f t="shared" ref="Q294:W294" ca="1" si="100">SUM(Q275:Q288)</f>
        <v>0</v>
      </c>
      <c r="R294" s="967">
        <f t="shared" ca="1" si="100"/>
        <v>0</v>
      </c>
      <c r="S294" s="967">
        <f t="shared" ca="1" si="100"/>
        <v>0</v>
      </c>
      <c r="T294" s="967">
        <f t="shared" ca="1" si="100"/>
        <v>0</v>
      </c>
      <c r="U294" s="967">
        <f t="shared" ca="1" si="100"/>
        <v>0</v>
      </c>
      <c r="V294" s="967">
        <f t="shared" ca="1" si="100"/>
        <v>0</v>
      </c>
      <c r="W294" s="967">
        <f t="shared" ca="1" si="100"/>
        <v>0</v>
      </c>
      <c r="X294" s="959"/>
      <c r="Y294" s="959"/>
      <c r="Z294" s="959"/>
      <c r="AA294" s="959"/>
      <c r="AB294" s="959"/>
      <c r="AC294" s="959"/>
      <c r="AD294" s="959"/>
      <c r="AE294" s="959"/>
      <c r="AF294" s="959"/>
      <c r="AG294" s="959"/>
      <c r="AH294" s="959"/>
      <c r="AI294" s="959"/>
      <c r="AJ294" s="959"/>
      <c r="AK294" s="959"/>
      <c r="AL294" s="959"/>
      <c r="AM294" s="959"/>
      <c r="AN294" s="959"/>
      <c r="AO294" s="959"/>
      <c r="AP294" s="959"/>
      <c r="AQ294" s="959"/>
      <c r="AR294" s="959"/>
      <c r="AS294" s="959"/>
      <c r="AT294" s="959"/>
      <c r="AU294" s="959"/>
      <c r="AV294" s="959"/>
      <c r="AW294" s="959"/>
      <c r="AX294" s="959"/>
      <c r="AY294" s="959"/>
      <c r="AZ294" s="959"/>
      <c r="BA294" s="959"/>
      <c r="BB294" s="959"/>
      <c r="BC294" s="959"/>
      <c r="BD294" s="959"/>
      <c r="BE294" s="959"/>
      <c r="BF294" s="959"/>
      <c r="BG294" s="959"/>
      <c r="BH294" s="959"/>
      <c r="BI294" s="959"/>
      <c r="BJ294" s="959"/>
      <c r="BK294" s="959"/>
      <c r="BL294" s="959"/>
      <c r="BM294" s="959"/>
      <c r="BN294" s="959"/>
      <c r="BO294" s="959"/>
      <c r="BP294" s="841"/>
    </row>
    <row r="295" spans="1:68" ht="21">
      <c r="B295" s="968" t="s">
        <v>4545</v>
      </c>
      <c r="C295" s="971"/>
      <c r="D295" s="913" t="s">
        <v>4500</v>
      </c>
      <c r="E295" s="970"/>
      <c r="F295" s="901" t="s">
        <v>4551</v>
      </c>
      <c r="G295" s="891" t="s">
        <v>4685</v>
      </c>
      <c r="H295" s="959"/>
      <c r="I295" s="959"/>
      <c r="J295" s="959"/>
      <c r="K295" s="959"/>
      <c r="L295" s="966">
        <f t="shared" ref="L295:O295" ca="1" si="101">SUM(L289:L293)</f>
        <v>0</v>
      </c>
      <c r="M295" s="966">
        <f t="shared" ca="1" si="101"/>
        <v>0</v>
      </c>
      <c r="N295" s="966">
        <f t="shared" ca="1" si="101"/>
        <v>0</v>
      </c>
      <c r="O295" s="966">
        <f t="shared" ca="1" si="101"/>
        <v>0</v>
      </c>
      <c r="P295" s="967">
        <f ca="1">SUM(P289:P293)</f>
        <v>0</v>
      </c>
      <c r="Q295" s="967">
        <f t="shared" ref="Q295:W295" ca="1" si="102">SUM(Q289:Q293)</f>
        <v>0</v>
      </c>
      <c r="R295" s="967">
        <f t="shared" ca="1" si="102"/>
        <v>0</v>
      </c>
      <c r="S295" s="967">
        <f t="shared" ca="1" si="102"/>
        <v>0</v>
      </c>
      <c r="T295" s="967">
        <f t="shared" ca="1" si="102"/>
        <v>0</v>
      </c>
      <c r="U295" s="967">
        <f t="shared" ca="1" si="102"/>
        <v>0</v>
      </c>
      <c r="V295" s="967">
        <f t="shared" ca="1" si="102"/>
        <v>0</v>
      </c>
      <c r="W295" s="967">
        <f t="shared" ca="1" si="102"/>
        <v>0</v>
      </c>
      <c r="X295" s="959"/>
      <c r="Y295" s="959"/>
      <c r="Z295" s="959"/>
      <c r="AA295" s="959"/>
      <c r="AB295" s="959"/>
      <c r="AC295" s="959"/>
      <c r="AD295" s="959"/>
      <c r="AE295" s="959"/>
      <c r="AF295" s="959"/>
      <c r="AG295" s="959"/>
      <c r="AH295" s="959"/>
      <c r="AI295" s="959"/>
      <c r="AJ295" s="959"/>
      <c r="AK295" s="959"/>
      <c r="AL295" s="959"/>
      <c r="AM295" s="959"/>
      <c r="AN295" s="959"/>
      <c r="AO295" s="959"/>
      <c r="AP295" s="959"/>
      <c r="AQ295" s="959"/>
      <c r="AR295" s="959"/>
      <c r="AS295" s="959"/>
      <c r="AT295" s="959"/>
      <c r="AU295" s="959"/>
      <c r="AV295" s="959"/>
      <c r="AW295" s="959"/>
      <c r="AX295" s="959"/>
      <c r="AY295" s="959"/>
      <c r="AZ295" s="959"/>
      <c r="BA295" s="959"/>
      <c r="BB295" s="959"/>
      <c r="BC295" s="959"/>
      <c r="BD295" s="959"/>
      <c r="BE295" s="959"/>
      <c r="BF295" s="959"/>
      <c r="BG295" s="959"/>
      <c r="BH295" s="959"/>
      <c r="BI295" s="959"/>
      <c r="BJ295" s="959"/>
      <c r="BK295" s="959"/>
      <c r="BL295" s="959"/>
      <c r="BM295" s="959"/>
      <c r="BN295" s="959"/>
      <c r="BO295" s="959"/>
      <c r="BP295" s="841"/>
    </row>
    <row r="296" spans="1:68" ht="21" customHeight="1">
      <c r="A296" s="786">
        <v>153</v>
      </c>
      <c r="B296" s="1935" t="s">
        <v>4502</v>
      </c>
      <c r="C296" s="1912" t="s">
        <v>4503</v>
      </c>
      <c r="D296" s="974" t="s">
        <v>4504</v>
      </c>
      <c r="E296" s="975"/>
      <c r="F296" s="849" t="s">
        <v>4552</v>
      </c>
      <c r="G296" s="891" t="s">
        <v>4685</v>
      </c>
      <c r="H296" s="959"/>
      <c r="I296" s="959"/>
      <c r="J296" s="959"/>
      <c r="K296" s="959"/>
      <c r="L296" s="990">
        <f t="shared" ref="L296:O307" ca="1" si="103">SUM(P296,T296)</f>
        <v>0</v>
      </c>
      <c r="M296" s="990">
        <f t="shared" ca="1" si="103"/>
        <v>0</v>
      </c>
      <c r="N296" s="990">
        <f t="shared" ca="1" si="103"/>
        <v>0</v>
      </c>
      <c r="O296" s="990">
        <f t="shared" ca="1" si="103"/>
        <v>0</v>
      </c>
      <c r="P296" s="967">
        <f ca="1">P251</f>
        <v>0</v>
      </c>
      <c r="Q296" s="967">
        <f t="shared" ref="Q296:W296" ca="1" si="104">Q251</f>
        <v>0</v>
      </c>
      <c r="R296" s="967">
        <f t="shared" ca="1" si="104"/>
        <v>0</v>
      </c>
      <c r="S296" s="967">
        <f t="shared" ca="1" si="104"/>
        <v>0</v>
      </c>
      <c r="T296" s="967">
        <f t="shared" ca="1" si="104"/>
        <v>0</v>
      </c>
      <c r="U296" s="967">
        <f t="shared" ca="1" si="104"/>
        <v>0</v>
      </c>
      <c r="V296" s="967">
        <f t="shared" ca="1" si="104"/>
        <v>0</v>
      </c>
      <c r="W296" s="967">
        <f t="shared" ca="1" si="104"/>
        <v>0</v>
      </c>
      <c r="X296" s="959"/>
      <c r="Y296" s="959"/>
      <c r="Z296" s="959"/>
      <c r="AA296" s="959"/>
      <c r="AB296" s="959"/>
      <c r="AC296" s="959"/>
      <c r="AD296" s="959"/>
      <c r="AE296" s="959"/>
      <c r="AF296" s="959"/>
      <c r="AG296" s="959"/>
      <c r="AH296" s="959"/>
      <c r="AI296" s="959"/>
      <c r="AJ296" s="959"/>
      <c r="AK296" s="959"/>
      <c r="AL296" s="959"/>
      <c r="AM296" s="959"/>
      <c r="AN296" s="959"/>
      <c r="AO296" s="959"/>
      <c r="AP296" s="959"/>
      <c r="AQ296" s="959"/>
      <c r="AR296" s="959"/>
      <c r="AS296" s="959"/>
      <c r="AT296" s="959"/>
      <c r="AU296" s="959"/>
      <c r="AV296" s="959"/>
      <c r="AW296" s="959"/>
      <c r="AX296" s="959"/>
      <c r="AY296" s="959"/>
      <c r="AZ296" s="959"/>
      <c r="BA296" s="959"/>
      <c r="BB296" s="959"/>
      <c r="BC296" s="959"/>
      <c r="BD296" s="959"/>
      <c r="BE296" s="959"/>
      <c r="BF296" s="959"/>
      <c r="BG296" s="959"/>
      <c r="BH296" s="959"/>
      <c r="BI296" s="959"/>
      <c r="BJ296" s="959"/>
      <c r="BK296" s="959"/>
      <c r="BL296" s="959"/>
      <c r="BM296" s="959"/>
      <c r="BN296" s="959"/>
      <c r="BO296" s="959"/>
      <c r="BP296" s="841"/>
    </row>
    <row r="297" spans="1:68" ht="21" customHeight="1">
      <c r="A297" s="786">
        <v>154</v>
      </c>
      <c r="B297" s="1936"/>
      <c r="C297" s="1913"/>
      <c r="D297" s="974" t="s">
        <v>4505</v>
      </c>
      <c r="E297" s="975"/>
      <c r="F297" s="849" t="s">
        <v>4553</v>
      </c>
      <c r="G297" s="891" t="s">
        <v>4685</v>
      </c>
      <c r="H297" s="959"/>
      <c r="I297" s="959"/>
      <c r="J297" s="959"/>
      <c r="K297" s="959"/>
      <c r="L297" s="990">
        <f t="shared" ca="1" si="103"/>
        <v>0</v>
      </c>
      <c r="M297" s="990">
        <f t="shared" ca="1" si="103"/>
        <v>0</v>
      </c>
      <c r="N297" s="990">
        <f t="shared" ca="1" si="103"/>
        <v>0</v>
      </c>
      <c r="O297" s="990">
        <f t="shared" ca="1" si="103"/>
        <v>0</v>
      </c>
      <c r="P297" s="967">
        <f t="shared" ref="P297:W312" ca="1" si="105">P252</f>
        <v>0</v>
      </c>
      <c r="Q297" s="967">
        <f t="shared" ca="1" si="105"/>
        <v>0</v>
      </c>
      <c r="R297" s="967">
        <f t="shared" ca="1" si="105"/>
        <v>0</v>
      </c>
      <c r="S297" s="967">
        <f t="shared" ca="1" si="105"/>
        <v>0</v>
      </c>
      <c r="T297" s="967">
        <f t="shared" ca="1" si="105"/>
        <v>0</v>
      </c>
      <c r="U297" s="967">
        <f t="shared" ca="1" si="105"/>
        <v>0</v>
      </c>
      <c r="V297" s="967">
        <f t="shared" ca="1" si="105"/>
        <v>0</v>
      </c>
      <c r="W297" s="967">
        <f t="shared" ca="1" si="105"/>
        <v>0</v>
      </c>
      <c r="X297" s="959"/>
      <c r="Y297" s="959"/>
      <c r="Z297" s="959"/>
      <c r="AA297" s="959"/>
      <c r="AB297" s="959"/>
      <c r="AC297" s="959"/>
      <c r="AD297" s="959"/>
      <c r="AE297" s="959"/>
      <c r="AF297" s="959"/>
      <c r="AG297" s="959"/>
      <c r="AH297" s="959"/>
      <c r="AI297" s="959"/>
      <c r="AJ297" s="959"/>
      <c r="AK297" s="959"/>
      <c r="AL297" s="959"/>
      <c r="AM297" s="959"/>
      <c r="AN297" s="959"/>
      <c r="AO297" s="959"/>
      <c r="AP297" s="959"/>
      <c r="AQ297" s="959"/>
      <c r="AR297" s="959"/>
      <c r="AS297" s="959"/>
      <c r="AT297" s="959"/>
      <c r="AU297" s="959"/>
      <c r="AV297" s="959"/>
      <c r="AW297" s="959"/>
      <c r="AX297" s="959"/>
      <c r="AY297" s="959"/>
      <c r="AZ297" s="959"/>
      <c r="BA297" s="959"/>
      <c r="BB297" s="959"/>
      <c r="BC297" s="959"/>
      <c r="BD297" s="959"/>
      <c r="BE297" s="959"/>
      <c r="BF297" s="959"/>
      <c r="BG297" s="959"/>
      <c r="BH297" s="959"/>
      <c r="BI297" s="959"/>
      <c r="BJ297" s="959"/>
      <c r="BK297" s="959"/>
      <c r="BL297" s="959"/>
      <c r="BM297" s="959"/>
      <c r="BN297" s="959"/>
      <c r="BO297" s="959"/>
      <c r="BP297" s="841"/>
    </row>
    <row r="298" spans="1:68">
      <c r="A298" s="786">
        <v>155</v>
      </c>
      <c r="B298" s="1936"/>
      <c r="C298" s="1913"/>
      <c r="D298" s="1915" t="s">
        <v>4506</v>
      </c>
      <c r="E298" s="982" t="s">
        <v>4507</v>
      </c>
      <c r="F298" s="987" t="s">
        <v>4554</v>
      </c>
      <c r="G298" s="891" t="s">
        <v>4235</v>
      </c>
      <c r="H298" s="959"/>
      <c r="I298" s="959"/>
      <c r="J298" s="959"/>
      <c r="K298" s="959"/>
      <c r="L298" s="990">
        <f t="shared" ca="1" si="103"/>
        <v>0</v>
      </c>
      <c r="M298" s="990">
        <f t="shared" ca="1" si="103"/>
        <v>0</v>
      </c>
      <c r="N298" s="990">
        <f t="shared" ca="1" si="103"/>
        <v>0</v>
      </c>
      <c r="O298" s="990">
        <f t="shared" ca="1" si="103"/>
        <v>0</v>
      </c>
      <c r="P298" s="967">
        <f t="shared" ca="1" si="105"/>
        <v>0</v>
      </c>
      <c r="Q298" s="967">
        <f t="shared" ca="1" si="105"/>
        <v>0</v>
      </c>
      <c r="R298" s="967">
        <f t="shared" ca="1" si="105"/>
        <v>0</v>
      </c>
      <c r="S298" s="967">
        <f t="shared" ca="1" si="105"/>
        <v>0</v>
      </c>
      <c r="T298" s="967">
        <f t="shared" ca="1" si="105"/>
        <v>0</v>
      </c>
      <c r="U298" s="967">
        <f t="shared" ca="1" si="105"/>
        <v>0</v>
      </c>
      <c r="V298" s="967">
        <f t="shared" ca="1" si="105"/>
        <v>0</v>
      </c>
      <c r="W298" s="967">
        <f t="shared" ca="1" si="105"/>
        <v>0</v>
      </c>
      <c r="X298" s="959"/>
      <c r="Y298" s="959"/>
      <c r="Z298" s="959"/>
      <c r="AA298" s="959"/>
      <c r="AB298" s="959"/>
      <c r="AC298" s="959"/>
      <c r="AD298" s="959"/>
      <c r="AE298" s="959"/>
      <c r="AF298" s="959"/>
      <c r="AG298" s="959"/>
      <c r="AH298" s="959"/>
      <c r="AI298" s="959"/>
      <c r="AJ298" s="959"/>
      <c r="AK298" s="959"/>
      <c r="AL298" s="959"/>
      <c r="AM298" s="959"/>
      <c r="AN298" s="959"/>
      <c r="AO298" s="959"/>
      <c r="AP298" s="959"/>
      <c r="AQ298" s="959"/>
      <c r="AR298" s="959"/>
      <c r="AS298" s="959"/>
      <c r="AT298" s="959"/>
      <c r="AU298" s="959"/>
      <c r="AV298" s="959"/>
      <c r="AW298" s="959"/>
      <c r="AX298" s="959"/>
      <c r="AY298" s="959"/>
      <c r="AZ298" s="959"/>
      <c r="BA298" s="959"/>
      <c r="BB298" s="959"/>
      <c r="BC298" s="959"/>
      <c r="BD298" s="959"/>
      <c r="BE298" s="959"/>
      <c r="BF298" s="959"/>
      <c r="BG298" s="959"/>
      <c r="BH298" s="959"/>
      <c r="BI298" s="959"/>
      <c r="BJ298" s="959"/>
      <c r="BK298" s="959"/>
      <c r="BL298" s="959"/>
      <c r="BM298" s="959"/>
      <c r="BN298" s="959"/>
      <c r="BO298" s="959"/>
      <c r="BP298" s="841"/>
    </row>
    <row r="299" spans="1:68">
      <c r="A299" s="786">
        <v>156</v>
      </c>
      <c r="B299" s="1936"/>
      <c r="C299" s="1913"/>
      <c r="D299" s="1916"/>
      <c r="E299" s="984"/>
      <c r="F299" s="1029"/>
      <c r="G299" s="891" t="s">
        <v>4239</v>
      </c>
      <c r="H299" s="959"/>
      <c r="I299" s="959"/>
      <c r="J299" s="959"/>
      <c r="K299" s="959"/>
      <c r="L299" s="990">
        <f t="shared" ca="1" si="103"/>
        <v>0</v>
      </c>
      <c r="M299" s="990">
        <f t="shared" ca="1" si="103"/>
        <v>0</v>
      </c>
      <c r="N299" s="990">
        <f t="shared" ca="1" si="103"/>
        <v>0</v>
      </c>
      <c r="O299" s="990">
        <f t="shared" ca="1" si="103"/>
        <v>0</v>
      </c>
      <c r="P299" s="967">
        <f t="shared" ca="1" si="105"/>
        <v>0</v>
      </c>
      <c r="Q299" s="967">
        <f t="shared" ca="1" si="105"/>
        <v>0</v>
      </c>
      <c r="R299" s="967">
        <f t="shared" ca="1" si="105"/>
        <v>0</v>
      </c>
      <c r="S299" s="967">
        <f t="shared" ca="1" si="105"/>
        <v>0</v>
      </c>
      <c r="T299" s="967">
        <f t="shared" ca="1" si="105"/>
        <v>0</v>
      </c>
      <c r="U299" s="967">
        <f t="shared" ca="1" si="105"/>
        <v>0</v>
      </c>
      <c r="V299" s="967">
        <f t="shared" ca="1" si="105"/>
        <v>0</v>
      </c>
      <c r="W299" s="967">
        <f t="shared" ca="1" si="105"/>
        <v>0</v>
      </c>
      <c r="X299" s="959"/>
      <c r="Y299" s="959"/>
      <c r="Z299" s="959"/>
      <c r="AA299" s="959"/>
      <c r="AB299" s="959"/>
      <c r="AC299" s="959"/>
      <c r="AD299" s="959"/>
      <c r="AE299" s="959"/>
      <c r="AF299" s="959"/>
      <c r="AG299" s="959"/>
      <c r="AH299" s="959"/>
      <c r="AI299" s="959"/>
      <c r="AJ299" s="959"/>
      <c r="AK299" s="959"/>
      <c r="AL299" s="959"/>
      <c r="AM299" s="959"/>
      <c r="AN299" s="959"/>
      <c r="AO299" s="959"/>
      <c r="AP299" s="959"/>
      <c r="AQ299" s="959"/>
      <c r="AR299" s="959"/>
      <c r="AS299" s="959"/>
      <c r="AT299" s="959"/>
      <c r="AU299" s="959"/>
      <c r="AV299" s="959"/>
      <c r="AW299" s="959"/>
      <c r="AX299" s="959"/>
      <c r="AY299" s="959"/>
      <c r="AZ299" s="959"/>
      <c r="BA299" s="959"/>
      <c r="BB299" s="959"/>
      <c r="BC299" s="959"/>
      <c r="BD299" s="959"/>
      <c r="BE299" s="959"/>
      <c r="BF299" s="959"/>
      <c r="BG299" s="959"/>
      <c r="BH299" s="959"/>
      <c r="BI299" s="959"/>
      <c r="BJ299" s="959"/>
      <c r="BK299" s="959"/>
      <c r="BL299" s="959"/>
      <c r="BM299" s="959"/>
      <c r="BN299" s="959"/>
      <c r="BO299" s="959"/>
      <c r="BP299" s="841"/>
    </row>
    <row r="300" spans="1:68" ht="21" customHeight="1">
      <c r="A300" s="786">
        <v>157</v>
      </c>
      <c r="B300" s="1936"/>
      <c r="C300" s="1913"/>
      <c r="D300" s="1916"/>
      <c r="E300" s="982" t="s">
        <v>4509</v>
      </c>
      <c r="F300" s="987" t="s">
        <v>4555</v>
      </c>
      <c r="G300" s="891" t="s">
        <v>4235</v>
      </c>
      <c r="H300" s="959"/>
      <c r="I300" s="959"/>
      <c r="J300" s="959"/>
      <c r="K300" s="959"/>
      <c r="L300" s="990">
        <f t="shared" ca="1" si="103"/>
        <v>0</v>
      </c>
      <c r="M300" s="990">
        <f t="shared" ca="1" si="103"/>
        <v>0</v>
      </c>
      <c r="N300" s="990">
        <f t="shared" ca="1" si="103"/>
        <v>0</v>
      </c>
      <c r="O300" s="990">
        <f t="shared" ca="1" si="103"/>
        <v>0</v>
      </c>
      <c r="P300" s="967">
        <f t="shared" ca="1" si="105"/>
        <v>0</v>
      </c>
      <c r="Q300" s="967">
        <f t="shared" ca="1" si="105"/>
        <v>0</v>
      </c>
      <c r="R300" s="967">
        <f t="shared" ca="1" si="105"/>
        <v>0</v>
      </c>
      <c r="S300" s="967">
        <f t="shared" ca="1" si="105"/>
        <v>0</v>
      </c>
      <c r="T300" s="967">
        <f t="shared" ca="1" si="105"/>
        <v>0</v>
      </c>
      <c r="U300" s="967">
        <f t="shared" ca="1" si="105"/>
        <v>0</v>
      </c>
      <c r="V300" s="967">
        <f t="shared" ca="1" si="105"/>
        <v>0</v>
      </c>
      <c r="W300" s="967">
        <f t="shared" ca="1" si="105"/>
        <v>0</v>
      </c>
      <c r="X300" s="959"/>
      <c r="Y300" s="959"/>
      <c r="Z300" s="959"/>
      <c r="AA300" s="959"/>
      <c r="AB300" s="959"/>
      <c r="AC300" s="959"/>
      <c r="AD300" s="959"/>
      <c r="AE300" s="959"/>
      <c r="AF300" s="959"/>
      <c r="AG300" s="959"/>
      <c r="AH300" s="959"/>
      <c r="AI300" s="959"/>
      <c r="AJ300" s="959"/>
      <c r="AK300" s="959"/>
      <c r="AL300" s="959"/>
      <c r="AM300" s="959"/>
      <c r="AN300" s="959"/>
      <c r="AO300" s="959"/>
      <c r="AP300" s="959"/>
      <c r="AQ300" s="959"/>
      <c r="AR300" s="959"/>
      <c r="AS300" s="959"/>
      <c r="AT300" s="959"/>
      <c r="AU300" s="959"/>
      <c r="AV300" s="959"/>
      <c r="AW300" s="959"/>
      <c r="AX300" s="959"/>
      <c r="AY300" s="959"/>
      <c r="AZ300" s="959"/>
      <c r="BA300" s="959"/>
      <c r="BB300" s="959"/>
      <c r="BC300" s="959"/>
      <c r="BD300" s="959"/>
      <c r="BE300" s="959"/>
      <c r="BF300" s="959"/>
      <c r="BG300" s="959"/>
      <c r="BH300" s="959"/>
      <c r="BI300" s="959"/>
      <c r="BJ300" s="959"/>
      <c r="BK300" s="959"/>
      <c r="BL300" s="959"/>
      <c r="BM300" s="959"/>
      <c r="BN300" s="959"/>
      <c r="BO300" s="959"/>
      <c r="BP300" s="841"/>
    </row>
    <row r="301" spans="1:68" ht="21" customHeight="1">
      <c r="A301" s="786">
        <v>158</v>
      </c>
      <c r="B301" s="1936"/>
      <c r="C301" s="1913"/>
      <c r="D301" s="1916"/>
      <c r="E301" s="984"/>
      <c r="F301" s="1029"/>
      <c r="G301" s="891" t="s">
        <v>4196</v>
      </c>
      <c r="H301" s="959"/>
      <c r="I301" s="959"/>
      <c r="J301" s="959"/>
      <c r="K301" s="959"/>
      <c r="L301" s="990">
        <f t="shared" ca="1" si="103"/>
        <v>0</v>
      </c>
      <c r="M301" s="990">
        <f t="shared" ca="1" si="103"/>
        <v>0</v>
      </c>
      <c r="N301" s="990">
        <f t="shared" ca="1" si="103"/>
        <v>0</v>
      </c>
      <c r="O301" s="990">
        <f t="shared" ca="1" si="103"/>
        <v>0</v>
      </c>
      <c r="P301" s="967">
        <f t="shared" ca="1" si="105"/>
        <v>0</v>
      </c>
      <c r="Q301" s="967">
        <f t="shared" ca="1" si="105"/>
        <v>0</v>
      </c>
      <c r="R301" s="967">
        <f t="shared" ca="1" si="105"/>
        <v>0</v>
      </c>
      <c r="S301" s="967">
        <f t="shared" ca="1" si="105"/>
        <v>0</v>
      </c>
      <c r="T301" s="967">
        <f t="shared" ca="1" si="105"/>
        <v>0</v>
      </c>
      <c r="U301" s="967">
        <f t="shared" ca="1" si="105"/>
        <v>0</v>
      </c>
      <c r="V301" s="967">
        <f t="shared" ca="1" si="105"/>
        <v>0</v>
      </c>
      <c r="W301" s="967">
        <f t="shared" ca="1" si="105"/>
        <v>0</v>
      </c>
      <c r="X301" s="959"/>
      <c r="Y301" s="959"/>
      <c r="Z301" s="959"/>
      <c r="AA301" s="959"/>
      <c r="AB301" s="959"/>
      <c r="AC301" s="959"/>
      <c r="AD301" s="959"/>
      <c r="AE301" s="959"/>
      <c r="AF301" s="959"/>
      <c r="AG301" s="959"/>
      <c r="AH301" s="959"/>
      <c r="AI301" s="959"/>
      <c r="AJ301" s="959"/>
      <c r="AK301" s="959"/>
      <c r="AL301" s="959"/>
      <c r="AM301" s="959"/>
      <c r="AN301" s="959"/>
      <c r="AO301" s="959"/>
      <c r="AP301" s="959"/>
      <c r="AQ301" s="959"/>
      <c r="AR301" s="959"/>
      <c r="AS301" s="959"/>
      <c r="AT301" s="959"/>
      <c r="AU301" s="959"/>
      <c r="AV301" s="959"/>
      <c r="AW301" s="959"/>
      <c r="AX301" s="959"/>
      <c r="AY301" s="959"/>
      <c r="AZ301" s="959"/>
      <c r="BA301" s="959"/>
      <c r="BB301" s="959"/>
      <c r="BC301" s="959"/>
      <c r="BD301" s="959"/>
      <c r="BE301" s="959"/>
      <c r="BF301" s="959"/>
      <c r="BG301" s="959"/>
      <c r="BH301" s="959"/>
      <c r="BI301" s="959"/>
      <c r="BJ301" s="959"/>
      <c r="BK301" s="959"/>
      <c r="BL301" s="959"/>
      <c r="BM301" s="959"/>
      <c r="BN301" s="959"/>
      <c r="BO301" s="959"/>
      <c r="BP301" s="841"/>
    </row>
    <row r="302" spans="1:68">
      <c r="A302" s="786">
        <v>159</v>
      </c>
      <c r="B302" s="1936"/>
      <c r="C302" s="1913"/>
      <c r="D302" s="1917"/>
      <c r="E302" s="1030" t="s">
        <v>4510</v>
      </c>
      <c r="F302" s="849" t="s">
        <v>4556</v>
      </c>
      <c r="G302" s="891" t="s">
        <v>4235</v>
      </c>
      <c r="H302" s="959"/>
      <c r="I302" s="959"/>
      <c r="J302" s="959"/>
      <c r="K302" s="959"/>
      <c r="L302" s="990">
        <f t="shared" ca="1" si="103"/>
        <v>0</v>
      </c>
      <c r="M302" s="990">
        <f t="shared" ca="1" si="103"/>
        <v>0</v>
      </c>
      <c r="N302" s="990">
        <f t="shared" ca="1" si="103"/>
        <v>0</v>
      </c>
      <c r="O302" s="990">
        <f t="shared" ca="1" si="103"/>
        <v>0</v>
      </c>
      <c r="P302" s="967">
        <f t="shared" ca="1" si="105"/>
        <v>0</v>
      </c>
      <c r="Q302" s="967">
        <f t="shared" ca="1" si="105"/>
        <v>0</v>
      </c>
      <c r="R302" s="967">
        <f t="shared" ca="1" si="105"/>
        <v>0</v>
      </c>
      <c r="S302" s="967">
        <f t="shared" ca="1" si="105"/>
        <v>0</v>
      </c>
      <c r="T302" s="967">
        <f t="shared" ca="1" si="105"/>
        <v>0</v>
      </c>
      <c r="U302" s="967">
        <f t="shared" ca="1" si="105"/>
        <v>0</v>
      </c>
      <c r="V302" s="967">
        <f t="shared" ca="1" si="105"/>
        <v>0</v>
      </c>
      <c r="W302" s="967">
        <f t="shared" ca="1" si="105"/>
        <v>0</v>
      </c>
      <c r="X302" s="959"/>
      <c r="Y302" s="959"/>
      <c r="Z302" s="959"/>
      <c r="AA302" s="959"/>
      <c r="AB302" s="959"/>
      <c r="AC302" s="959"/>
      <c r="AD302" s="959"/>
      <c r="AE302" s="959"/>
      <c r="AF302" s="959"/>
      <c r="AG302" s="959"/>
      <c r="AH302" s="959"/>
      <c r="AI302" s="959"/>
      <c r="AJ302" s="959"/>
      <c r="AK302" s="959"/>
      <c r="AL302" s="959"/>
      <c r="AM302" s="959"/>
      <c r="AN302" s="959"/>
      <c r="AO302" s="959"/>
      <c r="AP302" s="959"/>
      <c r="AQ302" s="959"/>
      <c r="AR302" s="959"/>
      <c r="AS302" s="959"/>
      <c r="AT302" s="959"/>
      <c r="AU302" s="959"/>
      <c r="AV302" s="959"/>
      <c r="AW302" s="959"/>
      <c r="AX302" s="959"/>
      <c r="AY302" s="959"/>
      <c r="AZ302" s="959"/>
      <c r="BA302" s="959"/>
      <c r="BB302" s="959"/>
      <c r="BC302" s="959"/>
      <c r="BD302" s="959"/>
      <c r="BE302" s="959"/>
      <c r="BF302" s="959"/>
      <c r="BG302" s="959"/>
      <c r="BH302" s="959"/>
      <c r="BI302" s="959"/>
      <c r="BJ302" s="959"/>
      <c r="BK302" s="959"/>
      <c r="BL302" s="959"/>
      <c r="BM302" s="959"/>
      <c r="BN302" s="959"/>
      <c r="BO302" s="959"/>
      <c r="BP302" s="841"/>
    </row>
    <row r="303" spans="1:68">
      <c r="A303" s="786">
        <v>160</v>
      </c>
      <c r="B303" s="1936"/>
      <c r="C303" s="1913"/>
      <c r="D303" s="1918" t="s">
        <v>4511</v>
      </c>
      <c r="E303" s="1031" t="s">
        <v>4512</v>
      </c>
      <c r="F303" s="987" t="s">
        <v>4557</v>
      </c>
      <c r="G303" s="891" t="s">
        <v>4235</v>
      </c>
      <c r="H303" s="959"/>
      <c r="I303" s="959"/>
      <c r="J303" s="959"/>
      <c r="K303" s="959"/>
      <c r="L303" s="990">
        <f t="shared" ca="1" si="103"/>
        <v>0</v>
      </c>
      <c r="M303" s="990">
        <f t="shared" ca="1" si="103"/>
        <v>0</v>
      </c>
      <c r="N303" s="990">
        <f t="shared" ca="1" si="103"/>
        <v>0</v>
      </c>
      <c r="O303" s="990">
        <f t="shared" ca="1" si="103"/>
        <v>0</v>
      </c>
      <c r="P303" s="967">
        <f t="shared" ca="1" si="105"/>
        <v>0</v>
      </c>
      <c r="Q303" s="967">
        <f t="shared" ca="1" si="105"/>
        <v>0</v>
      </c>
      <c r="R303" s="967">
        <f t="shared" ca="1" si="105"/>
        <v>0</v>
      </c>
      <c r="S303" s="967">
        <f t="shared" ca="1" si="105"/>
        <v>0</v>
      </c>
      <c r="T303" s="967">
        <f t="shared" ca="1" si="105"/>
        <v>0</v>
      </c>
      <c r="U303" s="967">
        <f t="shared" ca="1" si="105"/>
        <v>0</v>
      </c>
      <c r="V303" s="967">
        <f t="shared" ca="1" si="105"/>
        <v>0</v>
      </c>
      <c r="W303" s="967">
        <f t="shared" ca="1" si="105"/>
        <v>0</v>
      </c>
      <c r="X303" s="959"/>
      <c r="Y303" s="959"/>
      <c r="Z303" s="959"/>
      <c r="AA303" s="959"/>
      <c r="AB303" s="959"/>
      <c r="AC303" s="959"/>
      <c r="AD303" s="959"/>
      <c r="AE303" s="959"/>
      <c r="AF303" s="959"/>
      <c r="AG303" s="959"/>
      <c r="AH303" s="959"/>
      <c r="AI303" s="959"/>
      <c r="AJ303" s="959"/>
      <c r="AK303" s="959"/>
      <c r="AL303" s="959"/>
      <c r="AM303" s="959"/>
      <c r="AN303" s="959"/>
      <c r="AO303" s="959"/>
      <c r="AP303" s="959"/>
      <c r="AQ303" s="959"/>
      <c r="AR303" s="959"/>
      <c r="AS303" s="959"/>
      <c r="AT303" s="959"/>
      <c r="AU303" s="959"/>
      <c r="AV303" s="959"/>
      <c r="AW303" s="959"/>
      <c r="AX303" s="959"/>
      <c r="AY303" s="959"/>
      <c r="AZ303" s="959"/>
      <c r="BA303" s="959"/>
      <c r="BB303" s="959"/>
      <c r="BC303" s="959"/>
      <c r="BD303" s="959"/>
      <c r="BE303" s="959"/>
      <c r="BF303" s="959"/>
      <c r="BG303" s="959"/>
      <c r="BH303" s="959"/>
      <c r="BI303" s="959"/>
      <c r="BJ303" s="959"/>
      <c r="BK303" s="959"/>
      <c r="BL303" s="959"/>
      <c r="BM303" s="959"/>
      <c r="BN303" s="959"/>
      <c r="BO303" s="959"/>
      <c r="BP303" s="841"/>
    </row>
    <row r="304" spans="1:68">
      <c r="A304" s="786">
        <v>161</v>
      </c>
      <c r="B304" s="1936"/>
      <c r="C304" s="1913"/>
      <c r="D304" s="1919"/>
      <c r="E304" s="992"/>
      <c r="F304" s="1029"/>
      <c r="G304" s="891" t="s">
        <v>4239</v>
      </c>
      <c r="H304" s="959"/>
      <c r="I304" s="959"/>
      <c r="J304" s="959"/>
      <c r="K304" s="959"/>
      <c r="L304" s="990">
        <f t="shared" ca="1" si="103"/>
        <v>0</v>
      </c>
      <c r="M304" s="990">
        <f t="shared" ca="1" si="103"/>
        <v>0</v>
      </c>
      <c r="N304" s="990">
        <f t="shared" ca="1" si="103"/>
        <v>0</v>
      </c>
      <c r="O304" s="990">
        <f t="shared" ca="1" si="103"/>
        <v>0</v>
      </c>
      <c r="P304" s="967">
        <f t="shared" ca="1" si="105"/>
        <v>0</v>
      </c>
      <c r="Q304" s="967">
        <f t="shared" ca="1" si="105"/>
        <v>0</v>
      </c>
      <c r="R304" s="967">
        <f t="shared" ca="1" si="105"/>
        <v>0</v>
      </c>
      <c r="S304" s="967">
        <f t="shared" ca="1" si="105"/>
        <v>0</v>
      </c>
      <c r="T304" s="967">
        <f t="shared" ca="1" si="105"/>
        <v>0</v>
      </c>
      <c r="U304" s="967">
        <f t="shared" ca="1" si="105"/>
        <v>0</v>
      </c>
      <c r="V304" s="967">
        <f t="shared" ca="1" si="105"/>
        <v>0</v>
      </c>
      <c r="W304" s="967">
        <f t="shared" ca="1" si="105"/>
        <v>0</v>
      </c>
      <c r="X304" s="959"/>
      <c r="Y304" s="959"/>
      <c r="Z304" s="959"/>
      <c r="AA304" s="959"/>
      <c r="AB304" s="959"/>
      <c r="AC304" s="959"/>
      <c r="AD304" s="959"/>
      <c r="AE304" s="959"/>
      <c r="AF304" s="959"/>
      <c r="AG304" s="959"/>
      <c r="AH304" s="959"/>
      <c r="AI304" s="959"/>
      <c r="AJ304" s="959"/>
      <c r="AK304" s="959"/>
      <c r="AL304" s="959"/>
      <c r="AM304" s="959"/>
      <c r="AN304" s="959"/>
      <c r="AO304" s="959"/>
      <c r="AP304" s="959"/>
      <c r="AQ304" s="959"/>
      <c r="AR304" s="959"/>
      <c r="AS304" s="959"/>
      <c r="AT304" s="959"/>
      <c r="AU304" s="959"/>
      <c r="AV304" s="959"/>
      <c r="AW304" s="959"/>
      <c r="AX304" s="959"/>
      <c r="AY304" s="959"/>
      <c r="AZ304" s="959"/>
      <c r="BA304" s="959"/>
      <c r="BB304" s="959"/>
      <c r="BC304" s="959"/>
      <c r="BD304" s="959"/>
      <c r="BE304" s="959"/>
      <c r="BF304" s="959"/>
      <c r="BG304" s="959"/>
      <c r="BH304" s="959"/>
      <c r="BI304" s="959"/>
      <c r="BJ304" s="959"/>
      <c r="BK304" s="959"/>
      <c r="BL304" s="959"/>
      <c r="BM304" s="959"/>
      <c r="BN304" s="959"/>
      <c r="BO304" s="959"/>
      <c r="BP304" s="841"/>
    </row>
    <row r="305" spans="1:68" ht="21" customHeight="1">
      <c r="A305" s="786">
        <v>162</v>
      </c>
      <c r="B305" s="1936"/>
      <c r="C305" s="1913"/>
      <c r="D305" s="1919"/>
      <c r="E305" s="993" t="s">
        <v>4513</v>
      </c>
      <c r="F305" s="987" t="s">
        <v>4558</v>
      </c>
      <c r="G305" s="891" t="s">
        <v>4235</v>
      </c>
      <c r="H305" s="959"/>
      <c r="I305" s="959"/>
      <c r="J305" s="959"/>
      <c r="K305" s="959"/>
      <c r="L305" s="990">
        <f t="shared" ca="1" si="103"/>
        <v>0</v>
      </c>
      <c r="M305" s="990">
        <f t="shared" ca="1" si="103"/>
        <v>0</v>
      </c>
      <c r="N305" s="990">
        <f t="shared" ca="1" si="103"/>
        <v>0</v>
      </c>
      <c r="O305" s="990">
        <f t="shared" ca="1" si="103"/>
        <v>0</v>
      </c>
      <c r="P305" s="967">
        <f t="shared" ca="1" si="105"/>
        <v>0</v>
      </c>
      <c r="Q305" s="967">
        <f t="shared" ca="1" si="105"/>
        <v>0</v>
      </c>
      <c r="R305" s="967">
        <f t="shared" ca="1" si="105"/>
        <v>0</v>
      </c>
      <c r="S305" s="967">
        <f t="shared" ca="1" si="105"/>
        <v>0</v>
      </c>
      <c r="T305" s="967">
        <f t="shared" ca="1" si="105"/>
        <v>0</v>
      </c>
      <c r="U305" s="967">
        <f t="shared" ca="1" si="105"/>
        <v>0</v>
      </c>
      <c r="V305" s="967">
        <f t="shared" ca="1" si="105"/>
        <v>0</v>
      </c>
      <c r="W305" s="967">
        <f t="shared" ca="1" si="105"/>
        <v>0</v>
      </c>
      <c r="X305" s="959"/>
      <c r="Y305" s="959"/>
      <c r="Z305" s="959"/>
      <c r="AA305" s="959"/>
      <c r="AB305" s="959"/>
      <c r="AC305" s="959"/>
      <c r="AD305" s="959"/>
      <c r="AE305" s="959"/>
      <c r="AF305" s="959"/>
      <c r="AG305" s="959"/>
      <c r="AH305" s="959"/>
      <c r="AI305" s="959"/>
      <c r="AJ305" s="959"/>
      <c r="AK305" s="959"/>
      <c r="AL305" s="959"/>
      <c r="AM305" s="959"/>
      <c r="AN305" s="959"/>
      <c r="AO305" s="959"/>
      <c r="AP305" s="959"/>
      <c r="AQ305" s="959"/>
      <c r="AR305" s="959"/>
      <c r="AS305" s="959"/>
      <c r="AT305" s="959"/>
      <c r="AU305" s="959"/>
      <c r="AV305" s="959"/>
      <c r="AW305" s="959"/>
      <c r="AX305" s="959"/>
      <c r="AY305" s="959"/>
      <c r="AZ305" s="959"/>
      <c r="BA305" s="959"/>
      <c r="BB305" s="959"/>
      <c r="BC305" s="959"/>
      <c r="BD305" s="959"/>
      <c r="BE305" s="959"/>
      <c r="BF305" s="959"/>
      <c r="BG305" s="959"/>
      <c r="BH305" s="959"/>
      <c r="BI305" s="959"/>
      <c r="BJ305" s="959"/>
      <c r="BK305" s="959"/>
      <c r="BL305" s="959"/>
      <c r="BM305" s="959"/>
      <c r="BN305" s="959"/>
      <c r="BO305" s="959"/>
      <c r="BP305" s="841"/>
    </row>
    <row r="306" spans="1:68">
      <c r="A306" s="786">
        <v>163</v>
      </c>
      <c r="B306" s="1936"/>
      <c r="C306" s="1913"/>
      <c r="D306" s="1920"/>
      <c r="E306" s="994"/>
      <c r="F306" s="1029"/>
      <c r="G306" s="891" t="s">
        <v>4196</v>
      </c>
      <c r="H306" s="959"/>
      <c r="I306" s="959"/>
      <c r="J306" s="959"/>
      <c r="K306" s="959"/>
      <c r="L306" s="990">
        <f t="shared" ca="1" si="103"/>
        <v>0</v>
      </c>
      <c r="M306" s="990">
        <f t="shared" ca="1" si="103"/>
        <v>0</v>
      </c>
      <c r="N306" s="990">
        <f t="shared" ca="1" si="103"/>
        <v>0</v>
      </c>
      <c r="O306" s="990">
        <f t="shared" ca="1" si="103"/>
        <v>0</v>
      </c>
      <c r="P306" s="967">
        <f t="shared" ca="1" si="105"/>
        <v>0</v>
      </c>
      <c r="Q306" s="967">
        <f t="shared" ca="1" si="105"/>
        <v>0</v>
      </c>
      <c r="R306" s="967">
        <f t="shared" ca="1" si="105"/>
        <v>0</v>
      </c>
      <c r="S306" s="967">
        <f t="shared" ca="1" si="105"/>
        <v>0</v>
      </c>
      <c r="T306" s="967">
        <f t="shared" ca="1" si="105"/>
        <v>0</v>
      </c>
      <c r="U306" s="967">
        <f t="shared" ca="1" si="105"/>
        <v>0</v>
      </c>
      <c r="V306" s="967">
        <f t="shared" ca="1" si="105"/>
        <v>0</v>
      </c>
      <c r="W306" s="967">
        <f t="shared" ca="1" si="105"/>
        <v>0</v>
      </c>
      <c r="X306" s="959"/>
      <c r="Y306" s="959"/>
      <c r="Z306" s="959"/>
      <c r="AA306" s="959"/>
      <c r="AB306" s="959"/>
      <c r="AC306" s="959"/>
      <c r="AD306" s="959"/>
      <c r="AE306" s="959"/>
      <c r="AF306" s="959"/>
      <c r="AG306" s="959"/>
      <c r="AH306" s="959"/>
      <c r="AI306" s="959"/>
      <c r="AJ306" s="959"/>
      <c r="AK306" s="959"/>
      <c r="AL306" s="959"/>
      <c r="AM306" s="959"/>
      <c r="AN306" s="959"/>
      <c r="AO306" s="959"/>
      <c r="AP306" s="959"/>
      <c r="AQ306" s="959"/>
      <c r="AR306" s="959"/>
      <c r="AS306" s="959"/>
      <c r="AT306" s="959"/>
      <c r="AU306" s="959"/>
      <c r="AV306" s="959"/>
      <c r="AW306" s="959"/>
      <c r="AX306" s="959"/>
      <c r="AY306" s="959"/>
      <c r="AZ306" s="959"/>
      <c r="BA306" s="959"/>
      <c r="BB306" s="959"/>
      <c r="BC306" s="959"/>
      <c r="BD306" s="959"/>
      <c r="BE306" s="959"/>
      <c r="BF306" s="959"/>
      <c r="BG306" s="959"/>
      <c r="BH306" s="959"/>
      <c r="BI306" s="959"/>
      <c r="BJ306" s="959"/>
      <c r="BK306" s="959"/>
      <c r="BL306" s="959"/>
      <c r="BM306" s="959"/>
      <c r="BN306" s="959"/>
      <c r="BO306" s="959"/>
      <c r="BP306" s="841"/>
    </row>
    <row r="307" spans="1:68" ht="21" customHeight="1">
      <c r="A307" s="786">
        <v>164</v>
      </c>
      <c r="B307" s="1936"/>
      <c r="C307" s="1914"/>
      <c r="D307" s="995" t="s">
        <v>4514</v>
      </c>
      <c r="E307" s="996" t="str">
        <f ca="1">E262</f>
        <v/>
      </c>
      <c r="F307" s="849" t="s">
        <v>4559</v>
      </c>
      <c r="G307" s="891" t="s">
        <v>4235</v>
      </c>
      <c r="H307" s="959"/>
      <c r="I307" s="959"/>
      <c r="J307" s="959"/>
      <c r="K307" s="959"/>
      <c r="L307" s="990">
        <f t="shared" ca="1" si="103"/>
        <v>0</v>
      </c>
      <c r="M307" s="990">
        <f t="shared" ca="1" si="103"/>
        <v>0</v>
      </c>
      <c r="N307" s="990">
        <f t="shared" ca="1" si="103"/>
        <v>0</v>
      </c>
      <c r="O307" s="990">
        <f t="shared" ca="1" si="103"/>
        <v>0</v>
      </c>
      <c r="P307" s="967">
        <f t="shared" ca="1" si="105"/>
        <v>0</v>
      </c>
      <c r="Q307" s="967">
        <f t="shared" ca="1" si="105"/>
        <v>0</v>
      </c>
      <c r="R307" s="967">
        <f t="shared" ca="1" si="105"/>
        <v>0</v>
      </c>
      <c r="S307" s="967">
        <f t="shared" ca="1" si="105"/>
        <v>0</v>
      </c>
      <c r="T307" s="967">
        <f t="shared" ca="1" si="105"/>
        <v>0</v>
      </c>
      <c r="U307" s="967">
        <f t="shared" ca="1" si="105"/>
        <v>0</v>
      </c>
      <c r="V307" s="967">
        <f t="shared" ca="1" si="105"/>
        <v>0</v>
      </c>
      <c r="W307" s="967">
        <f t="shared" ca="1" si="105"/>
        <v>0</v>
      </c>
      <c r="X307" s="959"/>
      <c r="Y307" s="959"/>
      <c r="Z307" s="959"/>
      <c r="AA307" s="959"/>
      <c r="AB307" s="959"/>
      <c r="AC307" s="959"/>
      <c r="AD307" s="959"/>
      <c r="AE307" s="959"/>
      <c r="AF307" s="959"/>
      <c r="AG307" s="959"/>
      <c r="AH307" s="959"/>
      <c r="AI307" s="959"/>
      <c r="AJ307" s="959"/>
      <c r="AK307" s="959"/>
      <c r="AL307" s="959"/>
      <c r="AM307" s="959"/>
      <c r="AN307" s="959"/>
      <c r="AO307" s="959"/>
      <c r="AP307" s="959"/>
      <c r="AQ307" s="959"/>
      <c r="AR307" s="959"/>
      <c r="AS307" s="959"/>
      <c r="AT307" s="959"/>
      <c r="AU307" s="959"/>
      <c r="AV307" s="959"/>
      <c r="AW307" s="959"/>
      <c r="AX307" s="959"/>
      <c r="AY307" s="959"/>
      <c r="AZ307" s="959"/>
      <c r="BA307" s="959"/>
      <c r="BB307" s="959"/>
      <c r="BC307" s="959"/>
      <c r="BD307" s="959"/>
      <c r="BE307" s="959"/>
      <c r="BF307" s="959"/>
      <c r="BG307" s="959"/>
      <c r="BH307" s="959"/>
      <c r="BI307" s="959"/>
      <c r="BJ307" s="959"/>
      <c r="BK307" s="959"/>
      <c r="BL307" s="959"/>
      <c r="BM307" s="959"/>
      <c r="BN307" s="959"/>
      <c r="BO307" s="959"/>
      <c r="BP307" s="841"/>
    </row>
    <row r="308" spans="1:68" ht="21">
      <c r="A308" s="786">
        <v>165</v>
      </c>
      <c r="B308" s="1936"/>
      <c r="C308" s="997" t="s">
        <v>4515</v>
      </c>
      <c r="D308" s="998"/>
      <c r="E308" s="998"/>
      <c r="F308" s="849" t="s">
        <v>4560</v>
      </c>
      <c r="G308" s="891" t="s">
        <v>4685</v>
      </c>
      <c r="H308" s="959"/>
      <c r="I308" s="959"/>
      <c r="J308" s="959"/>
      <c r="K308" s="959"/>
      <c r="L308" s="967">
        <f t="shared" ref="L308:W316" ca="1" si="106">L263</f>
        <v>0</v>
      </c>
      <c r="M308" s="967">
        <f t="shared" ca="1" si="106"/>
        <v>0</v>
      </c>
      <c r="N308" s="967">
        <f t="shared" ca="1" si="106"/>
        <v>0</v>
      </c>
      <c r="O308" s="967">
        <f t="shared" ca="1" si="106"/>
        <v>0</v>
      </c>
      <c r="P308" s="967">
        <f t="shared" ca="1" si="105"/>
        <v>0</v>
      </c>
      <c r="Q308" s="967">
        <f t="shared" ca="1" si="105"/>
        <v>0</v>
      </c>
      <c r="R308" s="967">
        <f t="shared" ca="1" si="105"/>
        <v>0</v>
      </c>
      <c r="S308" s="967">
        <f t="shared" ca="1" si="105"/>
        <v>0</v>
      </c>
      <c r="T308" s="967">
        <f t="shared" ca="1" si="105"/>
        <v>0</v>
      </c>
      <c r="U308" s="967">
        <f t="shared" ca="1" si="105"/>
        <v>0</v>
      </c>
      <c r="V308" s="967">
        <f t="shared" ca="1" si="105"/>
        <v>0</v>
      </c>
      <c r="W308" s="967">
        <f t="shared" ca="1" si="105"/>
        <v>0</v>
      </c>
      <c r="X308" s="959"/>
      <c r="Y308" s="959"/>
      <c r="Z308" s="959"/>
      <c r="AA308" s="959"/>
      <c r="AB308" s="959"/>
      <c r="AC308" s="959"/>
      <c r="AD308" s="959"/>
      <c r="AE308" s="959"/>
      <c r="AF308" s="959"/>
      <c r="AG308" s="959"/>
      <c r="AH308" s="959"/>
      <c r="AI308" s="959"/>
      <c r="AJ308" s="959"/>
      <c r="AK308" s="959"/>
      <c r="AL308" s="959"/>
      <c r="AM308" s="959"/>
      <c r="AN308" s="959"/>
      <c r="AO308" s="959"/>
      <c r="AP308" s="959"/>
      <c r="AQ308" s="959"/>
      <c r="AR308" s="959"/>
      <c r="AS308" s="959"/>
      <c r="AT308" s="959"/>
      <c r="AU308" s="959"/>
      <c r="AV308" s="959"/>
      <c r="AW308" s="959"/>
      <c r="AX308" s="959"/>
      <c r="AY308" s="959"/>
      <c r="AZ308" s="959"/>
      <c r="BA308" s="959"/>
      <c r="BB308" s="959"/>
      <c r="BC308" s="959"/>
      <c r="BD308" s="959"/>
      <c r="BE308" s="959"/>
      <c r="BF308" s="959"/>
      <c r="BG308" s="959"/>
      <c r="BH308" s="959"/>
      <c r="BI308" s="959"/>
      <c r="BJ308" s="959"/>
      <c r="BK308" s="959"/>
      <c r="BL308" s="959"/>
      <c r="BM308" s="959"/>
      <c r="BN308" s="959"/>
      <c r="BO308" s="959"/>
      <c r="BP308" s="841"/>
    </row>
    <row r="309" spans="1:68" ht="21" customHeight="1">
      <c r="A309" s="786">
        <v>166</v>
      </c>
      <c r="B309" s="1936"/>
      <c r="C309" s="1929" t="s">
        <v>4517</v>
      </c>
      <c r="D309" s="1918" t="s">
        <v>4546</v>
      </c>
      <c r="E309" s="974" t="s">
        <v>4519</v>
      </c>
      <c r="F309" s="849"/>
      <c r="G309" s="891" t="s">
        <v>4508</v>
      </c>
      <c r="H309" s="959"/>
      <c r="I309" s="959"/>
      <c r="J309" s="959"/>
      <c r="K309" s="959"/>
      <c r="L309" s="967">
        <f t="shared" ca="1" si="106"/>
        <v>0</v>
      </c>
      <c r="M309" s="967">
        <f t="shared" ca="1" si="106"/>
        <v>0</v>
      </c>
      <c r="N309" s="967">
        <f t="shared" ca="1" si="106"/>
        <v>0</v>
      </c>
      <c r="O309" s="967">
        <f t="shared" ca="1" si="106"/>
        <v>0</v>
      </c>
      <c r="P309" s="967">
        <f t="shared" ca="1" si="105"/>
        <v>0</v>
      </c>
      <c r="Q309" s="967">
        <f t="shared" ca="1" si="105"/>
        <v>0</v>
      </c>
      <c r="R309" s="967">
        <f t="shared" ca="1" si="105"/>
        <v>0</v>
      </c>
      <c r="S309" s="967">
        <f t="shared" ca="1" si="105"/>
        <v>0</v>
      </c>
      <c r="T309" s="967">
        <f t="shared" ca="1" si="105"/>
        <v>0</v>
      </c>
      <c r="U309" s="967">
        <f t="shared" ca="1" si="105"/>
        <v>0</v>
      </c>
      <c r="V309" s="967">
        <f t="shared" ca="1" si="105"/>
        <v>0</v>
      </c>
      <c r="W309" s="967">
        <f t="shared" ca="1" si="105"/>
        <v>0</v>
      </c>
      <c r="X309" s="959"/>
      <c r="Y309" s="959"/>
      <c r="Z309" s="959"/>
      <c r="AA309" s="959"/>
      <c r="AB309" s="959"/>
      <c r="AC309" s="959"/>
      <c r="AD309" s="959"/>
      <c r="AE309" s="959"/>
      <c r="AF309" s="959"/>
      <c r="AG309" s="959"/>
      <c r="AH309" s="959"/>
      <c r="AI309" s="959"/>
      <c r="AJ309" s="959"/>
      <c r="AK309" s="959"/>
      <c r="AL309" s="959"/>
      <c r="AM309" s="959"/>
      <c r="AN309" s="959"/>
      <c r="AO309" s="959"/>
      <c r="AP309" s="959"/>
      <c r="AQ309" s="959"/>
      <c r="AR309" s="959"/>
      <c r="AS309" s="959"/>
      <c r="AT309" s="959"/>
      <c r="AU309" s="959"/>
      <c r="AV309" s="959"/>
      <c r="AW309" s="959"/>
      <c r="AX309" s="959"/>
      <c r="AY309" s="959"/>
      <c r="AZ309" s="959"/>
      <c r="BA309" s="959"/>
      <c r="BB309" s="959"/>
      <c r="BC309" s="959"/>
      <c r="BD309" s="959"/>
      <c r="BE309" s="959"/>
      <c r="BF309" s="959"/>
      <c r="BG309" s="959"/>
      <c r="BH309" s="959"/>
      <c r="BI309" s="959"/>
      <c r="BJ309" s="959"/>
      <c r="BK309" s="959"/>
      <c r="BL309" s="959"/>
      <c r="BM309" s="959"/>
      <c r="BN309" s="959"/>
      <c r="BO309" s="959"/>
      <c r="BP309" s="841"/>
    </row>
    <row r="310" spans="1:68" ht="21">
      <c r="B310" s="1936"/>
      <c r="C310" s="1930"/>
      <c r="D310" s="1920"/>
      <c r="E310" s="974" t="s">
        <v>4520</v>
      </c>
      <c r="F310" s="849"/>
      <c r="G310" s="891" t="s">
        <v>4685</v>
      </c>
      <c r="H310" s="959"/>
      <c r="I310" s="959"/>
      <c r="J310" s="959"/>
      <c r="K310" s="959"/>
      <c r="L310" s="967">
        <f t="shared" ca="1" si="106"/>
        <v>0</v>
      </c>
      <c r="M310" s="967">
        <f t="shared" ca="1" si="106"/>
        <v>0</v>
      </c>
      <c r="N310" s="967">
        <f t="shared" ca="1" si="106"/>
        <v>0</v>
      </c>
      <c r="O310" s="967">
        <f t="shared" ca="1" si="106"/>
        <v>0</v>
      </c>
      <c r="P310" s="967">
        <f t="shared" ca="1" si="105"/>
        <v>0</v>
      </c>
      <c r="Q310" s="967">
        <f t="shared" ca="1" si="105"/>
        <v>0</v>
      </c>
      <c r="R310" s="967">
        <f t="shared" ca="1" si="105"/>
        <v>0</v>
      </c>
      <c r="S310" s="967">
        <f t="shared" ca="1" si="105"/>
        <v>0</v>
      </c>
      <c r="T310" s="967">
        <f t="shared" ca="1" si="105"/>
        <v>0</v>
      </c>
      <c r="U310" s="967">
        <f t="shared" ca="1" si="105"/>
        <v>0</v>
      </c>
      <c r="V310" s="967">
        <f t="shared" ca="1" si="105"/>
        <v>0</v>
      </c>
      <c r="W310" s="967">
        <f t="shared" ca="1" si="105"/>
        <v>0</v>
      </c>
      <c r="X310" s="959"/>
      <c r="Y310" s="959"/>
      <c r="Z310" s="959"/>
      <c r="AA310" s="959"/>
      <c r="AB310" s="959"/>
      <c r="AC310" s="959"/>
      <c r="AD310" s="959"/>
      <c r="AE310" s="959"/>
      <c r="AF310" s="959"/>
      <c r="AG310" s="959"/>
      <c r="AH310" s="959"/>
      <c r="AI310" s="959"/>
      <c r="AJ310" s="959"/>
      <c r="AK310" s="959"/>
      <c r="AL310" s="959"/>
      <c r="AM310" s="959"/>
      <c r="AN310" s="959"/>
      <c r="AO310" s="959"/>
      <c r="AP310" s="959"/>
      <c r="AQ310" s="959"/>
      <c r="AR310" s="959"/>
      <c r="AS310" s="959"/>
      <c r="AT310" s="959"/>
      <c r="AU310" s="959"/>
      <c r="AV310" s="959"/>
      <c r="AW310" s="959"/>
      <c r="AX310" s="959"/>
      <c r="AY310" s="959"/>
      <c r="AZ310" s="959"/>
      <c r="BA310" s="959"/>
      <c r="BB310" s="959"/>
      <c r="BC310" s="959"/>
      <c r="BD310" s="959"/>
      <c r="BE310" s="959"/>
      <c r="BF310" s="959"/>
      <c r="BG310" s="959"/>
      <c r="BH310" s="959"/>
      <c r="BI310" s="959"/>
      <c r="BJ310" s="959"/>
      <c r="BK310" s="959"/>
      <c r="BL310" s="959"/>
      <c r="BM310" s="959"/>
      <c r="BN310" s="959"/>
      <c r="BO310" s="959"/>
      <c r="BP310" s="841"/>
    </row>
    <row r="311" spans="1:68">
      <c r="A311" s="786">
        <v>167</v>
      </c>
      <c r="B311" s="1936"/>
      <c r="C311" s="1930"/>
      <c r="D311" s="1918" t="s">
        <v>4547</v>
      </c>
      <c r="E311" s="974" t="s">
        <v>4519</v>
      </c>
      <c r="F311" s="849"/>
      <c r="G311" s="891" t="s">
        <v>4508</v>
      </c>
      <c r="H311" s="959"/>
      <c r="I311" s="959"/>
      <c r="J311" s="959"/>
      <c r="K311" s="959"/>
      <c r="L311" s="967">
        <f t="shared" ca="1" si="106"/>
        <v>0</v>
      </c>
      <c r="M311" s="967">
        <f t="shared" ca="1" si="106"/>
        <v>0</v>
      </c>
      <c r="N311" s="967">
        <f t="shared" ca="1" si="106"/>
        <v>0</v>
      </c>
      <c r="O311" s="967">
        <f t="shared" ca="1" si="106"/>
        <v>0</v>
      </c>
      <c r="P311" s="967">
        <f t="shared" ca="1" si="105"/>
        <v>0</v>
      </c>
      <c r="Q311" s="967">
        <f t="shared" ca="1" si="105"/>
        <v>0</v>
      </c>
      <c r="R311" s="967">
        <f t="shared" ca="1" si="105"/>
        <v>0</v>
      </c>
      <c r="S311" s="967">
        <f t="shared" ca="1" si="105"/>
        <v>0</v>
      </c>
      <c r="T311" s="967">
        <f t="shared" ca="1" si="105"/>
        <v>0</v>
      </c>
      <c r="U311" s="967">
        <f t="shared" ca="1" si="105"/>
        <v>0</v>
      </c>
      <c r="V311" s="967">
        <f t="shared" ca="1" si="105"/>
        <v>0</v>
      </c>
      <c r="W311" s="967">
        <f t="shared" ca="1" si="105"/>
        <v>0</v>
      </c>
      <c r="X311" s="959"/>
      <c r="Y311" s="959"/>
      <c r="Z311" s="959"/>
      <c r="AA311" s="959"/>
      <c r="AB311" s="959"/>
      <c r="AC311" s="959"/>
      <c r="AD311" s="959"/>
      <c r="AE311" s="959"/>
      <c r="AF311" s="959"/>
      <c r="AG311" s="959"/>
      <c r="AH311" s="959"/>
      <c r="AI311" s="959"/>
      <c r="AJ311" s="959"/>
      <c r="AK311" s="959"/>
      <c r="AL311" s="959"/>
      <c r="AM311" s="959"/>
      <c r="AN311" s="959"/>
      <c r="AO311" s="959"/>
      <c r="AP311" s="959"/>
      <c r="AQ311" s="959"/>
      <c r="AR311" s="959"/>
      <c r="AS311" s="959"/>
      <c r="AT311" s="959"/>
      <c r="AU311" s="959"/>
      <c r="AV311" s="959"/>
      <c r="AW311" s="959"/>
      <c r="AX311" s="959"/>
      <c r="AY311" s="959"/>
      <c r="AZ311" s="959"/>
      <c r="BA311" s="959"/>
      <c r="BB311" s="959"/>
      <c r="BC311" s="959"/>
      <c r="BD311" s="959"/>
      <c r="BE311" s="959"/>
      <c r="BF311" s="959"/>
      <c r="BG311" s="959"/>
      <c r="BH311" s="959"/>
      <c r="BI311" s="959"/>
      <c r="BJ311" s="959"/>
      <c r="BK311" s="959"/>
      <c r="BL311" s="959"/>
      <c r="BM311" s="959"/>
      <c r="BN311" s="959"/>
      <c r="BO311" s="959"/>
      <c r="BP311" s="841"/>
    </row>
    <row r="312" spans="1:68" ht="21">
      <c r="B312" s="1936"/>
      <c r="C312" s="1930"/>
      <c r="D312" s="1920"/>
      <c r="E312" s="974" t="s">
        <v>4520</v>
      </c>
      <c r="F312" s="849"/>
      <c r="G312" s="891" t="s">
        <v>4685</v>
      </c>
      <c r="H312" s="959"/>
      <c r="I312" s="959"/>
      <c r="J312" s="959"/>
      <c r="K312" s="959"/>
      <c r="L312" s="967">
        <f t="shared" ca="1" si="106"/>
        <v>0</v>
      </c>
      <c r="M312" s="967">
        <f t="shared" ca="1" si="106"/>
        <v>0</v>
      </c>
      <c r="N312" s="967">
        <f t="shared" ca="1" si="106"/>
        <v>0</v>
      </c>
      <c r="O312" s="967">
        <f t="shared" ca="1" si="106"/>
        <v>0</v>
      </c>
      <c r="P312" s="967">
        <f t="shared" ca="1" si="105"/>
        <v>0</v>
      </c>
      <c r="Q312" s="967">
        <f t="shared" ca="1" si="105"/>
        <v>0</v>
      </c>
      <c r="R312" s="967">
        <f t="shared" ca="1" si="105"/>
        <v>0</v>
      </c>
      <c r="S312" s="967">
        <f t="shared" ca="1" si="105"/>
        <v>0</v>
      </c>
      <c r="T312" s="967">
        <f t="shared" ca="1" si="105"/>
        <v>0</v>
      </c>
      <c r="U312" s="967">
        <f t="shared" ca="1" si="105"/>
        <v>0</v>
      </c>
      <c r="V312" s="967">
        <f t="shared" ca="1" si="105"/>
        <v>0</v>
      </c>
      <c r="W312" s="967">
        <f t="shared" ca="1" si="105"/>
        <v>0</v>
      </c>
      <c r="X312" s="959"/>
      <c r="Y312" s="959"/>
      <c r="Z312" s="959"/>
      <c r="AA312" s="959"/>
      <c r="AB312" s="959"/>
      <c r="AC312" s="959"/>
      <c r="AD312" s="959"/>
      <c r="AE312" s="959"/>
      <c r="AF312" s="959"/>
      <c r="AG312" s="959"/>
      <c r="AH312" s="959"/>
      <c r="AI312" s="959"/>
      <c r="AJ312" s="959"/>
      <c r="AK312" s="959"/>
      <c r="AL312" s="959"/>
      <c r="AM312" s="959"/>
      <c r="AN312" s="959"/>
      <c r="AO312" s="959"/>
      <c r="AP312" s="959"/>
      <c r="AQ312" s="959"/>
      <c r="AR312" s="959"/>
      <c r="AS312" s="959"/>
      <c r="AT312" s="959"/>
      <c r="AU312" s="959"/>
      <c r="AV312" s="959"/>
      <c r="AW312" s="959"/>
      <c r="AX312" s="959"/>
      <c r="AY312" s="959"/>
      <c r="AZ312" s="959"/>
      <c r="BA312" s="959"/>
      <c r="BB312" s="959"/>
      <c r="BC312" s="959"/>
      <c r="BD312" s="959"/>
      <c r="BE312" s="959"/>
      <c r="BF312" s="959"/>
      <c r="BG312" s="959"/>
      <c r="BH312" s="959"/>
      <c r="BI312" s="959"/>
      <c r="BJ312" s="959"/>
      <c r="BK312" s="959"/>
      <c r="BL312" s="959"/>
      <c r="BM312" s="959"/>
      <c r="BN312" s="959"/>
      <c r="BO312" s="959"/>
      <c r="BP312" s="841"/>
    </row>
    <row r="313" spans="1:68">
      <c r="A313" s="786">
        <v>168</v>
      </c>
      <c r="B313" s="1936"/>
      <c r="C313" s="1930"/>
      <c r="D313" s="1918" t="s">
        <v>4548</v>
      </c>
      <c r="E313" s="974" t="s">
        <v>4519</v>
      </c>
      <c r="F313" s="849"/>
      <c r="G313" s="891" t="s">
        <v>4508</v>
      </c>
      <c r="H313" s="959"/>
      <c r="I313" s="959"/>
      <c r="J313" s="959"/>
      <c r="K313" s="959"/>
      <c r="L313" s="967">
        <f t="shared" ca="1" si="106"/>
        <v>0</v>
      </c>
      <c r="M313" s="967">
        <f t="shared" ca="1" si="106"/>
        <v>0</v>
      </c>
      <c r="N313" s="967">
        <f t="shared" ca="1" si="106"/>
        <v>0</v>
      </c>
      <c r="O313" s="967">
        <f t="shared" ca="1" si="106"/>
        <v>0</v>
      </c>
      <c r="P313" s="967">
        <f t="shared" ca="1" si="106"/>
        <v>0</v>
      </c>
      <c r="Q313" s="967">
        <f t="shared" ca="1" si="106"/>
        <v>0</v>
      </c>
      <c r="R313" s="967">
        <f t="shared" ca="1" si="106"/>
        <v>0</v>
      </c>
      <c r="S313" s="967">
        <f t="shared" ca="1" si="106"/>
        <v>0</v>
      </c>
      <c r="T313" s="967">
        <f t="shared" ca="1" si="106"/>
        <v>0</v>
      </c>
      <c r="U313" s="967">
        <f t="shared" ca="1" si="106"/>
        <v>0</v>
      </c>
      <c r="V313" s="967">
        <f t="shared" ca="1" si="106"/>
        <v>0</v>
      </c>
      <c r="W313" s="967">
        <f t="shared" ca="1" si="106"/>
        <v>0</v>
      </c>
      <c r="X313" s="959"/>
      <c r="Y313" s="959"/>
      <c r="Z313" s="959"/>
      <c r="AA313" s="959"/>
      <c r="AB313" s="959"/>
      <c r="AC313" s="959"/>
      <c r="AD313" s="959"/>
      <c r="AE313" s="959"/>
      <c r="AF313" s="959"/>
      <c r="AG313" s="959"/>
      <c r="AH313" s="959"/>
      <c r="AI313" s="959"/>
      <c r="AJ313" s="959"/>
      <c r="AK313" s="959"/>
      <c r="AL313" s="959"/>
      <c r="AM313" s="959"/>
      <c r="AN313" s="959"/>
      <c r="AO313" s="959"/>
      <c r="AP313" s="959"/>
      <c r="AQ313" s="959"/>
      <c r="AR313" s="959"/>
      <c r="AS313" s="959"/>
      <c r="AT313" s="959"/>
      <c r="AU313" s="959"/>
      <c r="AV313" s="959"/>
      <c r="AW313" s="959"/>
      <c r="AX313" s="959"/>
      <c r="AY313" s="959"/>
      <c r="AZ313" s="959"/>
      <c r="BA313" s="959"/>
      <c r="BB313" s="959"/>
      <c r="BC313" s="959"/>
      <c r="BD313" s="959"/>
      <c r="BE313" s="959"/>
      <c r="BF313" s="959"/>
      <c r="BG313" s="959"/>
      <c r="BH313" s="959"/>
      <c r="BI313" s="959"/>
      <c r="BJ313" s="959"/>
      <c r="BK313" s="959"/>
      <c r="BL313" s="959"/>
      <c r="BM313" s="959"/>
      <c r="BN313" s="959"/>
      <c r="BO313" s="959"/>
      <c r="BP313" s="841"/>
    </row>
    <row r="314" spans="1:68" ht="21">
      <c r="B314" s="1936"/>
      <c r="C314" s="1930"/>
      <c r="D314" s="1920"/>
      <c r="E314" s="974" t="s">
        <v>4520</v>
      </c>
      <c r="F314" s="849"/>
      <c r="G314" s="891" t="s">
        <v>4685</v>
      </c>
      <c r="H314" s="959"/>
      <c r="I314" s="959"/>
      <c r="J314" s="959"/>
      <c r="K314" s="959"/>
      <c r="L314" s="967">
        <f t="shared" ca="1" si="106"/>
        <v>0</v>
      </c>
      <c r="M314" s="967">
        <f t="shared" ca="1" si="106"/>
        <v>0</v>
      </c>
      <c r="N314" s="967">
        <f t="shared" ca="1" si="106"/>
        <v>0</v>
      </c>
      <c r="O314" s="967">
        <f t="shared" ca="1" si="106"/>
        <v>0</v>
      </c>
      <c r="P314" s="967">
        <f t="shared" ca="1" si="106"/>
        <v>0</v>
      </c>
      <c r="Q314" s="967">
        <f t="shared" ca="1" si="106"/>
        <v>0</v>
      </c>
      <c r="R314" s="967">
        <f t="shared" ca="1" si="106"/>
        <v>0</v>
      </c>
      <c r="S314" s="967">
        <f t="shared" ca="1" si="106"/>
        <v>0</v>
      </c>
      <c r="T314" s="967">
        <f t="shared" ca="1" si="106"/>
        <v>0</v>
      </c>
      <c r="U314" s="967">
        <f t="shared" ca="1" si="106"/>
        <v>0</v>
      </c>
      <c r="V314" s="967">
        <f t="shared" ca="1" si="106"/>
        <v>0</v>
      </c>
      <c r="W314" s="967">
        <f t="shared" ca="1" si="106"/>
        <v>0</v>
      </c>
      <c r="X314" s="959"/>
      <c r="Y314" s="959"/>
      <c r="Z314" s="959"/>
      <c r="AA314" s="959"/>
      <c r="AB314" s="959"/>
      <c r="AC314" s="959"/>
      <c r="AD314" s="959"/>
      <c r="AE314" s="959"/>
      <c r="AF314" s="959"/>
      <c r="AG314" s="959"/>
      <c r="AH314" s="959"/>
      <c r="AI314" s="959"/>
      <c r="AJ314" s="959"/>
      <c r="AK314" s="959"/>
      <c r="AL314" s="959"/>
      <c r="AM314" s="959"/>
      <c r="AN314" s="959"/>
      <c r="AO314" s="959"/>
      <c r="AP314" s="959"/>
      <c r="AQ314" s="959"/>
      <c r="AR314" s="959"/>
      <c r="AS314" s="959"/>
      <c r="AT314" s="959"/>
      <c r="AU314" s="959"/>
      <c r="AV314" s="959"/>
      <c r="AW314" s="959"/>
      <c r="AX314" s="959"/>
      <c r="AY314" s="959"/>
      <c r="AZ314" s="959"/>
      <c r="BA314" s="959"/>
      <c r="BB314" s="959"/>
      <c r="BC314" s="959"/>
      <c r="BD314" s="959"/>
      <c r="BE314" s="959"/>
      <c r="BF314" s="959"/>
      <c r="BG314" s="959"/>
      <c r="BH314" s="959"/>
      <c r="BI314" s="959"/>
      <c r="BJ314" s="959"/>
      <c r="BK314" s="959"/>
      <c r="BL314" s="959"/>
      <c r="BM314" s="959"/>
      <c r="BN314" s="959"/>
      <c r="BO314" s="959"/>
      <c r="BP314" s="841"/>
    </row>
    <row r="315" spans="1:68">
      <c r="B315" s="1936"/>
      <c r="C315" s="1930"/>
      <c r="D315" s="1932" t="s">
        <v>4454</v>
      </c>
      <c r="E315" s="974" t="s">
        <v>4519</v>
      </c>
      <c r="F315" s="849" t="s">
        <v>4561</v>
      </c>
      <c r="G315" s="891" t="s">
        <v>4508</v>
      </c>
      <c r="H315" s="959"/>
      <c r="I315" s="959"/>
      <c r="J315" s="959"/>
      <c r="K315" s="959"/>
      <c r="L315" s="967">
        <f t="shared" ca="1" si="106"/>
        <v>0</v>
      </c>
      <c r="M315" s="967">
        <f t="shared" ca="1" si="106"/>
        <v>0</v>
      </c>
      <c r="N315" s="967">
        <f t="shared" ca="1" si="106"/>
        <v>0</v>
      </c>
      <c r="O315" s="967">
        <f t="shared" ca="1" si="106"/>
        <v>0</v>
      </c>
      <c r="P315" s="967">
        <f t="shared" ca="1" si="106"/>
        <v>0</v>
      </c>
      <c r="Q315" s="967">
        <f t="shared" ca="1" si="106"/>
        <v>0</v>
      </c>
      <c r="R315" s="967">
        <f t="shared" ca="1" si="106"/>
        <v>0</v>
      </c>
      <c r="S315" s="967">
        <f t="shared" ca="1" si="106"/>
        <v>0</v>
      </c>
      <c r="T315" s="967">
        <f t="shared" ca="1" si="106"/>
        <v>0</v>
      </c>
      <c r="U315" s="967">
        <f t="shared" ca="1" si="106"/>
        <v>0</v>
      </c>
      <c r="V315" s="967">
        <f t="shared" ca="1" si="106"/>
        <v>0</v>
      </c>
      <c r="W315" s="967">
        <f t="shared" ca="1" si="106"/>
        <v>0</v>
      </c>
      <c r="X315" s="959"/>
      <c r="Y315" s="959"/>
      <c r="Z315" s="959"/>
      <c r="AA315" s="959"/>
      <c r="AB315" s="959"/>
      <c r="AC315" s="959"/>
      <c r="AD315" s="959"/>
      <c r="AE315" s="959"/>
      <c r="AF315" s="959"/>
      <c r="AG315" s="959"/>
      <c r="AH315" s="959"/>
      <c r="AI315" s="959"/>
      <c r="AJ315" s="959"/>
      <c r="AK315" s="959"/>
      <c r="AL315" s="959"/>
      <c r="AM315" s="959"/>
      <c r="AN315" s="959"/>
      <c r="AO315" s="959"/>
      <c r="AP315" s="959"/>
      <c r="AQ315" s="959"/>
      <c r="AR315" s="959"/>
      <c r="AS315" s="959"/>
      <c r="AT315" s="959"/>
      <c r="AU315" s="959"/>
      <c r="AV315" s="959"/>
      <c r="AW315" s="959"/>
      <c r="AX315" s="959"/>
      <c r="AY315" s="959"/>
      <c r="AZ315" s="959"/>
      <c r="BA315" s="959"/>
      <c r="BB315" s="959"/>
      <c r="BC315" s="959"/>
      <c r="BD315" s="959"/>
      <c r="BE315" s="959"/>
      <c r="BF315" s="959"/>
      <c r="BG315" s="959"/>
      <c r="BH315" s="959"/>
      <c r="BI315" s="959"/>
      <c r="BJ315" s="959"/>
      <c r="BK315" s="959"/>
      <c r="BL315" s="959"/>
      <c r="BM315" s="959"/>
      <c r="BN315" s="959"/>
      <c r="BO315" s="959"/>
      <c r="BP315" s="841"/>
    </row>
    <row r="316" spans="1:68" ht="21">
      <c r="B316" s="1936"/>
      <c r="C316" s="1931"/>
      <c r="D316" s="1933"/>
      <c r="E316" s="974" t="s">
        <v>4520</v>
      </c>
      <c r="F316" s="849" t="s">
        <v>4562</v>
      </c>
      <c r="G316" s="891" t="s">
        <v>4685</v>
      </c>
      <c r="H316" s="959"/>
      <c r="I316" s="959"/>
      <c r="J316" s="959"/>
      <c r="K316" s="959"/>
      <c r="L316" s="967">
        <f ca="1">L271</f>
        <v>0</v>
      </c>
      <c r="M316" s="967">
        <f t="shared" ca="1" si="106"/>
        <v>0</v>
      </c>
      <c r="N316" s="967">
        <f t="shared" ca="1" si="106"/>
        <v>0</v>
      </c>
      <c r="O316" s="967">
        <f t="shared" ca="1" si="106"/>
        <v>0</v>
      </c>
      <c r="P316" s="967">
        <f t="shared" ca="1" si="106"/>
        <v>0</v>
      </c>
      <c r="Q316" s="967">
        <f t="shared" ca="1" si="106"/>
        <v>0</v>
      </c>
      <c r="R316" s="967">
        <f t="shared" ca="1" si="106"/>
        <v>0</v>
      </c>
      <c r="S316" s="967">
        <f t="shared" ca="1" si="106"/>
        <v>0</v>
      </c>
      <c r="T316" s="967">
        <f t="shared" ca="1" si="106"/>
        <v>0</v>
      </c>
      <c r="U316" s="967">
        <f t="shared" ca="1" si="106"/>
        <v>0</v>
      </c>
      <c r="V316" s="967">
        <f t="shared" ca="1" si="106"/>
        <v>0</v>
      </c>
      <c r="W316" s="967">
        <f t="shared" ca="1" si="106"/>
        <v>0</v>
      </c>
      <c r="X316" s="959"/>
      <c r="Y316" s="959"/>
      <c r="Z316" s="959"/>
      <c r="AA316" s="959"/>
      <c r="AB316" s="959"/>
      <c r="AC316" s="959"/>
      <c r="AD316" s="959"/>
      <c r="AE316" s="959"/>
      <c r="AF316" s="959"/>
      <c r="AG316" s="959"/>
      <c r="AH316" s="959"/>
      <c r="AI316" s="959"/>
      <c r="AJ316" s="959"/>
      <c r="AK316" s="959"/>
      <c r="AL316" s="959"/>
      <c r="AM316" s="959"/>
      <c r="AN316" s="959"/>
      <c r="AO316" s="959"/>
      <c r="AP316" s="959"/>
      <c r="AQ316" s="959"/>
      <c r="AR316" s="959"/>
      <c r="AS316" s="959"/>
      <c r="AT316" s="959"/>
      <c r="AU316" s="959"/>
      <c r="AV316" s="959"/>
      <c r="AW316" s="959"/>
      <c r="AX316" s="959"/>
      <c r="AY316" s="959"/>
      <c r="AZ316" s="959"/>
      <c r="BA316" s="959"/>
      <c r="BB316" s="959"/>
      <c r="BC316" s="959"/>
      <c r="BD316" s="959"/>
      <c r="BE316" s="959"/>
      <c r="BF316" s="959"/>
      <c r="BG316" s="959"/>
      <c r="BH316" s="959"/>
      <c r="BI316" s="959"/>
      <c r="BJ316" s="959"/>
      <c r="BK316" s="959"/>
      <c r="BL316" s="959"/>
      <c r="BM316" s="959"/>
      <c r="BN316" s="959"/>
      <c r="BO316" s="959"/>
      <c r="BP316" s="841"/>
    </row>
    <row r="317" spans="1:68" ht="21">
      <c r="B317" s="1936"/>
      <c r="C317" s="997" t="s">
        <v>4541</v>
      </c>
      <c r="D317" s="999"/>
      <c r="E317" s="975"/>
      <c r="F317" s="849"/>
      <c r="G317" s="891" t="s">
        <v>4685</v>
      </c>
      <c r="H317" s="959"/>
      <c r="I317" s="959"/>
      <c r="J317" s="959"/>
      <c r="K317" s="959"/>
      <c r="L317" s="954">
        <f ca="1">ROUNDDOWN(IF(L298+L303+L316&gt;=L295,L295,L298+L303+L316),0)</f>
        <v>0</v>
      </c>
      <c r="M317" s="954">
        <f t="shared" ref="M317:W317" ca="1" si="107">ROUNDDOWN(IF(M298+M303+M316&gt;=M295,M295,M298+M303+M316),0)</f>
        <v>0</v>
      </c>
      <c r="N317" s="954">
        <f t="shared" ca="1" si="107"/>
        <v>0</v>
      </c>
      <c r="O317" s="954">
        <f t="shared" ca="1" si="107"/>
        <v>0</v>
      </c>
      <c r="P317" s="954">
        <f t="shared" ca="1" si="107"/>
        <v>0</v>
      </c>
      <c r="Q317" s="954">
        <f t="shared" ca="1" si="107"/>
        <v>0</v>
      </c>
      <c r="R317" s="954">
        <f t="shared" ca="1" si="107"/>
        <v>0</v>
      </c>
      <c r="S317" s="954">
        <f t="shared" ca="1" si="107"/>
        <v>0</v>
      </c>
      <c r="T317" s="954">
        <f t="shared" ca="1" si="107"/>
        <v>0</v>
      </c>
      <c r="U317" s="954">
        <f t="shared" ca="1" si="107"/>
        <v>0</v>
      </c>
      <c r="V317" s="954">
        <f t="shared" ca="1" si="107"/>
        <v>0</v>
      </c>
      <c r="W317" s="954">
        <f t="shared" ca="1" si="107"/>
        <v>0</v>
      </c>
      <c r="X317" s="959"/>
      <c r="Y317" s="959"/>
      <c r="Z317" s="959"/>
      <c r="AA317" s="959"/>
      <c r="AB317" s="959"/>
      <c r="AC317" s="959"/>
      <c r="AD317" s="959"/>
      <c r="AE317" s="959"/>
      <c r="AF317" s="959"/>
      <c r="AG317" s="959"/>
      <c r="AH317" s="959"/>
      <c r="AI317" s="959"/>
      <c r="AJ317" s="959"/>
      <c r="AK317" s="959"/>
      <c r="AL317" s="959"/>
      <c r="AM317" s="959"/>
      <c r="AN317" s="959"/>
      <c r="AO317" s="959"/>
      <c r="AP317" s="959"/>
      <c r="AQ317" s="959"/>
      <c r="AR317" s="959"/>
      <c r="AS317" s="959"/>
      <c r="AT317" s="959"/>
      <c r="AU317" s="959"/>
      <c r="AV317" s="959"/>
      <c r="AW317" s="959"/>
      <c r="AX317" s="959"/>
      <c r="AY317" s="959"/>
      <c r="AZ317" s="959"/>
      <c r="BA317" s="959"/>
      <c r="BB317" s="959"/>
      <c r="BC317" s="959"/>
      <c r="BD317" s="959"/>
      <c r="BE317" s="959"/>
      <c r="BF317" s="959"/>
      <c r="BG317" s="959"/>
      <c r="BH317" s="959"/>
      <c r="BI317" s="959"/>
      <c r="BJ317" s="959"/>
      <c r="BK317" s="959"/>
      <c r="BL317" s="959"/>
      <c r="BM317" s="959"/>
      <c r="BN317" s="959"/>
      <c r="BO317" s="959"/>
      <c r="BP317" s="841"/>
    </row>
    <row r="318" spans="1:68" ht="21">
      <c r="B318" s="968" t="s">
        <v>4480</v>
      </c>
      <c r="C318" s="910"/>
      <c r="D318" s="892"/>
      <c r="E318" s="1001" t="s">
        <v>4563</v>
      </c>
      <c r="F318" s="901"/>
      <c r="G318" s="891" t="s">
        <v>4685</v>
      </c>
      <c r="H318" s="959"/>
      <c r="I318" s="959"/>
      <c r="J318" s="959"/>
      <c r="K318" s="959"/>
      <c r="L318" s="966">
        <f ca="1">IF(L294+L295-L296-L297-L300-L307-L308-L317&gt;0,ROUND(ROUNDDOWN(L294+L295-L296-L297-L300-L307-L308-L317,0),2-INT(LOG(ROUNDDOWN(L294+L295-L296-L297-L300-L307-L308-L317,0)))),0)</f>
        <v>0</v>
      </c>
      <c r="M318" s="966">
        <f t="shared" ref="M318" ca="1" si="108">IF(M294+M295-M296-M297-M300-M307-M308-M317&gt;0,ROUND(ROUNDDOWN(M294+M295-M296-M297-M300-M307-M308-M317,0),2-INT(LOG(ROUNDDOWN(M294+M295-M296-M297-M300-M307-M308-M317,0)))),0)</f>
        <v>0</v>
      </c>
      <c r="N318" s="966">
        <f ca="1">IF(N294+N295-N296-N297-N302-N307-N308-N317&gt;0,ROUND(ROUNDDOWN(N294+N295-N296-N297-N302-N307-N308-N317,0),2-INT(LOG(ROUNDDOWN(N294+N295-N296-N297-N302-N307-N308-N317,0)))),0)</f>
        <v>0</v>
      </c>
      <c r="O318" s="966">
        <f t="shared" ref="O318:W318" ca="1" si="109">IF(O294+O295-O296-O297-O302-O307-O308-O317&gt;0,ROUND(ROUNDDOWN(O294+O295-O296-O297-O302-O307-O308-O317,0),2-INT(LOG(ROUNDDOWN(O294+O295-O296-O297-O302-O307-O308-O317,0)))),0)</f>
        <v>0</v>
      </c>
      <c r="P318" s="966">
        <f t="shared" ca="1" si="109"/>
        <v>0</v>
      </c>
      <c r="Q318" s="966">
        <f t="shared" ca="1" si="109"/>
        <v>0</v>
      </c>
      <c r="R318" s="966">
        <f t="shared" ca="1" si="109"/>
        <v>0</v>
      </c>
      <c r="S318" s="966">
        <f t="shared" ca="1" si="109"/>
        <v>0</v>
      </c>
      <c r="T318" s="966">
        <f t="shared" ca="1" si="109"/>
        <v>0</v>
      </c>
      <c r="U318" s="966">
        <f t="shared" ca="1" si="109"/>
        <v>0</v>
      </c>
      <c r="V318" s="966">
        <f t="shared" ca="1" si="109"/>
        <v>0</v>
      </c>
      <c r="W318" s="966">
        <f t="shared" ca="1" si="109"/>
        <v>0</v>
      </c>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59"/>
      <c r="BI318" s="959"/>
      <c r="BJ318" s="959"/>
      <c r="BK318" s="959"/>
      <c r="BL318" s="959"/>
      <c r="BM318" s="959"/>
      <c r="BN318" s="959"/>
      <c r="BO318" s="959"/>
      <c r="BP318" s="841"/>
    </row>
    <row r="319" spans="1:68" ht="20.100000000000001" customHeight="1">
      <c r="A319" s="819" t="s">
        <v>4036</v>
      </c>
      <c r="B319" s="819" t="s">
        <v>4564</v>
      </c>
      <c r="C319" s="820"/>
      <c r="D319" s="820"/>
      <c r="E319" s="820"/>
      <c r="F319" s="820"/>
      <c r="G319" s="821"/>
      <c r="H319" s="821"/>
      <c r="I319" s="821"/>
      <c r="J319" s="821"/>
      <c r="K319" s="821"/>
      <c r="L319" s="918"/>
      <c r="M319" s="918"/>
      <c r="N319" s="918"/>
      <c r="O319" s="918"/>
      <c r="P319" s="918"/>
      <c r="Q319" s="918"/>
      <c r="R319" s="918"/>
      <c r="S319" s="918"/>
      <c r="T319" s="918"/>
      <c r="U319" s="918"/>
      <c r="V319" s="918"/>
      <c r="W319" s="918"/>
      <c r="X319" s="918"/>
      <c r="Y319" s="918"/>
      <c r="Z319" s="918"/>
      <c r="AA319" s="918"/>
      <c r="AB319" s="918"/>
      <c r="AC319" s="918"/>
      <c r="AD319" s="918"/>
      <c r="AE319" s="918"/>
      <c r="AF319" s="918"/>
      <c r="AG319" s="918"/>
      <c r="AH319" s="918"/>
      <c r="AI319" s="918"/>
      <c r="AJ319" s="918"/>
      <c r="AK319" s="918"/>
      <c r="AL319" s="918"/>
      <c r="AM319" s="918"/>
      <c r="AN319" s="918"/>
      <c r="AO319" s="918"/>
      <c r="AP319" s="918"/>
      <c r="AQ319" s="918"/>
      <c r="AR319" s="918"/>
      <c r="AS319" s="918"/>
      <c r="AT319" s="918"/>
      <c r="AU319" s="918"/>
      <c r="AV319" s="918"/>
      <c r="AW319" s="918"/>
      <c r="AX319" s="918"/>
      <c r="AY319" s="918"/>
      <c r="AZ319" s="918"/>
      <c r="BA319" s="918"/>
      <c r="BB319" s="918"/>
      <c r="BC319" s="918"/>
      <c r="BD319" s="918"/>
      <c r="BE319" s="918"/>
      <c r="BF319" s="918"/>
      <c r="BG319" s="918"/>
      <c r="BH319" s="918"/>
      <c r="BI319" s="918"/>
      <c r="BJ319" s="918"/>
      <c r="BK319" s="918"/>
      <c r="BL319" s="918"/>
      <c r="BM319" s="918"/>
      <c r="BN319" s="918"/>
      <c r="BO319" s="918"/>
    </row>
    <row r="320" spans="1:68" ht="20.100000000000001" customHeight="1">
      <c r="B320" s="819" t="s">
        <v>4388</v>
      </c>
      <c r="C320" s="820"/>
      <c r="D320" s="820"/>
      <c r="E320" s="820"/>
      <c r="F320" s="820"/>
      <c r="G320" s="821"/>
      <c r="H320" s="821"/>
      <c r="I320" s="821"/>
      <c r="J320" s="821"/>
      <c r="K320" s="821"/>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918"/>
      <c r="BJ320" s="918"/>
      <c r="BK320" s="918"/>
      <c r="BL320" s="918"/>
      <c r="BM320" s="918"/>
      <c r="BN320" s="918"/>
      <c r="BO320" s="918"/>
    </row>
    <row r="321" spans="1:67" ht="20.100000000000001" customHeight="1">
      <c r="A321" s="952">
        <v>8</v>
      </c>
      <c r="B321" s="1869" t="s">
        <v>4389</v>
      </c>
      <c r="C321" s="1872" t="s">
        <v>4390</v>
      </c>
      <c r="D321" s="824" t="s">
        <v>4143</v>
      </c>
      <c r="E321" s="824"/>
      <c r="F321" s="825"/>
      <c r="G321" s="891" t="s">
        <v>4685</v>
      </c>
      <c r="H321" s="953">
        <f t="shared" ref="H321:H379" ca="1" si="110">IFERROR(OFFSET(貼付け_2024実績,$A321,6),"")</f>
        <v>1.9E-2</v>
      </c>
      <c r="I321" s="953">
        <f t="shared" ref="I321:I379" ca="1" si="111">IFERROR(OFFSET(貼付け_2025実績,$A321,6),"")</f>
        <v>1.9E-2</v>
      </c>
      <c r="J321" s="953">
        <f t="shared" ref="J321:J379" ca="1" si="112">IFERROR(OFFSET(貼付け_2026実績,$A321,6),"")</f>
        <v>1.9E-2</v>
      </c>
      <c r="K321" s="953">
        <f t="shared" ref="K321:K379" ca="1" si="113">IFERROR(OFFSET(貼付け_2027実績,$A321,6),"")</f>
        <v>1.9E-2</v>
      </c>
      <c r="L321" s="954">
        <f ca="1">IFERROR($H321*44/12*参考2_エネ使用量経年!$H171*(参考2_エネ使用量経年!L171+参考2_エネ使用量経年!L258),"")</f>
        <v>0</v>
      </c>
      <c r="M321" s="954">
        <f ca="1">IFERROR($I321*44/12*参考2_エネ使用量経年!$I171*(参考2_エネ使用量経年!M171+参考2_エネ使用量経年!M258),"")</f>
        <v>0</v>
      </c>
      <c r="N321" s="954">
        <f ca="1">IFERROR($J321*44/12*参考2_エネ使用量経年!$J171*(参考2_エネ使用量経年!N171+参考2_エネ使用量経年!N258),"")</f>
        <v>0</v>
      </c>
      <c r="O321" s="954">
        <f ca="1">IFERROR($K321*44/12*参考2_エネ使用量経年!$K171*(参考2_エネ使用量経年!O171+参考2_エネ使用量経年!O258),"")</f>
        <v>0</v>
      </c>
      <c r="P321" s="954">
        <f ca="1">IFERROR($H321*44/12*参考2_エネ使用量経年!$H171*(参考2_エネ使用量経年!P171+参考2_エネ使用量経年!P258),"")</f>
        <v>0</v>
      </c>
      <c r="Q321" s="954">
        <f ca="1">IFERROR($I321*44/12*参考2_エネ使用量経年!$I171*(参考2_エネ使用量経年!Q171+参考2_エネ使用量経年!Q258),"")</f>
        <v>0</v>
      </c>
      <c r="R321" s="954">
        <f ca="1">IFERROR($J321*44/12*参考2_エネ使用量経年!$J171*(参考2_エネ使用量経年!R171+参考2_エネ使用量経年!R258),"")</f>
        <v>0</v>
      </c>
      <c r="S321" s="954">
        <f ca="1">IFERROR($K321*44/12*参考2_エネ使用量経年!$K171*(参考2_エネ使用量経年!S171+参考2_エネ使用量経年!S258),"")</f>
        <v>0</v>
      </c>
      <c r="T321" s="954">
        <f ca="1">IFERROR($H321*44/12*参考2_エネ使用量経年!$H171*(参考2_エネ使用量経年!T171+参考2_エネ使用量経年!T258),"")</f>
        <v>0</v>
      </c>
      <c r="U321" s="954">
        <f ca="1">IFERROR($I321*44/12*参考2_エネ使用量経年!$I171*(参考2_エネ使用量経年!U171+参考2_エネ使用量経年!U258),"")</f>
        <v>0</v>
      </c>
      <c r="V321" s="954">
        <f ca="1">IFERROR($J321*44/12*参考2_エネ使用量経年!$J171*(参考2_エネ使用量経年!V171+参考2_エネ使用量経年!V258),"")</f>
        <v>0</v>
      </c>
      <c r="W321" s="954">
        <f ca="1">IFERROR($K321*44/12*参考2_エネ使用量経年!$K171*(参考2_エネ使用量経年!W171+参考2_エネ使用量経年!W258),"")</f>
        <v>0</v>
      </c>
      <c r="X321" s="954">
        <f ca="1">IFERROR($H321*44/12*参考2_エネ使用量経年!$H171*(参考2_エネ使用量経年!X171+参考2_エネ使用量経年!X258),"")</f>
        <v>0</v>
      </c>
      <c r="Y321" s="954">
        <f ca="1">IFERROR($I321*44/12*参考2_エネ使用量経年!$I171*(参考2_エネ使用量経年!Y171+参考2_エネ使用量経年!Y258),"")</f>
        <v>0</v>
      </c>
      <c r="Z321" s="954">
        <f ca="1">IFERROR($J321*44/12*参考2_エネ使用量経年!$J171*(参考2_エネ使用量経年!Z171+参考2_エネ使用量経年!Z258),"")</f>
        <v>0</v>
      </c>
      <c r="AA321" s="954">
        <f ca="1">IFERROR($K321*44/12*参考2_エネ使用量経年!$K171*(参考2_エネ使用量経年!AA171+参考2_エネ使用量経年!AA258),"")</f>
        <v>0</v>
      </c>
      <c r="AB321" s="954" t="str">
        <f ca="1">IFERROR($H321*44/12*参考2_エネ使用量経年!$H171*(参考2_エネ使用量経年!AB171+参考2_エネ使用量経年!AB258),"")</f>
        <v/>
      </c>
      <c r="AC321" s="954" t="str">
        <f ca="1">IFERROR($I321*44/12*参考2_エネ使用量経年!$I171*(参考2_エネ使用量経年!AC171+参考2_エネ使用量経年!AC258),"")</f>
        <v/>
      </c>
      <c r="AD321" s="954" t="str">
        <f ca="1">IFERROR($J321*44/12*参考2_エネ使用量経年!$J171*(参考2_エネ使用量経年!AD171+参考2_エネ使用量経年!AD258),"")</f>
        <v/>
      </c>
      <c r="AE321" s="954" t="str">
        <f ca="1">IFERROR($K321*44/12*参考2_エネ使用量経年!$K171*(参考2_エネ使用量経年!AE171+参考2_エネ使用量経年!AE258),"")</f>
        <v/>
      </c>
      <c r="AF321" s="954" t="str">
        <f ca="1">IFERROR($H321*44/12*参考2_エネ使用量経年!$H171*(参考2_エネ使用量経年!AF171+参考2_エネ使用量経年!AF258),"")</f>
        <v/>
      </c>
      <c r="AG321" s="954" t="str">
        <f ca="1">IFERROR($I321*44/12*参考2_エネ使用量経年!$I171*(参考2_エネ使用量経年!AG171+参考2_エネ使用量経年!AG258),"")</f>
        <v/>
      </c>
      <c r="AH321" s="954" t="str">
        <f ca="1">IFERROR($J321*44/12*参考2_エネ使用量経年!$J171*(参考2_エネ使用量経年!AH171+参考2_エネ使用量経年!AH258),"")</f>
        <v/>
      </c>
      <c r="AI321" s="954" t="str">
        <f ca="1">IFERROR($K321*44/12*参考2_エネ使用量経年!$K171*(参考2_エネ使用量経年!AI171+参考2_エネ使用量経年!AI258),"")</f>
        <v/>
      </c>
      <c r="AJ321" s="954" t="str">
        <f ca="1">IFERROR($H321*44/12*参考2_エネ使用量経年!$H171*(参考2_エネ使用量経年!AJ171+参考2_エネ使用量経年!AJ258),"")</f>
        <v/>
      </c>
      <c r="AK321" s="954" t="str">
        <f ca="1">IFERROR($I321*44/12*参考2_エネ使用量経年!$I171*(参考2_エネ使用量経年!AK171+参考2_エネ使用量経年!AK258),"")</f>
        <v/>
      </c>
      <c r="AL321" s="954" t="str">
        <f ca="1">IFERROR($J321*44/12*参考2_エネ使用量経年!$J171*(参考2_エネ使用量経年!AL171+参考2_エネ使用量経年!AL258),"")</f>
        <v/>
      </c>
      <c r="AM321" s="954" t="str">
        <f ca="1">IFERROR($K321*44/12*参考2_エネ使用量経年!$K171*(参考2_エネ使用量経年!AM171+参考2_エネ使用量経年!AM258),"")</f>
        <v/>
      </c>
      <c r="AN321" s="954" t="str">
        <f ca="1">IFERROR($H321*44/12*参考2_エネ使用量経年!$H171*(参考2_エネ使用量経年!AN171+参考2_エネ使用量経年!AN258),"")</f>
        <v/>
      </c>
      <c r="AO321" s="954" t="str">
        <f ca="1">IFERROR($I321*44/12*参考2_エネ使用量経年!$I171*(参考2_エネ使用量経年!AO171+参考2_エネ使用量経年!AO258),"")</f>
        <v/>
      </c>
      <c r="AP321" s="954" t="str">
        <f ca="1">IFERROR($J321*44/12*参考2_エネ使用量経年!$J171*(参考2_エネ使用量経年!AP171+参考2_エネ使用量経年!AP258),"")</f>
        <v/>
      </c>
      <c r="AQ321" s="954" t="str">
        <f ca="1">IFERROR($K321*44/12*参考2_エネ使用量経年!$K171*(参考2_エネ使用量経年!AQ171+参考2_エネ使用量経年!AQ258),"")</f>
        <v/>
      </c>
      <c r="AR321" s="954" t="str">
        <f ca="1">IFERROR($H321*44/12*参考2_エネ使用量経年!$H171*(参考2_エネ使用量経年!AR171+参考2_エネ使用量経年!AR258),"")</f>
        <v/>
      </c>
      <c r="AS321" s="954" t="str">
        <f ca="1">IFERROR($I321*44/12*参考2_エネ使用量経年!$I171*(参考2_エネ使用量経年!AS171+参考2_エネ使用量経年!AS258),"")</f>
        <v/>
      </c>
      <c r="AT321" s="954" t="str">
        <f ca="1">IFERROR($J321*44/12*参考2_エネ使用量経年!$J171*(参考2_エネ使用量経年!AT171+参考2_エネ使用量経年!AT258),"")</f>
        <v/>
      </c>
      <c r="AU321" s="954" t="str">
        <f ca="1">IFERROR($K321*44/12*参考2_エネ使用量経年!$K171*(参考2_エネ使用量経年!AU171+参考2_エネ使用量経年!AU258),"")</f>
        <v/>
      </c>
      <c r="AV321" s="954" t="str">
        <f ca="1">IFERROR($H321*44/12*参考2_エネ使用量経年!$H171*(参考2_エネ使用量経年!AV171+参考2_エネ使用量経年!AV258),"")</f>
        <v/>
      </c>
      <c r="AW321" s="954" t="str">
        <f ca="1">IFERROR($I321*44/12*参考2_エネ使用量経年!$I171*(参考2_エネ使用量経年!AW171+参考2_エネ使用量経年!AW258),"")</f>
        <v/>
      </c>
      <c r="AX321" s="954" t="str">
        <f ca="1">IFERROR($J321*44/12*参考2_エネ使用量経年!$J171*(参考2_エネ使用量経年!AX171+参考2_エネ使用量経年!AX258),"")</f>
        <v/>
      </c>
      <c r="AY321" s="954" t="str">
        <f ca="1">IFERROR($K321*44/12*参考2_エネ使用量経年!$K171*(参考2_エネ使用量経年!AY171+参考2_エネ使用量経年!AY258),"")</f>
        <v/>
      </c>
      <c r="AZ321" s="954" t="str">
        <f ca="1">IFERROR($H321*44/12*参考2_エネ使用量経年!$H171*(参考2_エネ使用量経年!AZ171+参考2_エネ使用量経年!AZ258),"")</f>
        <v/>
      </c>
      <c r="BA321" s="954" t="str">
        <f ca="1">IFERROR($I321*44/12*参考2_エネ使用量経年!$I171*(参考2_エネ使用量経年!BA171+参考2_エネ使用量経年!BA258),"")</f>
        <v/>
      </c>
      <c r="BB321" s="954" t="str">
        <f ca="1">IFERROR($J321*44/12*参考2_エネ使用量経年!$J171*(参考2_エネ使用量経年!BB171+参考2_エネ使用量経年!BB258),"")</f>
        <v/>
      </c>
      <c r="BC321" s="954" t="str">
        <f ca="1">IFERROR($K321*44/12*参考2_エネ使用量経年!$K171*(参考2_エネ使用量経年!BC171+参考2_エネ使用量経年!BC258),"")</f>
        <v/>
      </c>
      <c r="BD321" s="954" t="str">
        <f ca="1">IFERROR($H321*44/12*参考2_エネ使用量経年!$H171*(参考2_エネ使用量経年!BD171+参考2_エネ使用量経年!BD258),"")</f>
        <v/>
      </c>
      <c r="BE321" s="954" t="str">
        <f ca="1">IFERROR($I321*44/12*参考2_エネ使用量経年!$I171*(参考2_エネ使用量経年!BE171+参考2_エネ使用量経年!BE258),"")</f>
        <v/>
      </c>
      <c r="BF321" s="954" t="str">
        <f ca="1">IFERROR($J321*44/12*参考2_エネ使用量経年!$J171*(参考2_エネ使用量経年!BF171+参考2_エネ使用量経年!BF258),"")</f>
        <v/>
      </c>
      <c r="BG321" s="954" t="str">
        <f ca="1">IFERROR($K321*44/12*参考2_エネ使用量経年!$K171*(参考2_エネ使用量経年!BG171+参考2_エネ使用量経年!BG258),"")</f>
        <v/>
      </c>
      <c r="BH321" s="954" t="str">
        <f ca="1">IFERROR($H321*44/12*参考2_エネ使用量経年!$H171*(参考2_エネ使用量経年!BH171+参考2_エネ使用量経年!BH258),"")</f>
        <v/>
      </c>
      <c r="BI321" s="954" t="str">
        <f ca="1">IFERROR($I321*44/12*参考2_エネ使用量経年!$I171*(参考2_エネ使用量経年!BI171+参考2_エネ使用量経年!BI258),"")</f>
        <v/>
      </c>
      <c r="BJ321" s="954" t="str">
        <f ca="1">IFERROR($J321*44/12*参考2_エネ使用量経年!$J171*(参考2_エネ使用量経年!BJ171+参考2_エネ使用量経年!BJ258),"")</f>
        <v/>
      </c>
      <c r="BK321" s="954" t="str">
        <f ca="1">IFERROR($K321*44/12*参考2_エネ使用量経年!$K171*(参考2_エネ使用量経年!BK171+参考2_エネ使用量経年!BK258),"")</f>
        <v/>
      </c>
      <c r="BL321" s="954" t="str">
        <f ca="1">IFERROR($H321*44/12*参考2_エネ使用量経年!$H171*(参考2_エネ使用量経年!BL171+参考2_エネ使用量経年!BL258),"")</f>
        <v/>
      </c>
      <c r="BM321" s="954" t="str">
        <f ca="1">IFERROR($I321*44/12*参考2_エネ使用量経年!$I171*(参考2_エネ使用量経年!BM171+参考2_エネ使用量経年!BM258),"")</f>
        <v/>
      </c>
      <c r="BN321" s="954" t="str">
        <f ca="1">IFERROR($J321*44/12*参考2_エネ使用量経年!$J171*(参考2_エネ使用量経年!BN171+参考2_エネ使用量経年!BN258),"")</f>
        <v/>
      </c>
      <c r="BO321" s="954" t="str">
        <f ca="1">IFERROR($K321*44/12*参考2_エネ使用量経年!$K171*(参考2_エネ使用量経年!BO171+参考2_エネ使用量経年!BO258),"")</f>
        <v/>
      </c>
    </row>
    <row r="322" spans="1:67" ht="20.100000000000001" customHeight="1">
      <c r="A322" s="952">
        <v>9</v>
      </c>
      <c r="B322" s="1870"/>
      <c r="C322" s="1872"/>
      <c r="D322" s="824" t="s">
        <v>4391</v>
      </c>
      <c r="E322" s="824"/>
      <c r="F322" s="825"/>
      <c r="G322" s="891" t="s">
        <v>4685</v>
      </c>
      <c r="H322" s="953">
        <f t="shared" ca="1" si="110"/>
        <v>1.83E-2</v>
      </c>
      <c r="I322" s="953">
        <f t="shared" ca="1" si="111"/>
        <v>1.83E-2</v>
      </c>
      <c r="J322" s="953">
        <f t="shared" ca="1" si="112"/>
        <v>1.83E-2</v>
      </c>
      <c r="K322" s="953">
        <f t="shared" ca="1" si="113"/>
        <v>1.83E-2</v>
      </c>
      <c r="L322" s="954">
        <f ca="1">IFERROR($H322*44/12*参考2_エネ使用量経年!$H172*(参考2_エネ使用量経年!L172+参考2_エネ使用量経年!L259),"")</f>
        <v>0</v>
      </c>
      <c r="M322" s="954">
        <f ca="1">IFERROR($I322*44/12*参考2_エネ使用量経年!$I172*(参考2_エネ使用量経年!M172+参考2_エネ使用量経年!M259),"")</f>
        <v>0</v>
      </c>
      <c r="N322" s="954">
        <f ca="1">IFERROR($J322*44/12*参考2_エネ使用量経年!$J172*(参考2_エネ使用量経年!N172+参考2_エネ使用量経年!N259),"")</f>
        <v>0</v>
      </c>
      <c r="O322" s="954">
        <f ca="1">IFERROR($K322*44/12*参考2_エネ使用量経年!$K172*(参考2_エネ使用量経年!O172+参考2_エネ使用量経年!O259),"")</f>
        <v>0</v>
      </c>
      <c r="P322" s="954">
        <f ca="1">IFERROR($H322*44/12*参考2_エネ使用量経年!$H172*(参考2_エネ使用量経年!P172+参考2_エネ使用量経年!P259),"")</f>
        <v>0</v>
      </c>
      <c r="Q322" s="954">
        <f ca="1">IFERROR($I322*44/12*参考2_エネ使用量経年!$I172*(参考2_エネ使用量経年!Q172+参考2_エネ使用量経年!Q259),"")</f>
        <v>0</v>
      </c>
      <c r="R322" s="954">
        <f ca="1">IFERROR($J322*44/12*参考2_エネ使用量経年!$J172*(参考2_エネ使用量経年!R172+参考2_エネ使用量経年!R259),"")</f>
        <v>0</v>
      </c>
      <c r="S322" s="954">
        <f ca="1">IFERROR($K322*44/12*参考2_エネ使用量経年!$K172*(参考2_エネ使用量経年!S172+参考2_エネ使用量経年!S259),"")</f>
        <v>0</v>
      </c>
      <c r="T322" s="954">
        <f ca="1">IFERROR($H322*44/12*参考2_エネ使用量経年!$H172*(参考2_エネ使用量経年!T172+参考2_エネ使用量経年!T259),"")</f>
        <v>0</v>
      </c>
      <c r="U322" s="954">
        <f ca="1">IFERROR($I322*44/12*参考2_エネ使用量経年!$I172*(参考2_エネ使用量経年!U172+参考2_エネ使用量経年!U259),"")</f>
        <v>0</v>
      </c>
      <c r="V322" s="954">
        <f ca="1">IFERROR($J322*44/12*参考2_エネ使用量経年!$J172*(参考2_エネ使用量経年!V172+参考2_エネ使用量経年!V259),"")</f>
        <v>0</v>
      </c>
      <c r="W322" s="954">
        <f ca="1">IFERROR($K322*44/12*参考2_エネ使用量経年!$K172*(参考2_エネ使用量経年!W172+参考2_エネ使用量経年!W259),"")</f>
        <v>0</v>
      </c>
      <c r="X322" s="954">
        <f ca="1">IFERROR($H322*44/12*参考2_エネ使用量経年!$H172*(参考2_エネ使用量経年!X172+参考2_エネ使用量経年!X259),"")</f>
        <v>0</v>
      </c>
      <c r="Y322" s="954">
        <f ca="1">IFERROR($I322*44/12*参考2_エネ使用量経年!$I172*(参考2_エネ使用量経年!Y172+参考2_エネ使用量経年!Y259),"")</f>
        <v>0</v>
      </c>
      <c r="Z322" s="954">
        <f ca="1">IFERROR($J322*44/12*参考2_エネ使用量経年!$J172*(参考2_エネ使用量経年!Z172+参考2_エネ使用量経年!Z259),"")</f>
        <v>0</v>
      </c>
      <c r="AA322" s="954">
        <f ca="1">IFERROR($K322*44/12*参考2_エネ使用量経年!$K172*(参考2_エネ使用量経年!AA172+参考2_エネ使用量経年!AA259),"")</f>
        <v>0</v>
      </c>
      <c r="AB322" s="954" t="str">
        <f ca="1">IFERROR($H322*44/12*参考2_エネ使用量経年!$H172*(参考2_エネ使用量経年!AB172+参考2_エネ使用量経年!AB259),"")</f>
        <v/>
      </c>
      <c r="AC322" s="954" t="str">
        <f ca="1">IFERROR($I322*44/12*参考2_エネ使用量経年!$I172*(参考2_エネ使用量経年!AC172+参考2_エネ使用量経年!AC259),"")</f>
        <v/>
      </c>
      <c r="AD322" s="954" t="str">
        <f ca="1">IFERROR($J322*44/12*参考2_エネ使用量経年!$J172*(参考2_エネ使用量経年!AD172+参考2_エネ使用量経年!AD259),"")</f>
        <v/>
      </c>
      <c r="AE322" s="954" t="str">
        <f ca="1">IFERROR($K322*44/12*参考2_エネ使用量経年!$K172*(参考2_エネ使用量経年!AE172+参考2_エネ使用量経年!AE259),"")</f>
        <v/>
      </c>
      <c r="AF322" s="954" t="str">
        <f ca="1">IFERROR($H322*44/12*参考2_エネ使用量経年!$H172*(参考2_エネ使用量経年!AF172+参考2_エネ使用量経年!AF259),"")</f>
        <v/>
      </c>
      <c r="AG322" s="954" t="str">
        <f ca="1">IFERROR($I322*44/12*参考2_エネ使用量経年!$I172*(参考2_エネ使用量経年!AG172+参考2_エネ使用量経年!AG259),"")</f>
        <v/>
      </c>
      <c r="AH322" s="954" t="str">
        <f ca="1">IFERROR($J322*44/12*参考2_エネ使用量経年!$J172*(参考2_エネ使用量経年!AH172+参考2_エネ使用量経年!AH259),"")</f>
        <v/>
      </c>
      <c r="AI322" s="954" t="str">
        <f ca="1">IFERROR($K322*44/12*参考2_エネ使用量経年!$K172*(参考2_エネ使用量経年!AI172+参考2_エネ使用量経年!AI259),"")</f>
        <v/>
      </c>
      <c r="AJ322" s="954" t="str">
        <f ca="1">IFERROR($H322*44/12*参考2_エネ使用量経年!$H172*(参考2_エネ使用量経年!AJ172+参考2_エネ使用量経年!AJ259),"")</f>
        <v/>
      </c>
      <c r="AK322" s="954" t="str">
        <f ca="1">IFERROR($I322*44/12*参考2_エネ使用量経年!$I172*(参考2_エネ使用量経年!AK172+参考2_エネ使用量経年!AK259),"")</f>
        <v/>
      </c>
      <c r="AL322" s="954" t="str">
        <f ca="1">IFERROR($J322*44/12*参考2_エネ使用量経年!$J172*(参考2_エネ使用量経年!AL172+参考2_エネ使用量経年!AL259),"")</f>
        <v/>
      </c>
      <c r="AM322" s="954" t="str">
        <f ca="1">IFERROR($K322*44/12*参考2_エネ使用量経年!$K172*(参考2_エネ使用量経年!AM172+参考2_エネ使用量経年!AM259),"")</f>
        <v/>
      </c>
      <c r="AN322" s="954" t="str">
        <f ca="1">IFERROR($H322*44/12*参考2_エネ使用量経年!$H172*(参考2_エネ使用量経年!AN172+参考2_エネ使用量経年!AN259),"")</f>
        <v/>
      </c>
      <c r="AO322" s="954" t="str">
        <f ca="1">IFERROR($I322*44/12*参考2_エネ使用量経年!$I172*(参考2_エネ使用量経年!AO172+参考2_エネ使用量経年!AO259),"")</f>
        <v/>
      </c>
      <c r="AP322" s="954" t="str">
        <f ca="1">IFERROR($J322*44/12*参考2_エネ使用量経年!$J172*(参考2_エネ使用量経年!AP172+参考2_エネ使用量経年!AP259),"")</f>
        <v/>
      </c>
      <c r="AQ322" s="954" t="str">
        <f ca="1">IFERROR($K322*44/12*参考2_エネ使用量経年!$K172*(参考2_エネ使用量経年!AQ172+参考2_エネ使用量経年!AQ259),"")</f>
        <v/>
      </c>
      <c r="AR322" s="954" t="str">
        <f ca="1">IFERROR($H322*44/12*参考2_エネ使用量経年!$H172*(参考2_エネ使用量経年!AR172+参考2_エネ使用量経年!AR259),"")</f>
        <v/>
      </c>
      <c r="AS322" s="954" t="str">
        <f ca="1">IFERROR($I322*44/12*参考2_エネ使用量経年!$I172*(参考2_エネ使用量経年!AS172+参考2_エネ使用量経年!AS259),"")</f>
        <v/>
      </c>
      <c r="AT322" s="954" t="str">
        <f ca="1">IFERROR($J322*44/12*参考2_エネ使用量経年!$J172*(参考2_エネ使用量経年!AT172+参考2_エネ使用量経年!AT259),"")</f>
        <v/>
      </c>
      <c r="AU322" s="954" t="str">
        <f ca="1">IFERROR($K322*44/12*参考2_エネ使用量経年!$K172*(参考2_エネ使用量経年!AU172+参考2_エネ使用量経年!AU259),"")</f>
        <v/>
      </c>
      <c r="AV322" s="954" t="str">
        <f ca="1">IFERROR($H322*44/12*参考2_エネ使用量経年!$H172*(参考2_エネ使用量経年!AV172+参考2_エネ使用量経年!AV259),"")</f>
        <v/>
      </c>
      <c r="AW322" s="954" t="str">
        <f ca="1">IFERROR($I322*44/12*参考2_エネ使用量経年!$I172*(参考2_エネ使用量経年!AW172+参考2_エネ使用量経年!AW259),"")</f>
        <v/>
      </c>
      <c r="AX322" s="954" t="str">
        <f ca="1">IFERROR($J322*44/12*参考2_エネ使用量経年!$J172*(参考2_エネ使用量経年!AX172+参考2_エネ使用量経年!AX259),"")</f>
        <v/>
      </c>
      <c r="AY322" s="954" t="str">
        <f ca="1">IFERROR($K322*44/12*参考2_エネ使用量経年!$K172*(参考2_エネ使用量経年!AY172+参考2_エネ使用量経年!AY259),"")</f>
        <v/>
      </c>
      <c r="AZ322" s="954" t="str">
        <f ca="1">IFERROR($H322*44/12*参考2_エネ使用量経年!$H172*(参考2_エネ使用量経年!AZ172+参考2_エネ使用量経年!AZ259),"")</f>
        <v/>
      </c>
      <c r="BA322" s="954" t="str">
        <f ca="1">IFERROR($I322*44/12*参考2_エネ使用量経年!$I172*(参考2_エネ使用量経年!BA172+参考2_エネ使用量経年!BA259),"")</f>
        <v/>
      </c>
      <c r="BB322" s="954" t="str">
        <f ca="1">IFERROR($J322*44/12*参考2_エネ使用量経年!$J172*(参考2_エネ使用量経年!BB172+参考2_エネ使用量経年!BB259),"")</f>
        <v/>
      </c>
      <c r="BC322" s="954" t="str">
        <f ca="1">IFERROR($K322*44/12*参考2_エネ使用量経年!$K172*(参考2_エネ使用量経年!BC172+参考2_エネ使用量経年!BC259),"")</f>
        <v/>
      </c>
      <c r="BD322" s="954" t="str">
        <f ca="1">IFERROR($H322*44/12*参考2_エネ使用量経年!$H172*(参考2_エネ使用量経年!BD172+参考2_エネ使用量経年!BD259),"")</f>
        <v/>
      </c>
      <c r="BE322" s="954" t="str">
        <f ca="1">IFERROR($I322*44/12*参考2_エネ使用量経年!$I172*(参考2_エネ使用量経年!BE172+参考2_エネ使用量経年!BE259),"")</f>
        <v/>
      </c>
      <c r="BF322" s="954" t="str">
        <f ca="1">IFERROR($J322*44/12*参考2_エネ使用量経年!$J172*(参考2_エネ使用量経年!BF172+参考2_エネ使用量経年!BF259),"")</f>
        <v/>
      </c>
      <c r="BG322" s="954" t="str">
        <f ca="1">IFERROR($K322*44/12*参考2_エネ使用量経年!$K172*(参考2_エネ使用量経年!BG172+参考2_エネ使用量経年!BG259),"")</f>
        <v/>
      </c>
      <c r="BH322" s="954" t="str">
        <f ca="1">IFERROR($H322*44/12*参考2_エネ使用量経年!$H172*(参考2_エネ使用量経年!BH172+参考2_エネ使用量経年!BH259),"")</f>
        <v/>
      </c>
      <c r="BI322" s="954" t="str">
        <f ca="1">IFERROR($I322*44/12*参考2_エネ使用量経年!$I172*(参考2_エネ使用量経年!BI172+参考2_エネ使用量経年!BI259),"")</f>
        <v/>
      </c>
      <c r="BJ322" s="954" t="str">
        <f ca="1">IFERROR($J322*44/12*参考2_エネ使用量経年!$J172*(参考2_エネ使用量経年!BJ172+参考2_エネ使用量経年!BJ259),"")</f>
        <v/>
      </c>
      <c r="BK322" s="954" t="str">
        <f ca="1">IFERROR($K322*44/12*参考2_エネ使用量経年!$K172*(参考2_エネ使用量経年!BK172+参考2_エネ使用量経年!BK259),"")</f>
        <v/>
      </c>
      <c r="BL322" s="954" t="str">
        <f ca="1">IFERROR($H322*44/12*参考2_エネ使用量経年!$H172*(参考2_エネ使用量経年!BL172+参考2_エネ使用量経年!BL259),"")</f>
        <v/>
      </c>
      <c r="BM322" s="954" t="str">
        <f ca="1">IFERROR($I322*44/12*参考2_エネ使用量経年!$I172*(参考2_エネ使用量経年!BM172+参考2_エネ使用量経年!BM259),"")</f>
        <v/>
      </c>
      <c r="BN322" s="954" t="str">
        <f ca="1">IFERROR($J322*44/12*参考2_エネ使用量経年!$J172*(参考2_エネ使用量経年!BN172+参考2_エネ使用量経年!BN259),"")</f>
        <v/>
      </c>
      <c r="BO322" s="954" t="str">
        <f ca="1">IFERROR($K322*44/12*参考2_エネ使用量経年!$K172*(参考2_エネ使用量経年!BO172+参考2_エネ使用量経年!BO259),"")</f>
        <v/>
      </c>
    </row>
    <row r="323" spans="1:67" ht="20.100000000000001" customHeight="1">
      <c r="A323" s="952">
        <v>10</v>
      </c>
      <c r="B323" s="1871"/>
      <c r="C323" s="1872"/>
      <c r="D323" s="824" t="s">
        <v>4392</v>
      </c>
      <c r="E323" s="824"/>
      <c r="F323" s="825"/>
      <c r="G323" s="891" t="s">
        <v>4685</v>
      </c>
      <c r="H323" s="953">
        <f t="shared" ca="1" si="110"/>
        <v>1.8700000000000001E-2</v>
      </c>
      <c r="I323" s="953">
        <f t="shared" ca="1" si="111"/>
        <v>1.8700000000000001E-2</v>
      </c>
      <c r="J323" s="953">
        <f t="shared" ca="1" si="112"/>
        <v>1.8700000000000001E-2</v>
      </c>
      <c r="K323" s="953">
        <f t="shared" ca="1" si="113"/>
        <v>1.8700000000000001E-2</v>
      </c>
      <c r="L323" s="954">
        <f ca="1">IFERROR($H323*44/12*参考2_エネ使用量経年!$H173*(参考2_エネ使用量経年!L173+参考2_エネ使用量経年!L260),"")</f>
        <v>0</v>
      </c>
      <c r="M323" s="954">
        <f ca="1">IFERROR($I323*44/12*参考2_エネ使用量経年!$I173*(参考2_エネ使用量経年!M173+参考2_エネ使用量経年!M260),"")</f>
        <v>0</v>
      </c>
      <c r="N323" s="954">
        <f ca="1">IFERROR($J323*44/12*参考2_エネ使用量経年!$J173*(参考2_エネ使用量経年!N173+参考2_エネ使用量経年!N260),"")</f>
        <v>0</v>
      </c>
      <c r="O323" s="954">
        <f ca="1">IFERROR($K323*44/12*参考2_エネ使用量経年!$K173*(参考2_エネ使用量経年!O173+参考2_エネ使用量経年!O260),"")</f>
        <v>0</v>
      </c>
      <c r="P323" s="954">
        <f ca="1">IFERROR($H323*44/12*参考2_エネ使用量経年!$H173*(参考2_エネ使用量経年!P173+参考2_エネ使用量経年!P260),"")</f>
        <v>0</v>
      </c>
      <c r="Q323" s="954">
        <f ca="1">IFERROR($I323*44/12*参考2_エネ使用量経年!$I173*(参考2_エネ使用量経年!Q173+参考2_エネ使用量経年!Q260),"")</f>
        <v>0</v>
      </c>
      <c r="R323" s="954">
        <f ca="1">IFERROR($J323*44/12*参考2_エネ使用量経年!$J173*(参考2_エネ使用量経年!R173+参考2_エネ使用量経年!R260),"")</f>
        <v>0</v>
      </c>
      <c r="S323" s="954">
        <f ca="1">IFERROR($K323*44/12*参考2_エネ使用量経年!$K173*(参考2_エネ使用量経年!S173+参考2_エネ使用量経年!S260),"")</f>
        <v>0</v>
      </c>
      <c r="T323" s="954">
        <f ca="1">IFERROR($H323*44/12*参考2_エネ使用量経年!$H173*(参考2_エネ使用量経年!T173+参考2_エネ使用量経年!T260),"")</f>
        <v>0</v>
      </c>
      <c r="U323" s="954">
        <f ca="1">IFERROR($I323*44/12*参考2_エネ使用量経年!$I173*(参考2_エネ使用量経年!U173+参考2_エネ使用量経年!U260),"")</f>
        <v>0</v>
      </c>
      <c r="V323" s="954">
        <f ca="1">IFERROR($J323*44/12*参考2_エネ使用量経年!$J173*(参考2_エネ使用量経年!V173+参考2_エネ使用量経年!V260),"")</f>
        <v>0</v>
      </c>
      <c r="W323" s="954">
        <f ca="1">IFERROR($K323*44/12*参考2_エネ使用量経年!$K173*(参考2_エネ使用量経年!W173+参考2_エネ使用量経年!W260),"")</f>
        <v>0</v>
      </c>
      <c r="X323" s="954">
        <f ca="1">IFERROR($H323*44/12*参考2_エネ使用量経年!$H173*(参考2_エネ使用量経年!X173+参考2_エネ使用量経年!X260),"")</f>
        <v>0</v>
      </c>
      <c r="Y323" s="954">
        <f ca="1">IFERROR($I323*44/12*参考2_エネ使用量経年!$I173*(参考2_エネ使用量経年!Y173+参考2_エネ使用量経年!Y260),"")</f>
        <v>0</v>
      </c>
      <c r="Z323" s="954">
        <f ca="1">IFERROR($J323*44/12*参考2_エネ使用量経年!$J173*(参考2_エネ使用量経年!Z173+参考2_エネ使用量経年!Z260),"")</f>
        <v>0</v>
      </c>
      <c r="AA323" s="954">
        <f ca="1">IFERROR($K323*44/12*参考2_エネ使用量経年!$K173*(参考2_エネ使用量経年!AA173+参考2_エネ使用量経年!AA260),"")</f>
        <v>0</v>
      </c>
      <c r="AB323" s="954" t="str">
        <f ca="1">IFERROR($H323*44/12*参考2_エネ使用量経年!$H173*(参考2_エネ使用量経年!AB173+参考2_エネ使用量経年!AB260),"")</f>
        <v/>
      </c>
      <c r="AC323" s="954" t="str">
        <f ca="1">IFERROR($I323*44/12*参考2_エネ使用量経年!$I173*(参考2_エネ使用量経年!AC173+参考2_エネ使用量経年!AC260),"")</f>
        <v/>
      </c>
      <c r="AD323" s="954" t="str">
        <f ca="1">IFERROR($J323*44/12*参考2_エネ使用量経年!$J173*(参考2_エネ使用量経年!AD173+参考2_エネ使用量経年!AD260),"")</f>
        <v/>
      </c>
      <c r="AE323" s="954" t="str">
        <f ca="1">IFERROR($K323*44/12*参考2_エネ使用量経年!$K173*(参考2_エネ使用量経年!AE173+参考2_エネ使用量経年!AE260),"")</f>
        <v/>
      </c>
      <c r="AF323" s="954" t="str">
        <f ca="1">IFERROR($H323*44/12*参考2_エネ使用量経年!$H173*(参考2_エネ使用量経年!AF173+参考2_エネ使用量経年!AF260),"")</f>
        <v/>
      </c>
      <c r="AG323" s="954" t="str">
        <f ca="1">IFERROR($I323*44/12*参考2_エネ使用量経年!$I173*(参考2_エネ使用量経年!AG173+参考2_エネ使用量経年!AG260),"")</f>
        <v/>
      </c>
      <c r="AH323" s="954" t="str">
        <f ca="1">IFERROR($J323*44/12*参考2_エネ使用量経年!$J173*(参考2_エネ使用量経年!AH173+参考2_エネ使用量経年!AH260),"")</f>
        <v/>
      </c>
      <c r="AI323" s="954" t="str">
        <f ca="1">IFERROR($K323*44/12*参考2_エネ使用量経年!$K173*(参考2_エネ使用量経年!AI173+参考2_エネ使用量経年!AI260),"")</f>
        <v/>
      </c>
      <c r="AJ323" s="954" t="str">
        <f ca="1">IFERROR($H323*44/12*参考2_エネ使用量経年!$H173*(参考2_エネ使用量経年!AJ173+参考2_エネ使用量経年!AJ260),"")</f>
        <v/>
      </c>
      <c r="AK323" s="954" t="str">
        <f ca="1">IFERROR($I323*44/12*参考2_エネ使用量経年!$I173*(参考2_エネ使用量経年!AK173+参考2_エネ使用量経年!AK260),"")</f>
        <v/>
      </c>
      <c r="AL323" s="954" t="str">
        <f ca="1">IFERROR($J323*44/12*参考2_エネ使用量経年!$J173*(参考2_エネ使用量経年!AL173+参考2_エネ使用量経年!AL260),"")</f>
        <v/>
      </c>
      <c r="AM323" s="954" t="str">
        <f ca="1">IFERROR($K323*44/12*参考2_エネ使用量経年!$K173*(参考2_エネ使用量経年!AM173+参考2_エネ使用量経年!AM260),"")</f>
        <v/>
      </c>
      <c r="AN323" s="954" t="str">
        <f ca="1">IFERROR($H323*44/12*参考2_エネ使用量経年!$H173*(参考2_エネ使用量経年!AN173+参考2_エネ使用量経年!AN260),"")</f>
        <v/>
      </c>
      <c r="AO323" s="954" t="str">
        <f ca="1">IFERROR($I323*44/12*参考2_エネ使用量経年!$I173*(参考2_エネ使用量経年!AO173+参考2_エネ使用量経年!AO260),"")</f>
        <v/>
      </c>
      <c r="AP323" s="954" t="str">
        <f ca="1">IFERROR($J323*44/12*参考2_エネ使用量経年!$J173*(参考2_エネ使用量経年!AP173+参考2_エネ使用量経年!AP260),"")</f>
        <v/>
      </c>
      <c r="AQ323" s="954" t="str">
        <f ca="1">IFERROR($K323*44/12*参考2_エネ使用量経年!$K173*(参考2_エネ使用量経年!AQ173+参考2_エネ使用量経年!AQ260),"")</f>
        <v/>
      </c>
      <c r="AR323" s="954" t="str">
        <f ca="1">IFERROR($H323*44/12*参考2_エネ使用量経年!$H173*(参考2_エネ使用量経年!AR173+参考2_エネ使用量経年!AR260),"")</f>
        <v/>
      </c>
      <c r="AS323" s="954" t="str">
        <f ca="1">IFERROR($I323*44/12*参考2_エネ使用量経年!$I173*(参考2_エネ使用量経年!AS173+参考2_エネ使用量経年!AS260),"")</f>
        <v/>
      </c>
      <c r="AT323" s="954" t="str">
        <f ca="1">IFERROR($J323*44/12*参考2_エネ使用量経年!$J173*(参考2_エネ使用量経年!AT173+参考2_エネ使用量経年!AT260),"")</f>
        <v/>
      </c>
      <c r="AU323" s="954" t="str">
        <f ca="1">IFERROR($K323*44/12*参考2_エネ使用量経年!$K173*(参考2_エネ使用量経年!AU173+参考2_エネ使用量経年!AU260),"")</f>
        <v/>
      </c>
      <c r="AV323" s="954" t="str">
        <f ca="1">IFERROR($H323*44/12*参考2_エネ使用量経年!$H173*(参考2_エネ使用量経年!AV173+参考2_エネ使用量経年!AV260),"")</f>
        <v/>
      </c>
      <c r="AW323" s="954" t="str">
        <f ca="1">IFERROR($I323*44/12*参考2_エネ使用量経年!$I173*(参考2_エネ使用量経年!AW173+参考2_エネ使用量経年!AW260),"")</f>
        <v/>
      </c>
      <c r="AX323" s="954" t="str">
        <f ca="1">IFERROR($J323*44/12*参考2_エネ使用量経年!$J173*(参考2_エネ使用量経年!AX173+参考2_エネ使用量経年!AX260),"")</f>
        <v/>
      </c>
      <c r="AY323" s="954" t="str">
        <f ca="1">IFERROR($K323*44/12*参考2_エネ使用量経年!$K173*(参考2_エネ使用量経年!AY173+参考2_エネ使用量経年!AY260),"")</f>
        <v/>
      </c>
      <c r="AZ323" s="954" t="str">
        <f ca="1">IFERROR($H323*44/12*参考2_エネ使用量経年!$H173*(参考2_エネ使用量経年!AZ173+参考2_エネ使用量経年!AZ260),"")</f>
        <v/>
      </c>
      <c r="BA323" s="954" t="str">
        <f ca="1">IFERROR($I323*44/12*参考2_エネ使用量経年!$I173*(参考2_エネ使用量経年!BA173+参考2_エネ使用量経年!BA260),"")</f>
        <v/>
      </c>
      <c r="BB323" s="954" t="str">
        <f ca="1">IFERROR($J323*44/12*参考2_エネ使用量経年!$J173*(参考2_エネ使用量経年!BB173+参考2_エネ使用量経年!BB260),"")</f>
        <v/>
      </c>
      <c r="BC323" s="954" t="str">
        <f ca="1">IFERROR($K323*44/12*参考2_エネ使用量経年!$K173*(参考2_エネ使用量経年!BC173+参考2_エネ使用量経年!BC260),"")</f>
        <v/>
      </c>
      <c r="BD323" s="954" t="str">
        <f ca="1">IFERROR($H323*44/12*参考2_エネ使用量経年!$H173*(参考2_エネ使用量経年!BD173+参考2_エネ使用量経年!BD260),"")</f>
        <v/>
      </c>
      <c r="BE323" s="954" t="str">
        <f ca="1">IFERROR($I323*44/12*参考2_エネ使用量経年!$I173*(参考2_エネ使用量経年!BE173+参考2_エネ使用量経年!BE260),"")</f>
        <v/>
      </c>
      <c r="BF323" s="954" t="str">
        <f ca="1">IFERROR($J323*44/12*参考2_エネ使用量経年!$J173*(参考2_エネ使用量経年!BF173+参考2_エネ使用量経年!BF260),"")</f>
        <v/>
      </c>
      <c r="BG323" s="954" t="str">
        <f ca="1">IFERROR($K323*44/12*参考2_エネ使用量経年!$K173*(参考2_エネ使用量経年!BG173+参考2_エネ使用量経年!BG260),"")</f>
        <v/>
      </c>
      <c r="BH323" s="954" t="str">
        <f ca="1">IFERROR($H323*44/12*参考2_エネ使用量経年!$H173*(参考2_エネ使用量経年!BH173+参考2_エネ使用量経年!BH260),"")</f>
        <v/>
      </c>
      <c r="BI323" s="954" t="str">
        <f ca="1">IFERROR($I323*44/12*参考2_エネ使用量経年!$I173*(参考2_エネ使用量経年!BI173+参考2_エネ使用量経年!BI260),"")</f>
        <v/>
      </c>
      <c r="BJ323" s="954" t="str">
        <f ca="1">IFERROR($J323*44/12*参考2_エネ使用量経年!$J173*(参考2_エネ使用量経年!BJ173+参考2_エネ使用量経年!BJ260),"")</f>
        <v/>
      </c>
      <c r="BK323" s="954" t="str">
        <f ca="1">IFERROR($K323*44/12*参考2_エネ使用量経年!$K173*(参考2_エネ使用量経年!BK173+参考2_エネ使用量経年!BK260),"")</f>
        <v/>
      </c>
      <c r="BL323" s="954" t="str">
        <f ca="1">IFERROR($H323*44/12*参考2_エネ使用量経年!$H173*(参考2_エネ使用量経年!BL173+参考2_エネ使用量経年!BL260),"")</f>
        <v/>
      </c>
      <c r="BM323" s="954" t="str">
        <f ca="1">IFERROR($I323*44/12*参考2_エネ使用量経年!$I173*(参考2_エネ使用量経年!BM173+参考2_エネ使用量経年!BM260),"")</f>
        <v/>
      </c>
      <c r="BN323" s="954" t="str">
        <f ca="1">IFERROR($J323*44/12*参考2_エネ使用量経年!$J173*(参考2_エネ使用量経年!BN173+参考2_エネ使用量経年!BN260),"")</f>
        <v/>
      </c>
      <c r="BO323" s="954" t="str">
        <f ca="1">IFERROR($K323*44/12*参考2_エネ使用量経年!$K173*(参考2_エネ使用量経年!BO173+参考2_エネ使用量経年!BO260),"")</f>
        <v/>
      </c>
    </row>
    <row r="324" spans="1:67" ht="20.100000000000001" customHeight="1">
      <c r="A324" s="952">
        <v>11</v>
      </c>
      <c r="B324" s="1870"/>
      <c r="C324" s="1872"/>
      <c r="D324" s="824" t="s">
        <v>4147</v>
      </c>
      <c r="E324" s="824"/>
      <c r="F324" s="825"/>
      <c r="G324" s="891" t="s">
        <v>4685</v>
      </c>
      <c r="H324" s="953">
        <f t="shared" ca="1" si="110"/>
        <v>1.8599999999999998E-2</v>
      </c>
      <c r="I324" s="953">
        <f t="shared" ca="1" si="111"/>
        <v>1.8599999999999998E-2</v>
      </c>
      <c r="J324" s="953">
        <f t="shared" ca="1" si="112"/>
        <v>1.8599999999999998E-2</v>
      </c>
      <c r="K324" s="953">
        <f t="shared" ca="1" si="113"/>
        <v>1.8599999999999998E-2</v>
      </c>
      <c r="L324" s="954">
        <f ca="1">IFERROR($H324*44/12*参考2_エネ使用量経年!$H174*(参考2_エネ使用量経年!L174+参考2_エネ使用量経年!L261),"")</f>
        <v>0</v>
      </c>
      <c r="M324" s="954">
        <f ca="1">IFERROR($I324*44/12*参考2_エネ使用量経年!$I174*(参考2_エネ使用量経年!M174+参考2_エネ使用量経年!M261),"")</f>
        <v>0</v>
      </c>
      <c r="N324" s="954">
        <f ca="1">IFERROR($J324*44/12*参考2_エネ使用量経年!$J174*(参考2_エネ使用量経年!N174+参考2_エネ使用量経年!N261),"")</f>
        <v>0</v>
      </c>
      <c r="O324" s="954">
        <f ca="1">IFERROR($K324*44/12*参考2_エネ使用量経年!$K174*(参考2_エネ使用量経年!O174+参考2_エネ使用量経年!O261),"")</f>
        <v>0</v>
      </c>
      <c r="P324" s="954">
        <f ca="1">IFERROR($H324*44/12*参考2_エネ使用量経年!$H174*(参考2_エネ使用量経年!P174+参考2_エネ使用量経年!P261),"")</f>
        <v>0</v>
      </c>
      <c r="Q324" s="954">
        <f ca="1">IFERROR($I324*44/12*参考2_エネ使用量経年!$I174*(参考2_エネ使用量経年!Q174+参考2_エネ使用量経年!Q261),"")</f>
        <v>0</v>
      </c>
      <c r="R324" s="954">
        <f ca="1">IFERROR($J324*44/12*参考2_エネ使用量経年!$J174*(参考2_エネ使用量経年!R174+参考2_エネ使用量経年!R261),"")</f>
        <v>0</v>
      </c>
      <c r="S324" s="954">
        <f ca="1">IFERROR($K324*44/12*参考2_エネ使用量経年!$K174*(参考2_エネ使用量経年!S174+参考2_エネ使用量経年!S261),"")</f>
        <v>0</v>
      </c>
      <c r="T324" s="954">
        <f ca="1">IFERROR($H324*44/12*参考2_エネ使用量経年!$H174*(参考2_エネ使用量経年!T174+参考2_エネ使用量経年!T261),"")</f>
        <v>0</v>
      </c>
      <c r="U324" s="954">
        <f ca="1">IFERROR($I324*44/12*参考2_エネ使用量経年!$I174*(参考2_エネ使用量経年!U174+参考2_エネ使用量経年!U261),"")</f>
        <v>0</v>
      </c>
      <c r="V324" s="954">
        <f ca="1">IFERROR($J324*44/12*参考2_エネ使用量経年!$J174*(参考2_エネ使用量経年!V174+参考2_エネ使用量経年!V261),"")</f>
        <v>0</v>
      </c>
      <c r="W324" s="954">
        <f ca="1">IFERROR($K324*44/12*参考2_エネ使用量経年!$K174*(参考2_エネ使用量経年!W174+参考2_エネ使用量経年!W261),"")</f>
        <v>0</v>
      </c>
      <c r="X324" s="954">
        <f ca="1">IFERROR($H324*44/12*参考2_エネ使用量経年!$H174*(参考2_エネ使用量経年!X174+参考2_エネ使用量経年!X261),"")</f>
        <v>0</v>
      </c>
      <c r="Y324" s="954">
        <f ca="1">IFERROR($I324*44/12*参考2_エネ使用量経年!$I174*(参考2_エネ使用量経年!Y174+参考2_エネ使用量経年!Y261),"")</f>
        <v>0</v>
      </c>
      <c r="Z324" s="954">
        <f ca="1">IFERROR($J324*44/12*参考2_エネ使用量経年!$J174*(参考2_エネ使用量経年!Z174+参考2_エネ使用量経年!Z261),"")</f>
        <v>0</v>
      </c>
      <c r="AA324" s="954">
        <f ca="1">IFERROR($K324*44/12*参考2_エネ使用量経年!$K174*(参考2_エネ使用量経年!AA174+参考2_エネ使用量経年!AA261),"")</f>
        <v>0</v>
      </c>
      <c r="AB324" s="954" t="str">
        <f ca="1">IFERROR($H324*44/12*参考2_エネ使用量経年!$H174*(参考2_エネ使用量経年!AB174+参考2_エネ使用量経年!AB261),"")</f>
        <v/>
      </c>
      <c r="AC324" s="954" t="str">
        <f ca="1">IFERROR($I324*44/12*参考2_エネ使用量経年!$I174*(参考2_エネ使用量経年!AC174+参考2_エネ使用量経年!AC261),"")</f>
        <v/>
      </c>
      <c r="AD324" s="954" t="str">
        <f ca="1">IFERROR($J324*44/12*参考2_エネ使用量経年!$J174*(参考2_エネ使用量経年!AD174+参考2_エネ使用量経年!AD261),"")</f>
        <v/>
      </c>
      <c r="AE324" s="954" t="str">
        <f ca="1">IFERROR($K324*44/12*参考2_エネ使用量経年!$K174*(参考2_エネ使用量経年!AE174+参考2_エネ使用量経年!AE261),"")</f>
        <v/>
      </c>
      <c r="AF324" s="954" t="str">
        <f ca="1">IFERROR($H324*44/12*参考2_エネ使用量経年!$H174*(参考2_エネ使用量経年!AF174+参考2_エネ使用量経年!AF261),"")</f>
        <v/>
      </c>
      <c r="AG324" s="954" t="str">
        <f ca="1">IFERROR($I324*44/12*参考2_エネ使用量経年!$I174*(参考2_エネ使用量経年!AG174+参考2_エネ使用量経年!AG261),"")</f>
        <v/>
      </c>
      <c r="AH324" s="954" t="str">
        <f ca="1">IFERROR($J324*44/12*参考2_エネ使用量経年!$J174*(参考2_エネ使用量経年!AH174+参考2_エネ使用量経年!AH261),"")</f>
        <v/>
      </c>
      <c r="AI324" s="954" t="str">
        <f ca="1">IFERROR($K324*44/12*参考2_エネ使用量経年!$K174*(参考2_エネ使用量経年!AI174+参考2_エネ使用量経年!AI261),"")</f>
        <v/>
      </c>
      <c r="AJ324" s="954" t="str">
        <f ca="1">IFERROR($H324*44/12*参考2_エネ使用量経年!$H174*(参考2_エネ使用量経年!AJ174+参考2_エネ使用量経年!AJ261),"")</f>
        <v/>
      </c>
      <c r="AK324" s="954" t="str">
        <f ca="1">IFERROR($I324*44/12*参考2_エネ使用量経年!$I174*(参考2_エネ使用量経年!AK174+参考2_エネ使用量経年!AK261),"")</f>
        <v/>
      </c>
      <c r="AL324" s="954" t="str">
        <f ca="1">IFERROR($J324*44/12*参考2_エネ使用量経年!$J174*(参考2_エネ使用量経年!AL174+参考2_エネ使用量経年!AL261),"")</f>
        <v/>
      </c>
      <c r="AM324" s="954" t="str">
        <f ca="1">IFERROR($K324*44/12*参考2_エネ使用量経年!$K174*(参考2_エネ使用量経年!AM174+参考2_エネ使用量経年!AM261),"")</f>
        <v/>
      </c>
      <c r="AN324" s="954" t="str">
        <f ca="1">IFERROR($H324*44/12*参考2_エネ使用量経年!$H174*(参考2_エネ使用量経年!AN174+参考2_エネ使用量経年!AN261),"")</f>
        <v/>
      </c>
      <c r="AO324" s="954" t="str">
        <f ca="1">IFERROR($I324*44/12*参考2_エネ使用量経年!$I174*(参考2_エネ使用量経年!AO174+参考2_エネ使用量経年!AO261),"")</f>
        <v/>
      </c>
      <c r="AP324" s="954" t="str">
        <f ca="1">IFERROR($J324*44/12*参考2_エネ使用量経年!$J174*(参考2_エネ使用量経年!AP174+参考2_エネ使用量経年!AP261),"")</f>
        <v/>
      </c>
      <c r="AQ324" s="954" t="str">
        <f ca="1">IFERROR($K324*44/12*参考2_エネ使用量経年!$K174*(参考2_エネ使用量経年!AQ174+参考2_エネ使用量経年!AQ261),"")</f>
        <v/>
      </c>
      <c r="AR324" s="954" t="str">
        <f ca="1">IFERROR($H324*44/12*参考2_エネ使用量経年!$H174*(参考2_エネ使用量経年!AR174+参考2_エネ使用量経年!AR261),"")</f>
        <v/>
      </c>
      <c r="AS324" s="954" t="str">
        <f ca="1">IFERROR($I324*44/12*参考2_エネ使用量経年!$I174*(参考2_エネ使用量経年!AS174+参考2_エネ使用量経年!AS261),"")</f>
        <v/>
      </c>
      <c r="AT324" s="954" t="str">
        <f ca="1">IFERROR($J324*44/12*参考2_エネ使用量経年!$J174*(参考2_エネ使用量経年!AT174+参考2_エネ使用量経年!AT261),"")</f>
        <v/>
      </c>
      <c r="AU324" s="954" t="str">
        <f ca="1">IFERROR($K324*44/12*参考2_エネ使用量経年!$K174*(参考2_エネ使用量経年!AU174+参考2_エネ使用量経年!AU261),"")</f>
        <v/>
      </c>
      <c r="AV324" s="954" t="str">
        <f ca="1">IFERROR($H324*44/12*参考2_エネ使用量経年!$H174*(参考2_エネ使用量経年!AV174+参考2_エネ使用量経年!AV261),"")</f>
        <v/>
      </c>
      <c r="AW324" s="954" t="str">
        <f ca="1">IFERROR($I324*44/12*参考2_エネ使用量経年!$I174*(参考2_エネ使用量経年!AW174+参考2_エネ使用量経年!AW261),"")</f>
        <v/>
      </c>
      <c r="AX324" s="954" t="str">
        <f ca="1">IFERROR($J324*44/12*参考2_エネ使用量経年!$J174*(参考2_エネ使用量経年!AX174+参考2_エネ使用量経年!AX261),"")</f>
        <v/>
      </c>
      <c r="AY324" s="954" t="str">
        <f ca="1">IFERROR($K324*44/12*参考2_エネ使用量経年!$K174*(参考2_エネ使用量経年!AY174+参考2_エネ使用量経年!AY261),"")</f>
        <v/>
      </c>
      <c r="AZ324" s="954" t="str">
        <f ca="1">IFERROR($H324*44/12*参考2_エネ使用量経年!$H174*(参考2_エネ使用量経年!AZ174+参考2_エネ使用量経年!AZ261),"")</f>
        <v/>
      </c>
      <c r="BA324" s="954" t="str">
        <f ca="1">IFERROR($I324*44/12*参考2_エネ使用量経年!$I174*(参考2_エネ使用量経年!BA174+参考2_エネ使用量経年!BA261),"")</f>
        <v/>
      </c>
      <c r="BB324" s="954" t="str">
        <f ca="1">IFERROR($J324*44/12*参考2_エネ使用量経年!$J174*(参考2_エネ使用量経年!BB174+参考2_エネ使用量経年!BB261),"")</f>
        <v/>
      </c>
      <c r="BC324" s="954" t="str">
        <f ca="1">IFERROR($K324*44/12*参考2_エネ使用量経年!$K174*(参考2_エネ使用量経年!BC174+参考2_エネ使用量経年!BC261),"")</f>
        <v/>
      </c>
      <c r="BD324" s="954" t="str">
        <f ca="1">IFERROR($H324*44/12*参考2_エネ使用量経年!$H174*(参考2_エネ使用量経年!BD174+参考2_エネ使用量経年!BD261),"")</f>
        <v/>
      </c>
      <c r="BE324" s="954" t="str">
        <f ca="1">IFERROR($I324*44/12*参考2_エネ使用量経年!$I174*(参考2_エネ使用量経年!BE174+参考2_エネ使用量経年!BE261),"")</f>
        <v/>
      </c>
      <c r="BF324" s="954" t="str">
        <f ca="1">IFERROR($J324*44/12*参考2_エネ使用量経年!$J174*(参考2_エネ使用量経年!BF174+参考2_エネ使用量経年!BF261),"")</f>
        <v/>
      </c>
      <c r="BG324" s="954" t="str">
        <f ca="1">IFERROR($K324*44/12*参考2_エネ使用量経年!$K174*(参考2_エネ使用量経年!BG174+参考2_エネ使用量経年!BG261),"")</f>
        <v/>
      </c>
      <c r="BH324" s="954" t="str">
        <f ca="1">IFERROR($H324*44/12*参考2_エネ使用量経年!$H174*(参考2_エネ使用量経年!BH174+参考2_エネ使用量経年!BH261),"")</f>
        <v/>
      </c>
      <c r="BI324" s="954" t="str">
        <f ca="1">IFERROR($I324*44/12*参考2_エネ使用量経年!$I174*(参考2_エネ使用量経年!BI174+参考2_エネ使用量経年!BI261),"")</f>
        <v/>
      </c>
      <c r="BJ324" s="954" t="str">
        <f ca="1">IFERROR($J324*44/12*参考2_エネ使用量経年!$J174*(参考2_エネ使用量経年!BJ174+参考2_エネ使用量経年!BJ261),"")</f>
        <v/>
      </c>
      <c r="BK324" s="954" t="str">
        <f ca="1">IFERROR($K324*44/12*参考2_エネ使用量経年!$K174*(参考2_エネ使用量経年!BK174+参考2_エネ使用量経年!BK261),"")</f>
        <v/>
      </c>
      <c r="BL324" s="954" t="str">
        <f ca="1">IFERROR($H324*44/12*参考2_エネ使用量経年!$H174*(参考2_エネ使用量経年!BL174+参考2_エネ使用量経年!BL261),"")</f>
        <v/>
      </c>
      <c r="BM324" s="954" t="str">
        <f ca="1">IFERROR($I324*44/12*参考2_エネ使用量経年!$I174*(参考2_エネ使用量経年!BM174+参考2_エネ使用量経年!BM261),"")</f>
        <v/>
      </c>
      <c r="BN324" s="954" t="str">
        <f ca="1">IFERROR($J324*44/12*参考2_エネ使用量経年!$J174*(参考2_エネ使用量経年!BN174+参考2_エネ使用量経年!BN261),"")</f>
        <v/>
      </c>
      <c r="BO324" s="954" t="str">
        <f ca="1">IFERROR($K324*44/12*参考2_エネ使用量経年!$K174*(参考2_エネ使用量経年!BO174+参考2_エネ使用量経年!BO261),"")</f>
        <v/>
      </c>
    </row>
    <row r="325" spans="1:67" ht="20.100000000000001" customHeight="1">
      <c r="A325" s="952">
        <v>12</v>
      </c>
      <c r="B325" s="1870"/>
      <c r="C325" s="1872"/>
      <c r="D325" s="824" t="s">
        <v>4393</v>
      </c>
      <c r="E325" s="824"/>
      <c r="F325" s="825"/>
      <c r="G325" s="891" t="s">
        <v>4685</v>
      </c>
      <c r="H325" s="953">
        <f t="shared" ca="1" si="110"/>
        <v>1.8599999999999998E-2</v>
      </c>
      <c r="I325" s="953">
        <f t="shared" ca="1" si="111"/>
        <v>1.8599999999999998E-2</v>
      </c>
      <c r="J325" s="953">
        <f t="shared" ca="1" si="112"/>
        <v>1.8599999999999998E-2</v>
      </c>
      <c r="K325" s="953">
        <f t="shared" ca="1" si="113"/>
        <v>1.8599999999999998E-2</v>
      </c>
      <c r="L325" s="954">
        <f ca="1">IFERROR($H325*44/12*参考2_エネ使用量経年!$H175*(参考2_エネ使用量経年!L175+参考2_エネ使用量経年!L262),"")</f>
        <v>0</v>
      </c>
      <c r="M325" s="954">
        <f ca="1">IFERROR($I325*44/12*参考2_エネ使用量経年!$I175*(参考2_エネ使用量経年!M175+参考2_エネ使用量経年!M262),"")</f>
        <v>0</v>
      </c>
      <c r="N325" s="954">
        <f ca="1">IFERROR($J325*44/12*参考2_エネ使用量経年!$J175*(参考2_エネ使用量経年!N175+参考2_エネ使用量経年!N262),"")</f>
        <v>0</v>
      </c>
      <c r="O325" s="954">
        <f ca="1">IFERROR($K325*44/12*参考2_エネ使用量経年!$K175*(参考2_エネ使用量経年!O175+参考2_エネ使用量経年!O262),"")</f>
        <v>0</v>
      </c>
      <c r="P325" s="954">
        <f ca="1">IFERROR($H325*44/12*参考2_エネ使用量経年!$H175*(参考2_エネ使用量経年!P175+参考2_エネ使用量経年!P262),"")</f>
        <v>0</v>
      </c>
      <c r="Q325" s="954">
        <f ca="1">IFERROR($I325*44/12*参考2_エネ使用量経年!$I175*(参考2_エネ使用量経年!Q175+参考2_エネ使用量経年!Q262),"")</f>
        <v>0</v>
      </c>
      <c r="R325" s="954">
        <f ca="1">IFERROR($J325*44/12*参考2_エネ使用量経年!$J175*(参考2_エネ使用量経年!R175+参考2_エネ使用量経年!R262),"")</f>
        <v>0</v>
      </c>
      <c r="S325" s="954">
        <f ca="1">IFERROR($K325*44/12*参考2_エネ使用量経年!$K175*(参考2_エネ使用量経年!S175+参考2_エネ使用量経年!S262),"")</f>
        <v>0</v>
      </c>
      <c r="T325" s="954">
        <f ca="1">IFERROR($H325*44/12*参考2_エネ使用量経年!$H175*(参考2_エネ使用量経年!T175+参考2_エネ使用量経年!T262),"")</f>
        <v>0</v>
      </c>
      <c r="U325" s="954">
        <f ca="1">IFERROR($I325*44/12*参考2_エネ使用量経年!$I175*(参考2_エネ使用量経年!U175+参考2_エネ使用量経年!U262),"")</f>
        <v>0</v>
      </c>
      <c r="V325" s="954">
        <f ca="1">IFERROR($J325*44/12*参考2_エネ使用量経年!$J175*(参考2_エネ使用量経年!V175+参考2_エネ使用量経年!V262),"")</f>
        <v>0</v>
      </c>
      <c r="W325" s="954">
        <f ca="1">IFERROR($K325*44/12*参考2_エネ使用量経年!$K175*(参考2_エネ使用量経年!W175+参考2_エネ使用量経年!W262),"")</f>
        <v>0</v>
      </c>
      <c r="X325" s="954">
        <f ca="1">IFERROR($H325*44/12*参考2_エネ使用量経年!$H175*(参考2_エネ使用量経年!X175+参考2_エネ使用量経年!X262),"")</f>
        <v>0</v>
      </c>
      <c r="Y325" s="954">
        <f ca="1">IFERROR($I325*44/12*参考2_エネ使用量経年!$I175*(参考2_エネ使用量経年!Y175+参考2_エネ使用量経年!Y262),"")</f>
        <v>0</v>
      </c>
      <c r="Z325" s="954">
        <f ca="1">IFERROR($J325*44/12*参考2_エネ使用量経年!$J175*(参考2_エネ使用量経年!Z175+参考2_エネ使用量経年!Z262),"")</f>
        <v>0</v>
      </c>
      <c r="AA325" s="954">
        <f ca="1">IFERROR($K325*44/12*参考2_エネ使用量経年!$K175*(参考2_エネ使用量経年!AA175+参考2_エネ使用量経年!AA262),"")</f>
        <v>0</v>
      </c>
      <c r="AB325" s="954" t="str">
        <f ca="1">IFERROR($H325*44/12*参考2_エネ使用量経年!$H175*(参考2_エネ使用量経年!AB175+参考2_エネ使用量経年!AB262),"")</f>
        <v/>
      </c>
      <c r="AC325" s="954" t="str">
        <f ca="1">IFERROR($I325*44/12*参考2_エネ使用量経年!$I175*(参考2_エネ使用量経年!AC175+参考2_エネ使用量経年!AC262),"")</f>
        <v/>
      </c>
      <c r="AD325" s="954" t="str">
        <f ca="1">IFERROR($J325*44/12*参考2_エネ使用量経年!$J175*(参考2_エネ使用量経年!AD175+参考2_エネ使用量経年!AD262),"")</f>
        <v/>
      </c>
      <c r="AE325" s="954" t="str">
        <f ca="1">IFERROR($K325*44/12*参考2_エネ使用量経年!$K175*(参考2_エネ使用量経年!AE175+参考2_エネ使用量経年!AE262),"")</f>
        <v/>
      </c>
      <c r="AF325" s="954" t="str">
        <f ca="1">IFERROR($H325*44/12*参考2_エネ使用量経年!$H175*(参考2_エネ使用量経年!AF175+参考2_エネ使用量経年!AF262),"")</f>
        <v/>
      </c>
      <c r="AG325" s="954" t="str">
        <f ca="1">IFERROR($I325*44/12*参考2_エネ使用量経年!$I175*(参考2_エネ使用量経年!AG175+参考2_エネ使用量経年!AG262),"")</f>
        <v/>
      </c>
      <c r="AH325" s="954" t="str">
        <f ca="1">IFERROR($J325*44/12*参考2_エネ使用量経年!$J175*(参考2_エネ使用量経年!AH175+参考2_エネ使用量経年!AH262),"")</f>
        <v/>
      </c>
      <c r="AI325" s="954" t="str">
        <f ca="1">IFERROR($K325*44/12*参考2_エネ使用量経年!$K175*(参考2_エネ使用量経年!AI175+参考2_エネ使用量経年!AI262),"")</f>
        <v/>
      </c>
      <c r="AJ325" s="954" t="str">
        <f ca="1">IFERROR($H325*44/12*参考2_エネ使用量経年!$H175*(参考2_エネ使用量経年!AJ175+参考2_エネ使用量経年!AJ262),"")</f>
        <v/>
      </c>
      <c r="AK325" s="954" t="str">
        <f ca="1">IFERROR($I325*44/12*参考2_エネ使用量経年!$I175*(参考2_エネ使用量経年!AK175+参考2_エネ使用量経年!AK262),"")</f>
        <v/>
      </c>
      <c r="AL325" s="954" t="str">
        <f ca="1">IFERROR($J325*44/12*参考2_エネ使用量経年!$J175*(参考2_エネ使用量経年!AL175+参考2_エネ使用量経年!AL262),"")</f>
        <v/>
      </c>
      <c r="AM325" s="954" t="str">
        <f ca="1">IFERROR($K325*44/12*参考2_エネ使用量経年!$K175*(参考2_エネ使用量経年!AM175+参考2_エネ使用量経年!AM262),"")</f>
        <v/>
      </c>
      <c r="AN325" s="954" t="str">
        <f ca="1">IFERROR($H325*44/12*参考2_エネ使用量経年!$H175*(参考2_エネ使用量経年!AN175+参考2_エネ使用量経年!AN262),"")</f>
        <v/>
      </c>
      <c r="AO325" s="954" t="str">
        <f ca="1">IFERROR($I325*44/12*参考2_エネ使用量経年!$I175*(参考2_エネ使用量経年!AO175+参考2_エネ使用量経年!AO262),"")</f>
        <v/>
      </c>
      <c r="AP325" s="954" t="str">
        <f ca="1">IFERROR($J325*44/12*参考2_エネ使用量経年!$J175*(参考2_エネ使用量経年!AP175+参考2_エネ使用量経年!AP262),"")</f>
        <v/>
      </c>
      <c r="AQ325" s="954" t="str">
        <f ca="1">IFERROR($K325*44/12*参考2_エネ使用量経年!$K175*(参考2_エネ使用量経年!AQ175+参考2_エネ使用量経年!AQ262),"")</f>
        <v/>
      </c>
      <c r="AR325" s="954" t="str">
        <f ca="1">IFERROR($H325*44/12*参考2_エネ使用量経年!$H175*(参考2_エネ使用量経年!AR175+参考2_エネ使用量経年!AR262),"")</f>
        <v/>
      </c>
      <c r="AS325" s="954" t="str">
        <f ca="1">IFERROR($I325*44/12*参考2_エネ使用量経年!$I175*(参考2_エネ使用量経年!AS175+参考2_エネ使用量経年!AS262),"")</f>
        <v/>
      </c>
      <c r="AT325" s="954" t="str">
        <f ca="1">IFERROR($J325*44/12*参考2_エネ使用量経年!$J175*(参考2_エネ使用量経年!AT175+参考2_エネ使用量経年!AT262),"")</f>
        <v/>
      </c>
      <c r="AU325" s="954" t="str">
        <f ca="1">IFERROR($K325*44/12*参考2_エネ使用量経年!$K175*(参考2_エネ使用量経年!AU175+参考2_エネ使用量経年!AU262),"")</f>
        <v/>
      </c>
      <c r="AV325" s="954" t="str">
        <f ca="1">IFERROR($H325*44/12*参考2_エネ使用量経年!$H175*(参考2_エネ使用量経年!AV175+参考2_エネ使用量経年!AV262),"")</f>
        <v/>
      </c>
      <c r="AW325" s="954" t="str">
        <f ca="1">IFERROR($I325*44/12*参考2_エネ使用量経年!$I175*(参考2_エネ使用量経年!AW175+参考2_エネ使用量経年!AW262),"")</f>
        <v/>
      </c>
      <c r="AX325" s="954" t="str">
        <f ca="1">IFERROR($J325*44/12*参考2_エネ使用量経年!$J175*(参考2_エネ使用量経年!AX175+参考2_エネ使用量経年!AX262),"")</f>
        <v/>
      </c>
      <c r="AY325" s="954" t="str">
        <f ca="1">IFERROR($K325*44/12*参考2_エネ使用量経年!$K175*(参考2_エネ使用量経年!AY175+参考2_エネ使用量経年!AY262),"")</f>
        <v/>
      </c>
      <c r="AZ325" s="954" t="str">
        <f ca="1">IFERROR($H325*44/12*参考2_エネ使用量経年!$H175*(参考2_エネ使用量経年!AZ175+参考2_エネ使用量経年!AZ262),"")</f>
        <v/>
      </c>
      <c r="BA325" s="954" t="str">
        <f ca="1">IFERROR($I325*44/12*参考2_エネ使用量経年!$I175*(参考2_エネ使用量経年!BA175+参考2_エネ使用量経年!BA262),"")</f>
        <v/>
      </c>
      <c r="BB325" s="954" t="str">
        <f ca="1">IFERROR($J325*44/12*参考2_エネ使用量経年!$J175*(参考2_エネ使用量経年!BB175+参考2_エネ使用量経年!BB262),"")</f>
        <v/>
      </c>
      <c r="BC325" s="954" t="str">
        <f ca="1">IFERROR($K325*44/12*参考2_エネ使用量経年!$K175*(参考2_エネ使用量経年!BC175+参考2_エネ使用量経年!BC262),"")</f>
        <v/>
      </c>
      <c r="BD325" s="954" t="str">
        <f ca="1">IFERROR($H325*44/12*参考2_エネ使用量経年!$H175*(参考2_エネ使用量経年!BD175+参考2_エネ使用量経年!BD262),"")</f>
        <v/>
      </c>
      <c r="BE325" s="954" t="str">
        <f ca="1">IFERROR($I325*44/12*参考2_エネ使用量経年!$I175*(参考2_エネ使用量経年!BE175+参考2_エネ使用量経年!BE262),"")</f>
        <v/>
      </c>
      <c r="BF325" s="954" t="str">
        <f ca="1">IFERROR($J325*44/12*参考2_エネ使用量経年!$J175*(参考2_エネ使用量経年!BF175+参考2_エネ使用量経年!BF262),"")</f>
        <v/>
      </c>
      <c r="BG325" s="954" t="str">
        <f ca="1">IFERROR($K325*44/12*参考2_エネ使用量経年!$K175*(参考2_エネ使用量経年!BG175+参考2_エネ使用量経年!BG262),"")</f>
        <v/>
      </c>
      <c r="BH325" s="954" t="str">
        <f ca="1">IFERROR($H325*44/12*参考2_エネ使用量経年!$H175*(参考2_エネ使用量経年!BH175+参考2_エネ使用量経年!BH262),"")</f>
        <v/>
      </c>
      <c r="BI325" s="954" t="str">
        <f ca="1">IFERROR($I325*44/12*参考2_エネ使用量経年!$I175*(参考2_エネ使用量経年!BI175+参考2_エネ使用量経年!BI262),"")</f>
        <v/>
      </c>
      <c r="BJ325" s="954" t="str">
        <f ca="1">IFERROR($J325*44/12*参考2_エネ使用量経年!$J175*(参考2_エネ使用量経年!BJ175+参考2_エネ使用量経年!BJ262),"")</f>
        <v/>
      </c>
      <c r="BK325" s="954" t="str">
        <f ca="1">IFERROR($K325*44/12*参考2_エネ使用量経年!$K175*(参考2_エネ使用量経年!BK175+参考2_エネ使用量経年!BK262),"")</f>
        <v/>
      </c>
      <c r="BL325" s="954" t="str">
        <f ca="1">IFERROR($H325*44/12*参考2_エネ使用量経年!$H175*(参考2_エネ使用量経年!BL175+参考2_エネ使用量経年!BL262),"")</f>
        <v/>
      </c>
      <c r="BM325" s="954" t="str">
        <f ca="1">IFERROR($I325*44/12*参考2_エネ使用量経年!$I175*(参考2_エネ使用量経年!BM175+参考2_エネ使用量経年!BM262),"")</f>
        <v/>
      </c>
      <c r="BN325" s="954" t="str">
        <f ca="1">IFERROR($J325*44/12*参考2_エネ使用量経年!$J175*(参考2_エネ使用量経年!BN175+参考2_エネ使用量経年!BN262),"")</f>
        <v/>
      </c>
      <c r="BO325" s="954" t="str">
        <f ca="1">IFERROR($K325*44/12*参考2_エネ使用量経年!$K175*(参考2_エネ使用量経年!BO175+参考2_エネ使用量経年!BO262),"")</f>
        <v/>
      </c>
    </row>
    <row r="326" spans="1:67" ht="20.100000000000001" customHeight="1">
      <c r="A326" s="952">
        <v>13</v>
      </c>
      <c r="B326" s="1871"/>
      <c r="C326" s="1872"/>
      <c r="D326" s="824" t="s">
        <v>4149</v>
      </c>
      <c r="E326" s="824"/>
      <c r="F326" s="825"/>
      <c r="G326" s="891" t="s">
        <v>4685</v>
      </c>
      <c r="H326" s="953">
        <f t="shared" ca="1" si="110"/>
        <v>1.8700000000000001E-2</v>
      </c>
      <c r="I326" s="953">
        <f t="shared" ca="1" si="111"/>
        <v>1.8700000000000001E-2</v>
      </c>
      <c r="J326" s="953">
        <f t="shared" ca="1" si="112"/>
        <v>1.8700000000000001E-2</v>
      </c>
      <c r="K326" s="953">
        <f t="shared" ca="1" si="113"/>
        <v>1.8700000000000001E-2</v>
      </c>
      <c r="L326" s="954">
        <f ca="1">IFERROR($H326*44/12*参考2_エネ使用量経年!$H176*(参考2_エネ使用量経年!L176+参考2_エネ使用量経年!L263),"")</f>
        <v>0</v>
      </c>
      <c r="M326" s="954">
        <f ca="1">IFERROR($I326*44/12*参考2_エネ使用量経年!$I176*(参考2_エネ使用量経年!M176+参考2_エネ使用量経年!M263),"")</f>
        <v>0</v>
      </c>
      <c r="N326" s="954">
        <f ca="1">IFERROR($J326*44/12*参考2_エネ使用量経年!$J176*(参考2_エネ使用量経年!N176+参考2_エネ使用量経年!N263),"")</f>
        <v>0</v>
      </c>
      <c r="O326" s="954">
        <f ca="1">IFERROR($K326*44/12*参考2_エネ使用量経年!$K176*(参考2_エネ使用量経年!O176+参考2_エネ使用量経年!O263),"")</f>
        <v>0</v>
      </c>
      <c r="P326" s="954">
        <f ca="1">IFERROR($H326*44/12*参考2_エネ使用量経年!$H176*(参考2_エネ使用量経年!P176+参考2_エネ使用量経年!P263),"")</f>
        <v>0</v>
      </c>
      <c r="Q326" s="954">
        <f ca="1">IFERROR($I326*44/12*参考2_エネ使用量経年!$I176*(参考2_エネ使用量経年!Q176+参考2_エネ使用量経年!Q263),"")</f>
        <v>0</v>
      </c>
      <c r="R326" s="954">
        <f ca="1">IFERROR($J326*44/12*参考2_エネ使用量経年!$J176*(参考2_エネ使用量経年!R176+参考2_エネ使用量経年!R263),"")</f>
        <v>0</v>
      </c>
      <c r="S326" s="954">
        <f ca="1">IFERROR($K326*44/12*参考2_エネ使用量経年!$K176*(参考2_エネ使用量経年!S176+参考2_エネ使用量経年!S263),"")</f>
        <v>0</v>
      </c>
      <c r="T326" s="954">
        <f ca="1">IFERROR($H326*44/12*参考2_エネ使用量経年!$H176*(参考2_エネ使用量経年!T176+参考2_エネ使用量経年!T263),"")</f>
        <v>0</v>
      </c>
      <c r="U326" s="954">
        <f ca="1">IFERROR($I326*44/12*参考2_エネ使用量経年!$I176*(参考2_エネ使用量経年!U176+参考2_エネ使用量経年!U263),"")</f>
        <v>0</v>
      </c>
      <c r="V326" s="954">
        <f ca="1">IFERROR($J326*44/12*参考2_エネ使用量経年!$J176*(参考2_エネ使用量経年!V176+参考2_エネ使用量経年!V263),"")</f>
        <v>0</v>
      </c>
      <c r="W326" s="954">
        <f ca="1">IFERROR($K326*44/12*参考2_エネ使用量経年!$K176*(参考2_エネ使用量経年!W176+参考2_エネ使用量経年!W263),"")</f>
        <v>0</v>
      </c>
      <c r="X326" s="954">
        <f ca="1">IFERROR($H326*44/12*参考2_エネ使用量経年!$H176*(参考2_エネ使用量経年!X176+参考2_エネ使用量経年!X263),"")</f>
        <v>0</v>
      </c>
      <c r="Y326" s="954">
        <f ca="1">IFERROR($I326*44/12*参考2_エネ使用量経年!$I176*(参考2_エネ使用量経年!Y176+参考2_エネ使用量経年!Y263),"")</f>
        <v>0</v>
      </c>
      <c r="Z326" s="954">
        <f ca="1">IFERROR($J326*44/12*参考2_エネ使用量経年!$J176*(参考2_エネ使用量経年!Z176+参考2_エネ使用量経年!Z263),"")</f>
        <v>0</v>
      </c>
      <c r="AA326" s="954">
        <f ca="1">IFERROR($K326*44/12*参考2_エネ使用量経年!$K176*(参考2_エネ使用量経年!AA176+参考2_エネ使用量経年!AA263),"")</f>
        <v>0</v>
      </c>
      <c r="AB326" s="954" t="str">
        <f ca="1">IFERROR($H326*44/12*参考2_エネ使用量経年!$H176*(参考2_エネ使用量経年!AB176+参考2_エネ使用量経年!AB263),"")</f>
        <v/>
      </c>
      <c r="AC326" s="954" t="str">
        <f ca="1">IFERROR($I326*44/12*参考2_エネ使用量経年!$I176*(参考2_エネ使用量経年!AC176+参考2_エネ使用量経年!AC263),"")</f>
        <v/>
      </c>
      <c r="AD326" s="954" t="str">
        <f ca="1">IFERROR($J326*44/12*参考2_エネ使用量経年!$J176*(参考2_エネ使用量経年!AD176+参考2_エネ使用量経年!AD263),"")</f>
        <v/>
      </c>
      <c r="AE326" s="954" t="str">
        <f ca="1">IFERROR($K326*44/12*参考2_エネ使用量経年!$K176*(参考2_エネ使用量経年!AE176+参考2_エネ使用量経年!AE263),"")</f>
        <v/>
      </c>
      <c r="AF326" s="954" t="str">
        <f ca="1">IFERROR($H326*44/12*参考2_エネ使用量経年!$H176*(参考2_エネ使用量経年!AF176+参考2_エネ使用量経年!AF263),"")</f>
        <v/>
      </c>
      <c r="AG326" s="954" t="str">
        <f ca="1">IFERROR($I326*44/12*参考2_エネ使用量経年!$I176*(参考2_エネ使用量経年!AG176+参考2_エネ使用量経年!AG263),"")</f>
        <v/>
      </c>
      <c r="AH326" s="954" t="str">
        <f ca="1">IFERROR($J326*44/12*参考2_エネ使用量経年!$J176*(参考2_エネ使用量経年!AH176+参考2_エネ使用量経年!AH263),"")</f>
        <v/>
      </c>
      <c r="AI326" s="954" t="str">
        <f ca="1">IFERROR($K326*44/12*参考2_エネ使用量経年!$K176*(参考2_エネ使用量経年!AI176+参考2_エネ使用量経年!AI263),"")</f>
        <v/>
      </c>
      <c r="AJ326" s="954" t="str">
        <f ca="1">IFERROR($H326*44/12*参考2_エネ使用量経年!$H176*(参考2_エネ使用量経年!AJ176+参考2_エネ使用量経年!AJ263),"")</f>
        <v/>
      </c>
      <c r="AK326" s="954" t="str">
        <f ca="1">IFERROR($I326*44/12*参考2_エネ使用量経年!$I176*(参考2_エネ使用量経年!AK176+参考2_エネ使用量経年!AK263),"")</f>
        <v/>
      </c>
      <c r="AL326" s="954" t="str">
        <f ca="1">IFERROR($J326*44/12*参考2_エネ使用量経年!$J176*(参考2_エネ使用量経年!AL176+参考2_エネ使用量経年!AL263),"")</f>
        <v/>
      </c>
      <c r="AM326" s="954" t="str">
        <f ca="1">IFERROR($K326*44/12*参考2_エネ使用量経年!$K176*(参考2_エネ使用量経年!AM176+参考2_エネ使用量経年!AM263),"")</f>
        <v/>
      </c>
      <c r="AN326" s="954" t="str">
        <f ca="1">IFERROR($H326*44/12*参考2_エネ使用量経年!$H176*(参考2_エネ使用量経年!AN176+参考2_エネ使用量経年!AN263),"")</f>
        <v/>
      </c>
      <c r="AO326" s="954" t="str">
        <f ca="1">IFERROR($I326*44/12*参考2_エネ使用量経年!$I176*(参考2_エネ使用量経年!AO176+参考2_エネ使用量経年!AO263),"")</f>
        <v/>
      </c>
      <c r="AP326" s="954" t="str">
        <f ca="1">IFERROR($J326*44/12*参考2_エネ使用量経年!$J176*(参考2_エネ使用量経年!AP176+参考2_エネ使用量経年!AP263),"")</f>
        <v/>
      </c>
      <c r="AQ326" s="954" t="str">
        <f ca="1">IFERROR($K326*44/12*参考2_エネ使用量経年!$K176*(参考2_エネ使用量経年!AQ176+参考2_エネ使用量経年!AQ263),"")</f>
        <v/>
      </c>
      <c r="AR326" s="954" t="str">
        <f ca="1">IFERROR($H326*44/12*参考2_エネ使用量経年!$H176*(参考2_エネ使用量経年!AR176+参考2_エネ使用量経年!AR263),"")</f>
        <v/>
      </c>
      <c r="AS326" s="954" t="str">
        <f ca="1">IFERROR($I326*44/12*参考2_エネ使用量経年!$I176*(参考2_エネ使用量経年!AS176+参考2_エネ使用量経年!AS263),"")</f>
        <v/>
      </c>
      <c r="AT326" s="954" t="str">
        <f ca="1">IFERROR($J326*44/12*参考2_エネ使用量経年!$J176*(参考2_エネ使用量経年!AT176+参考2_エネ使用量経年!AT263),"")</f>
        <v/>
      </c>
      <c r="AU326" s="954" t="str">
        <f ca="1">IFERROR($K326*44/12*参考2_エネ使用量経年!$K176*(参考2_エネ使用量経年!AU176+参考2_エネ使用量経年!AU263),"")</f>
        <v/>
      </c>
      <c r="AV326" s="954" t="str">
        <f ca="1">IFERROR($H326*44/12*参考2_エネ使用量経年!$H176*(参考2_エネ使用量経年!AV176+参考2_エネ使用量経年!AV263),"")</f>
        <v/>
      </c>
      <c r="AW326" s="954" t="str">
        <f ca="1">IFERROR($I326*44/12*参考2_エネ使用量経年!$I176*(参考2_エネ使用量経年!AW176+参考2_エネ使用量経年!AW263),"")</f>
        <v/>
      </c>
      <c r="AX326" s="954" t="str">
        <f ca="1">IFERROR($J326*44/12*参考2_エネ使用量経年!$J176*(参考2_エネ使用量経年!AX176+参考2_エネ使用量経年!AX263),"")</f>
        <v/>
      </c>
      <c r="AY326" s="954" t="str">
        <f ca="1">IFERROR($K326*44/12*参考2_エネ使用量経年!$K176*(参考2_エネ使用量経年!AY176+参考2_エネ使用量経年!AY263),"")</f>
        <v/>
      </c>
      <c r="AZ326" s="954" t="str">
        <f ca="1">IFERROR($H326*44/12*参考2_エネ使用量経年!$H176*(参考2_エネ使用量経年!AZ176+参考2_エネ使用量経年!AZ263),"")</f>
        <v/>
      </c>
      <c r="BA326" s="954" t="str">
        <f ca="1">IFERROR($I326*44/12*参考2_エネ使用量経年!$I176*(参考2_エネ使用量経年!BA176+参考2_エネ使用量経年!BA263),"")</f>
        <v/>
      </c>
      <c r="BB326" s="954" t="str">
        <f ca="1">IFERROR($J326*44/12*参考2_エネ使用量経年!$J176*(参考2_エネ使用量経年!BB176+参考2_エネ使用量経年!BB263),"")</f>
        <v/>
      </c>
      <c r="BC326" s="954" t="str">
        <f ca="1">IFERROR($K326*44/12*参考2_エネ使用量経年!$K176*(参考2_エネ使用量経年!BC176+参考2_エネ使用量経年!BC263),"")</f>
        <v/>
      </c>
      <c r="BD326" s="954" t="str">
        <f ca="1">IFERROR($H326*44/12*参考2_エネ使用量経年!$H176*(参考2_エネ使用量経年!BD176+参考2_エネ使用量経年!BD263),"")</f>
        <v/>
      </c>
      <c r="BE326" s="954" t="str">
        <f ca="1">IFERROR($I326*44/12*参考2_エネ使用量経年!$I176*(参考2_エネ使用量経年!BE176+参考2_エネ使用量経年!BE263),"")</f>
        <v/>
      </c>
      <c r="BF326" s="954" t="str">
        <f ca="1">IFERROR($J326*44/12*参考2_エネ使用量経年!$J176*(参考2_エネ使用量経年!BF176+参考2_エネ使用量経年!BF263),"")</f>
        <v/>
      </c>
      <c r="BG326" s="954" t="str">
        <f ca="1">IFERROR($K326*44/12*参考2_エネ使用量経年!$K176*(参考2_エネ使用量経年!BG176+参考2_エネ使用量経年!BG263),"")</f>
        <v/>
      </c>
      <c r="BH326" s="954" t="str">
        <f ca="1">IFERROR($H326*44/12*参考2_エネ使用量経年!$H176*(参考2_エネ使用量経年!BH176+参考2_エネ使用量経年!BH263),"")</f>
        <v/>
      </c>
      <c r="BI326" s="954" t="str">
        <f ca="1">IFERROR($I326*44/12*参考2_エネ使用量経年!$I176*(参考2_エネ使用量経年!BI176+参考2_エネ使用量経年!BI263),"")</f>
        <v/>
      </c>
      <c r="BJ326" s="954" t="str">
        <f ca="1">IFERROR($J326*44/12*参考2_エネ使用量経年!$J176*(参考2_エネ使用量経年!BJ176+参考2_エネ使用量経年!BJ263),"")</f>
        <v/>
      </c>
      <c r="BK326" s="954" t="str">
        <f ca="1">IFERROR($K326*44/12*参考2_エネ使用量経年!$K176*(参考2_エネ使用量経年!BK176+参考2_エネ使用量経年!BK263),"")</f>
        <v/>
      </c>
      <c r="BL326" s="954" t="str">
        <f ca="1">IFERROR($H326*44/12*参考2_エネ使用量経年!$H176*(参考2_エネ使用量経年!BL176+参考2_エネ使用量経年!BL263),"")</f>
        <v/>
      </c>
      <c r="BM326" s="954" t="str">
        <f ca="1">IFERROR($I326*44/12*参考2_エネ使用量経年!$I176*(参考2_エネ使用量経年!BM176+参考2_エネ使用量経年!BM263),"")</f>
        <v/>
      </c>
      <c r="BN326" s="954" t="str">
        <f ca="1">IFERROR($J326*44/12*参考2_エネ使用量経年!$J176*(参考2_エネ使用量経年!BN176+参考2_エネ使用量経年!BN263),"")</f>
        <v/>
      </c>
      <c r="BO326" s="954" t="str">
        <f ca="1">IFERROR($K326*44/12*参考2_エネ使用量経年!$K176*(参考2_エネ使用量経年!BO176+参考2_エネ使用量経年!BO263),"")</f>
        <v/>
      </c>
    </row>
    <row r="327" spans="1:67" ht="20.100000000000001" customHeight="1">
      <c r="A327" s="952">
        <v>14</v>
      </c>
      <c r="B327" s="1871"/>
      <c r="C327" s="1872"/>
      <c r="D327" s="824" t="s">
        <v>4150</v>
      </c>
      <c r="E327" s="824"/>
      <c r="F327" s="825"/>
      <c r="G327" s="891" t="s">
        <v>4685</v>
      </c>
      <c r="H327" s="953">
        <f t="shared" ca="1" si="110"/>
        <v>1.8800000000000001E-2</v>
      </c>
      <c r="I327" s="953">
        <f t="shared" ca="1" si="111"/>
        <v>1.8800000000000001E-2</v>
      </c>
      <c r="J327" s="953">
        <f t="shared" ca="1" si="112"/>
        <v>1.8800000000000001E-2</v>
      </c>
      <c r="K327" s="953">
        <f t="shared" ca="1" si="113"/>
        <v>1.8800000000000001E-2</v>
      </c>
      <c r="L327" s="954">
        <f ca="1">IFERROR($H327*44/12*参考2_エネ使用量経年!$H177*(参考2_エネ使用量経年!L177+参考2_エネ使用量経年!L264),"")</f>
        <v>0</v>
      </c>
      <c r="M327" s="954">
        <f ca="1">IFERROR($I327*44/12*参考2_エネ使用量経年!$I177*(参考2_エネ使用量経年!M177+参考2_エネ使用量経年!M264),"")</f>
        <v>0</v>
      </c>
      <c r="N327" s="954">
        <f ca="1">IFERROR($J327*44/12*参考2_エネ使用量経年!$J177*(参考2_エネ使用量経年!N177+参考2_エネ使用量経年!N264),"")</f>
        <v>0</v>
      </c>
      <c r="O327" s="954">
        <f ca="1">IFERROR($K327*44/12*参考2_エネ使用量経年!$K177*(参考2_エネ使用量経年!O177+参考2_エネ使用量経年!O264),"")</f>
        <v>0</v>
      </c>
      <c r="P327" s="954">
        <f ca="1">IFERROR($H327*44/12*参考2_エネ使用量経年!$H177*(参考2_エネ使用量経年!P177+参考2_エネ使用量経年!P264),"")</f>
        <v>0</v>
      </c>
      <c r="Q327" s="954">
        <f ca="1">IFERROR($I327*44/12*参考2_エネ使用量経年!$I177*(参考2_エネ使用量経年!Q177+参考2_エネ使用量経年!Q264),"")</f>
        <v>0</v>
      </c>
      <c r="R327" s="954">
        <f ca="1">IFERROR($J327*44/12*参考2_エネ使用量経年!$J177*(参考2_エネ使用量経年!R177+参考2_エネ使用量経年!R264),"")</f>
        <v>0</v>
      </c>
      <c r="S327" s="954">
        <f ca="1">IFERROR($K327*44/12*参考2_エネ使用量経年!$K177*(参考2_エネ使用量経年!S177+参考2_エネ使用量経年!S264),"")</f>
        <v>0</v>
      </c>
      <c r="T327" s="954">
        <f ca="1">IFERROR($H327*44/12*参考2_エネ使用量経年!$H177*(参考2_エネ使用量経年!T177+参考2_エネ使用量経年!T264),"")</f>
        <v>0</v>
      </c>
      <c r="U327" s="954">
        <f ca="1">IFERROR($I327*44/12*参考2_エネ使用量経年!$I177*(参考2_エネ使用量経年!U177+参考2_エネ使用量経年!U264),"")</f>
        <v>0</v>
      </c>
      <c r="V327" s="954">
        <f ca="1">IFERROR($J327*44/12*参考2_エネ使用量経年!$J177*(参考2_エネ使用量経年!V177+参考2_エネ使用量経年!V264),"")</f>
        <v>0</v>
      </c>
      <c r="W327" s="954">
        <f ca="1">IFERROR($K327*44/12*参考2_エネ使用量経年!$K177*(参考2_エネ使用量経年!W177+参考2_エネ使用量経年!W264),"")</f>
        <v>0</v>
      </c>
      <c r="X327" s="954">
        <f ca="1">IFERROR($H327*44/12*参考2_エネ使用量経年!$H177*(参考2_エネ使用量経年!X177+参考2_エネ使用量経年!X264),"")</f>
        <v>0</v>
      </c>
      <c r="Y327" s="954">
        <f ca="1">IFERROR($I327*44/12*参考2_エネ使用量経年!$I177*(参考2_エネ使用量経年!Y177+参考2_エネ使用量経年!Y264),"")</f>
        <v>0</v>
      </c>
      <c r="Z327" s="954">
        <f ca="1">IFERROR($J327*44/12*参考2_エネ使用量経年!$J177*(参考2_エネ使用量経年!Z177+参考2_エネ使用量経年!Z264),"")</f>
        <v>0</v>
      </c>
      <c r="AA327" s="954">
        <f ca="1">IFERROR($K327*44/12*参考2_エネ使用量経年!$K177*(参考2_エネ使用量経年!AA177+参考2_エネ使用量経年!AA264),"")</f>
        <v>0</v>
      </c>
      <c r="AB327" s="954" t="str">
        <f ca="1">IFERROR($H327*44/12*参考2_エネ使用量経年!$H177*(参考2_エネ使用量経年!AB177+参考2_エネ使用量経年!AB264),"")</f>
        <v/>
      </c>
      <c r="AC327" s="954" t="str">
        <f ca="1">IFERROR($I327*44/12*参考2_エネ使用量経年!$I177*(参考2_エネ使用量経年!AC177+参考2_エネ使用量経年!AC264),"")</f>
        <v/>
      </c>
      <c r="AD327" s="954" t="str">
        <f ca="1">IFERROR($J327*44/12*参考2_エネ使用量経年!$J177*(参考2_エネ使用量経年!AD177+参考2_エネ使用量経年!AD264),"")</f>
        <v/>
      </c>
      <c r="AE327" s="954" t="str">
        <f ca="1">IFERROR($K327*44/12*参考2_エネ使用量経年!$K177*(参考2_エネ使用量経年!AE177+参考2_エネ使用量経年!AE264),"")</f>
        <v/>
      </c>
      <c r="AF327" s="954" t="str">
        <f ca="1">IFERROR($H327*44/12*参考2_エネ使用量経年!$H177*(参考2_エネ使用量経年!AF177+参考2_エネ使用量経年!AF264),"")</f>
        <v/>
      </c>
      <c r="AG327" s="954" t="str">
        <f ca="1">IFERROR($I327*44/12*参考2_エネ使用量経年!$I177*(参考2_エネ使用量経年!AG177+参考2_エネ使用量経年!AG264),"")</f>
        <v/>
      </c>
      <c r="AH327" s="954" t="str">
        <f ca="1">IFERROR($J327*44/12*参考2_エネ使用量経年!$J177*(参考2_エネ使用量経年!AH177+参考2_エネ使用量経年!AH264),"")</f>
        <v/>
      </c>
      <c r="AI327" s="954" t="str">
        <f ca="1">IFERROR($K327*44/12*参考2_エネ使用量経年!$K177*(参考2_エネ使用量経年!AI177+参考2_エネ使用量経年!AI264),"")</f>
        <v/>
      </c>
      <c r="AJ327" s="954" t="str">
        <f ca="1">IFERROR($H327*44/12*参考2_エネ使用量経年!$H177*(参考2_エネ使用量経年!AJ177+参考2_エネ使用量経年!AJ264),"")</f>
        <v/>
      </c>
      <c r="AK327" s="954" t="str">
        <f ca="1">IFERROR($I327*44/12*参考2_エネ使用量経年!$I177*(参考2_エネ使用量経年!AK177+参考2_エネ使用量経年!AK264),"")</f>
        <v/>
      </c>
      <c r="AL327" s="954" t="str">
        <f ca="1">IFERROR($J327*44/12*参考2_エネ使用量経年!$J177*(参考2_エネ使用量経年!AL177+参考2_エネ使用量経年!AL264),"")</f>
        <v/>
      </c>
      <c r="AM327" s="954" t="str">
        <f ca="1">IFERROR($K327*44/12*参考2_エネ使用量経年!$K177*(参考2_エネ使用量経年!AM177+参考2_エネ使用量経年!AM264),"")</f>
        <v/>
      </c>
      <c r="AN327" s="954" t="str">
        <f ca="1">IFERROR($H327*44/12*参考2_エネ使用量経年!$H177*(参考2_エネ使用量経年!AN177+参考2_エネ使用量経年!AN264),"")</f>
        <v/>
      </c>
      <c r="AO327" s="954" t="str">
        <f ca="1">IFERROR($I327*44/12*参考2_エネ使用量経年!$I177*(参考2_エネ使用量経年!AO177+参考2_エネ使用量経年!AO264),"")</f>
        <v/>
      </c>
      <c r="AP327" s="954" t="str">
        <f ca="1">IFERROR($J327*44/12*参考2_エネ使用量経年!$J177*(参考2_エネ使用量経年!AP177+参考2_エネ使用量経年!AP264),"")</f>
        <v/>
      </c>
      <c r="AQ327" s="954" t="str">
        <f ca="1">IFERROR($K327*44/12*参考2_エネ使用量経年!$K177*(参考2_エネ使用量経年!AQ177+参考2_エネ使用量経年!AQ264),"")</f>
        <v/>
      </c>
      <c r="AR327" s="954" t="str">
        <f ca="1">IFERROR($H327*44/12*参考2_エネ使用量経年!$H177*(参考2_エネ使用量経年!AR177+参考2_エネ使用量経年!AR264),"")</f>
        <v/>
      </c>
      <c r="AS327" s="954" t="str">
        <f ca="1">IFERROR($I327*44/12*参考2_エネ使用量経年!$I177*(参考2_エネ使用量経年!AS177+参考2_エネ使用量経年!AS264),"")</f>
        <v/>
      </c>
      <c r="AT327" s="954" t="str">
        <f ca="1">IFERROR($J327*44/12*参考2_エネ使用量経年!$J177*(参考2_エネ使用量経年!AT177+参考2_エネ使用量経年!AT264),"")</f>
        <v/>
      </c>
      <c r="AU327" s="954" t="str">
        <f ca="1">IFERROR($K327*44/12*参考2_エネ使用量経年!$K177*(参考2_エネ使用量経年!AU177+参考2_エネ使用量経年!AU264),"")</f>
        <v/>
      </c>
      <c r="AV327" s="954" t="str">
        <f ca="1">IFERROR($H327*44/12*参考2_エネ使用量経年!$H177*(参考2_エネ使用量経年!AV177+参考2_エネ使用量経年!AV264),"")</f>
        <v/>
      </c>
      <c r="AW327" s="954" t="str">
        <f ca="1">IFERROR($I327*44/12*参考2_エネ使用量経年!$I177*(参考2_エネ使用量経年!AW177+参考2_エネ使用量経年!AW264),"")</f>
        <v/>
      </c>
      <c r="AX327" s="954" t="str">
        <f ca="1">IFERROR($J327*44/12*参考2_エネ使用量経年!$J177*(参考2_エネ使用量経年!AX177+参考2_エネ使用量経年!AX264),"")</f>
        <v/>
      </c>
      <c r="AY327" s="954" t="str">
        <f ca="1">IFERROR($K327*44/12*参考2_エネ使用量経年!$K177*(参考2_エネ使用量経年!AY177+参考2_エネ使用量経年!AY264),"")</f>
        <v/>
      </c>
      <c r="AZ327" s="954" t="str">
        <f ca="1">IFERROR($H327*44/12*参考2_エネ使用量経年!$H177*(参考2_エネ使用量経年!AZ177+参考2_エネ使用量経年!AZ264),"")</f>
        <v/>
      </c>
      <c r="BA327" s="954" t="str">
        <f ca="1">IFERROR($I327*44/12*参考2_エネ使用量経年!$I177*(参考2_エネ使用量経年!BA177+参考2_エネ使用量経年!BA264),"")</f>
        <v/>
      </c>
      <c r="BB327" s="954" t="str">
        <f ca="1">IFERROR($J327*44/12*参考2_エネ使用量経年!$J177*(参考2_エネ使用量経年!BB177+参考2_エネ使用量経年!BB264),"")</f>
        <v/>
      </c>
      <c r="BC327" s="954" t="str">
        <f ca="1">IFERROR($K327*44/12*参考2_エネ使用量経年!$K177*(参考2_エネ使用量経年!BC177+参考2_エネ使用量経年!BC264),"")</f>
        <v/>
      </c>
      <c r="BD327" s="954" t="str">
        <f ca="1">IFERROR($H327*44/12*参考2_エネ使用量経年!$H177*(参考2_エネ使用量経年!BD177+参考2_エネ使用量経年!BD264),"")</f>
        <v/>
      </c>
      <c r="BE327" s="954" t="str">
        <f ca="1">IFERROR($I327*44/12*参考2_エネ使用量経年!$I177*(参考2_エネ使用量経年!BE177+参考2_エネ使用量経年!BE264),"")</f>
        <v/>
      </c>
      <c r="BF327" s="954" t="str">
        <f ca="1">IFERROR($J327*44/12*参考2_エネ使用量経年!$J177*(参考2_エネ使用量経年!BF177+参考2_エネ使用量経年!BF264),"")</f>
        <v/>
      </c>
      <c r="BG327" s="954" t="str">
        <f ca="1">IFERROR($K327*44/12*参考2_エネ使用量経年!$K177*(参考2_エネ使用量経年!BG177+参考2_エネ使用量経年!BG264),"")</f>
        <v/>
      </c>
      <c r="BH327" s="954" t="str">
        <f ca="1">IFERROR($H327*44/12*参考2_エネ使用量経年!$H177*(参考2_エネ使用量経年!BH177+参考2_エネ使用量経年!BH264),"")</f>
        <v/>
      </c>
      <c r="BI327" s="954" t="str">
        <f ca="1">IFERROR($I327*44/12*参考2_エネ使用量経年!$I177*(参考2_エネ使用量経年!BI177+参考2_エネ使用量経年!BI264),"")</f>
        <v/>
      </c>
      <c r="BJ327" s="954" t="str">
        <f ca="1">IFERROR($J327*44/12*参考2_エネ使用量経年!$J177*(参考2_エネ使用量経年!BJ177+参考2_エネ使用量経年!BJ264),"")</f>
        <v/>
      </c>
      <c r="BK327" s="954" t="str">
        <f ca="1">IFERROR($K327*44/12*参考2_エネ使用量経年!$K177*(参考2_エネ使用量経年!BK177+参考2_エネ使用量経年!BK264),"")</f>
        <v/>
      </c>
      <c r="BL327" s="954" t="str">
        <f ca="1">IFERROR($H327*44/12*参考2_エネ使用量経年!$H177*(参考2_エネ使用量経年!BL177+参考2_エネ使用量経年!BL264),"")</f>
        <v/>
      </c>
      <c r="BM327" s="954" t="str">
        <f ca="1">IFERROR($I327*44/12*参考2_エネ使用量経年!$I177*(参考2_エネ使用量経年!BM177+参考2_エネ使用量経年!BM264),"")</f>
        <v/>
      </c>
      <c r="BN327" s="954" t="str">
        <f ca="1">IFERROR($J327*44/12*参考2_エネ使用量経年!$J177*(参考2_エネ使用量経年!BN177+参考2_エネ使用量経年!BN264),"")</f>
        <v/>
      </c>
      <c r="BO327" s="954" t="str">
        <f ca="1">IFERROR($K327*44/12*参考2_エネ使用量経年!$K177*(参考2_エネ使用量経年!BO177+参考2_エネ使用量経年!BO264),"")</f>
        <v/>
      </c>
    </row>
    <row r="328" spans="1:67" ht="20.100000000000001" customHeight="1">
      <c r="A328" s="952">
        <v>15</v>
      </c>
      <c r="B328" s="1870"/>
      <c r="C328" s="1872"/>
      <c r="D328" s="824" t="s">
        <v>4151</v>
      </c>
      <c r="E328" s="824"/>
      <c r="F328" s="825"/>
      <c r="G328" s="891" t="s">
        <v>4685</v>
      </c>
      <c r="H328" s="953">
        <f t="shared" ca="1" si="110"/>
        <v>1.9300000000000001E-2</v>
      </c>
      <c r="I328" s="953">
        <f t="shared" ca="1" si="111"/>
        <v>1.9300000000000001E-2</v>
      </c>
      <c r="J328" s="953">
        <f t="shared" ca="1" si="112"/>
        <v>1.9300000000000001E-2</v>
      </c>
      <c r="K328" s="953">
        <f t="shared" ca="1" si="113"/>
        <v>1.9300000000000001E-2</v>
      </c>
      <c r="L328" s="954">
        <f ca="1">IFERROR($H328*44/12*参考2_エネ使用量経年!$H178*(参考2_エネ使用量経年!L178+参考2_エネ使用量経年!L265),"")</f>
        <v>0</v>
      </c>
      <c r="M328" s="954">
        <f ca="1">IFERROR($I328*44/12*参考2_エネ使用量経年!$I178*(参考2_エネ使用量経年!M178+参考2_エネ使用量経年!M265),"")</f>
        <v>0</v>
      </c>
      <c r="N328" s="954">
        <f ca="1">IFERROR($J328*44/12*参考2_エネ使用量経年!$J178*(参考2_エネ使用量経年!N178+参考2_エネ使用量経年!N265),"")</f>
        <v>0</v>
      </c>
      <c r="O328" s="954">
        <f ca="1">IFERROR($K328*44/12*参考2_エネ使用量経年!$K178*(参考2_エネ使用量経年!O178+参考2_エネ使用量経年!O265),"")</f>
        <v>0</v>
      </c>
      <c r="P328" s="954">
        <f ca="1">IFERROR($H328*44/12*参考2_エネ使用量経年!$H178*(参考2_エネ使用量経年!P178+参考2_エネ使用量経年!P265),"")</f>
        <v>0</v>
      </c>
      <c r="Q328" s="954">
        <f ca="1">IFERROR($I328*44/12*参考2_エネ使用量経年!$I178*(参考2_エネ使用量経年!Q178+参考2_エネ使用量経年!Q265),"")</f>
        <v>0</v>
      </c>
      <c r="R328" s="954">
        <f ca="1">IFERROR($J328*44/12*参考2_エネ使用量経年!$J178*(参考2_エネ使用量経年!R178+参考2_エネ使用量経年!R265),"")</f>
        <v>0</v>
      </c>
      <c r="S328" s="954">
        <f ca="1">IFERROR($K328*44/12*参考2_エネ使用量経年!$K178*(参考2_エネ使用量経年!S178+参考2_エネ使用量経年!S265),"")</f>
        <v>0</v>
      </c>
      <c r="T328" s="954">
        <f ca="1">IFERROR($H328*44/12*参考2_エネ使用量経年!$H178*(参考2_エネ使用量経年!T178+参考2_エネ使用量経年!T265),"")</f>
        <v>0</v>
      </c>
      <c r="U328" s="954">
        <f ca="1">IFERROR($I328*44/12*参考2_エネ使用量経年!$I178*(参考2_エネ使用量経年!U178+参考2_エネ使用量経年!U265),"")</f>
        <v>0</v>
      </c>
      <c r="V328" s="954">
        <f ca="1">IFERROR($J328*44/12*参考2_エネ使用量経年!$J178*(参考2_エネ使用量経年!V178+参考2_エネ使用量経年!V265),"")</f>
        <v>0</v>
      </c>
      <c r="W328" s="954">
        <f ca="1">IFERROR($K328*44/12*参考2_エネ使用量経年!$K178*(参考2_エネ使用量経年!W178+参考2_エネ使用量経年!W265),"")</f>
        <v>0</v>
      </c>
      <c r="X328" s="954">
        <f ca="1">IFERROR($H328*44/12*参考2_エネ使用量経年!$H178*(参考2_エネ使用量経年!X178+参考2_エネ使用量経年!X265),"")</f>
        <v>0</v>
      </c>
      <c r="Y328" s="954">
        <f ca="1">IFERROR($I328*44/12*参考2_エネ使用量経年!$I178*(参考2_エネ使用量経年!Y178+参考2_エネ使用量経年!Y265),"")</f>
        <v>0</v>
      </c>
      <c r="Z328" s="954">
        <f ca="1">IFERROR($J328*44/12*参考2_エネ使用量経年!$J178*(参考2_エネ使用量経年!Z178+参考2_エネ使用量経年!Z265),"")</f>
        <v>0</v>
      </c>
      <c r="AA328" s="954">
        <f ca="1">IFERROR($K328*44/12*参考2_エネ使用量経年!$K178*(参考2_エネ使用量経年!AA178+参考2_エネ使用量経年!AA265),"")</f>
        <v>0</v>
      </c>
      <c r="AB328" s="954" t="str">
        <f ca="1">IFERROR($H328*44/12*参考2_エネ使用量経年!$H178*(参考2_エネ使用量経年!AB178+参考2_エネ使用量経年!AB265),"")</f>
        <v/>
      </c>
      <c r="AC328" s="954" t="str">
        <f ca="1">IFERROR($I328*44/12*参考2_エネ使用量経年!$I178*(参考2_エネ使用量経年!AC178+参考2_エネ使用量経年!AC265),"")</f>
        <v/>
      </c>
      <c r="AD328" s="954" t="str">
        <f ca="1">IFERROR($J328*44/12*参考2_エネ使用量経年!$J178*(参考2_エネ使用量経年!AD178+参考2_エネ使用量経年!AD265),"")</f>
        <v/>
      </c>
      <c r="AE328" s="954" t="str">
        <f ca="1">IFERROR($K328*44/12*参考2_エネ使用量経年!$K178*(参考2_エネ使用量経年!AE178+参考2_エネ使用量経年!AE265),"")</f>
        <v/>
      </c>
      <c r="AF328" s="954" t="str">
        <f ca="1">IFERROR($H328*44/12*参考2_エネ使用量経年!$H178*(参考2_エネ使用量経年!AF178+参考2_エネ使用量経年!AF265),"")</f>
        <v/>
      </c>
      <c r="AG328" s="954" t="str">
        <f ca="1">IFERROR($I328*44/12*参考2_エネ使用量経年!$I178*(参考2_エネ使用量経年!AG178+参考2_エネ使用量経年!AG265),"")</f>
        <v/>
      </c>
      <c r="AH328" s="954" t="str">
        <f ca="1">IFERROR($J328*44/12*参考2_エネ使用量経年!$J178*(参考2_エネ使用量経年!AH178+参考2_エネ使用量経年!AH265),"")</f>
        <v/>
      </c>
      <c r="AI328" s="954" t="str">
        <f ca="1">IFERROR($K328*44/12*参考2_エネ使用量経年!$K178*(参考2_エネ使用量経年!AI178+参考2_エネ使用量経年!AI265),"")</f>
        <v/>
      </c>
      <c r="AJ328" s="954" t="str">
        <f ca="1">IFERROR($H328*44/12*参考2_エネ使用量経年!$H178*(参考2_エネ使用量経年!AJ178+参考2_エネ使用量経年!AJ265),"")</f>
        <v/>
      </c>
      <c r="AK328" s="954" t="str">
        <f ca="1">IFERROR($I328*44/12*参考2_エネ使用量経年!$I178*(参考2_エネ使用量経年!AK178+参考2_エネ使用量経年!AK265),"")</f>
        <v/>
      </c>
      <c r="AL328" s="954" t="str">
        <f ca="1">IFERROR($J328*44/12*参考2_エネ使用量経年!$J178*(参考2_エネ使用量経年!AL178+参考2_エネ使用量経年!AL265),"")</f>
        <v/>
      </c>
      <c r="AM328" s="954" t="str">
        <f ca="1">IFERROR($K328*44/12*参考2_エネ使用量経年!$K178*(参考2_エネ使用量経年!AM178+参考2_エネ使用量経年!AM265),"")</f>
        <v/>
      </c>
      <c r="AN328" s="954" t="str">
        <f ca="1">IFERROR($H328*44/12*参考2_エネ使用量経年!$H178*(参考2_エネ使用量経年!AN178+参考2_エネ使用量経年!AN265),"")</f>
        <v/>
      </c>
      <c r="AO328" s="954" t="str">
        <f ca="1">IFERROR($I328*44/12*参考2_エネ使用量経年!$I178*(参考2_エネ使用量経年!AO178+参考2_エネ使用量経年!AO265),"")</f>
        <v/>
      </c>
      <c r="AP328" s="954" t="str">
        <f ca="1">IFERROR($J328*44/12*参考2_エネ使用量経年!$J178*(参考2_エネ使用量経年!AP178+参考2_エネ使用量経年!AP265),"")</f>
        <v/>
      </c>
      <c r="AQ328" s="954" t="str">
        <f ca="1">IFERROR($K328*44/12*参考2_エネ使用量経年!$K178*(参考2_エネ使用量経年!AQ178+参考2_エネ使用量経年!AQ265),"")</f>
        <v/>
      </c>
      <c r="AR328" s="954" t="str">
        <f ca="1">IFERROR($H328*44/12*参考2_エネ使用量経年!$H178*(参考2_エネ使用量経年!AR178+参考2_エネ使用量経年!AR265),"")</f>
        <v/>
      </c>
      <c r="AS328" s="954" t="str">
        <f ca="1">IFERROR($I328*44/12*参考2_エネ使用量経年!$I178*(参考2_エネ使用量経年!AS178+参考2_エネ使用量経年!AS265),"")</f>
        <v/>
      </c>
      <c r="AT328" s="954" t="str">
        <f ca="1">IFERROR($J328*44/12*参考2_エネ使用量経年!$J178*(参考2_エネ使用量経年!AT178+参考2_エネ使用量経年!AT265),"")</f>
        <v/>
      </c>
      <c r="AU328" s="954" t="str">
        <f ca="1">IFERROR($K328*44/12*参考2_エネ使用量経年!$K178*(参考2_エネ使用量経年!AU178+参考2_エネ使用量経年!AU265),"")</f>
        <v/>
      </c>
      <c r="AV328" s="954" t="str">
        <f ca="1">IFERROR($H328*44/12*参考2_エネ使用量経年!$H178*(参考2_エネ使用量経年!AV178+参考2_エネ使用量経年!AV265),"")</f>
        <v/>
      </c>
      <c r="AW328" s="954" t="str">
        <f ca="1">IFERROR($I328*44/12*参考2_エネ使用量経年!$I178*(参考2_エネ使用量経年!AW178+参考2_エネ使用量経年!AW265),"")</f>
        <v/>
      </c>
      <c r="AX328" s="954" t="str">
        <f ca="1">IFERROR($J328*44/12*参考2_エネ使用量経年!$J178*(参考2_エネ使用量経年!AX178+参考2_エネ使用量経年!AX265),"")</f>
        <v/>
      </c>
      <c r="AY328" s="954" t="str">
        <f ca="1">IFERROR($K328*44/12*参考2_エネ使用量経年!$K178*(参考2_エネ使用量経年!AY178+参考2_エネ使用量経年!AY265),"")</f>
        <v/>
      </c>
      <c r="AZ328" s="954" t="str">
        <f ca="1">IFERROR($H328*44/12*参考2_エネ使用量経年!$H178*(参考2_エネ使用量経年!AZ178+参考2_エネ使用量経年!AZ265),"")</f>
        <v/>
      </c>
      <c r="BA328" s="954" t="str">
        <f ca="1">IFERROR($I328*44/12*参考2_エネ使用量経年!$I178*(参考2_エネ使用量経年!BA178+参考2_エネ使用量経年!BA265),"")</f>
        <v/>
      </c>
      <c r="BB328" s="954" t="str">
        <f ca="1">IFERROR($J328*44/12*参考2_エネ使用量経年!$J178*(参考2_エネ使用量経年!BB178+参考2_エネ使用量経年!BB265),"")</f>
        <v/>
      </c>
      <c r="BC328" s="954" t="str">
        <f ca="1">IFERROR($K328*44/12*参考2_エネ使用量経年!$K178*(参考2_エネ使用量経年!BC178+参考2_エネ使用量経年!BC265),"")</f>
        <v/>
      </c>
      <c r="BD328" s="954" t="str">
        <f ca="1">IFERROR($H328*44/12*参考2_エネ使用量経年!$H178*(参考2_エネ使用量経年!BD178+参考2_エネ使用量経年!BD265),"")</f>
        <v/>
      </c>
      <c r="BE328" s="954" t="str">
        <f ca="1">IFERROR($I328*44/12*参考2_エネ使用量経年!$I178*(参考2_エネ使用量経年!BE178+参考2_エネ使用量経年!BE265),"")</f>
        <v/>
      </c>
      <c r="BF328" s="954" t="str">
        <f ca="1">IFERROR($J328*44/12*参考2_エネ使用量経年!$J178*(参考2_エネ使用量経年!BF178+参考2_エネ使用量経年!BF265),"")</f>
        <v/>
      </c>
      <c r="BG328" s="954" t="str">
        <f ca="1">IFERROR($K328*44/12*参考2_エネ使用量経年!$K178*(参考2_エネ使用量経年!BG178+参考2_エネ使用量経年!BG265),"")</f>
        <v/>
      </c>
      <c r="BH328" s="954" t="str">
        <f ca="1">IFERROR($H328*44/12*参考2_エネ使用量経年!$H178*(参考2_エネ使用量経年!BH178+参考2_エネ使用量経年!BH265),"")</f>
        <v/>
      </c>
      <c r="BI328" s="954" t="str">
        <f ca="1">IFERROR($I328*44/12*参考2_エネ使用量経年!$I178*(参考2_エネ使用量経年!BI178+参考2_エネ使用量経年!BI265),"")</f>
        <v/>
      </c>
      <c r="BJ328" s="954" t="str">
        <f ca="1">IFERROR($J328*44/12*参考2_エネ使用量経年!$J178*(参考2_エネ使用量経年!BJ178+参考2_エネ使用量経年!BJ265),"")</f>
        <v/>
      </c>
      <c r="BK328" s="954" t="str">
        <f ca="1">IFERROR($K328*44/12*参考2_エネ使用量経年!$K178*(参考2_エネ使用量経年!BK178+参考2_エネ使用量経年!BK265),"")</f>
        <v/>
      </c>
      <c r="BL328" s="954" t="str">
        <f ca="1">IFERROR($H328*44/12*参考2_エネ使用量経年!$H178*(参考2_エネ使用量経年!BL178+参考2_エネ使用量経年!BL265),"")</f>
        <v/>
      </c>
      <c r="BM328" s="954" t="str">
        <f ca="1">IFERROR($I328*44/12*参考2_エネ使用量経年!$I178*(参考2_エネ使用量経年!BM178+参考2_エネ使用量経年!BM265),"")</f>
        <v/>
      </c>
      <c r="BN328" s="954" t="str">
        <f ca="1">IFERROR($J328*44/12*参考2_エネ使用量経年!$J178*(参考2_エネ使用量経年!BN178+参考2_エネ使用量経年!BN265),"")</f>
        <v/>
      </c>
      <c r="BO328" s="954" t="str">
        <f ca="1">IFERROR($K328*44/12*参考2_エネ使用量経年!$K178*(参考2_エネ使用量経年!BO178+参考2_エネ使用量経年!BO265),"")</f>
        <v/>
      </c>
    </row>
    <row r="329" spans="1:67" ht="20.100000000000001" customHeight="1">
      <c r="A329" s="952">
        <v>16</v>
      </c>
      <c r="B329" s="1870"/>
      <c r="C329" s="1872"/>
      <c r="D329" s="824" t="s">
        <v>4152</v>
      </c>
      <c r="E329" s="818"/>
      <c r="F329" s="825"/>
      <c r="G329" s="891" t="s">
        <v>4685</v>
      </c>
      <c r="H329" s="953">
        <f t="shared" ca="1" si="110"/>
        <v>2.0199999999999999E-2</v>
      </c>
      <c r="I329" s="953">
        <f t="shared" ca="1" si="111"/>
        <v>2.0199999999999999E-2</v>
      </c>
      <c r="J329" s="953">
        <f t="shared" ca="1" si="112"/>
        <v>2.0199999999999999E-2</v>
      </c>
      <c r="K329" s="953">
        <f t="shared" ca="1" si="113"/>
        <v>2.0199999999999999E-2</v>
      </c>
      <c r="L329" s="954">
        <f ca="1">IFERROR($H329*44/12*参考2_エネ使用量経年!$H179*(参考2_エネ使用量経年!L179+参考2_エネ使用量経年!L266),"")</f>
        <v>0</v>
      </c>
      <c r="M329" s="954">
        <f ca="1">IFERROR($I329*44/12*参考2_エネ使用量経年!$I179*(参考2_エネ使用量経年!M179+参考2_エネ使用量経年!M266),"")</f>
        <v>0</v>
      </c>
      <c r="N329" s="954">
        <f ca="1">IFERROR($J329*44/12*参考2_エネ使用量経年!$J179*(参考2_エネ使用量経年!N179+参考2_エネ使用量経年!N266),"")</f>
        <v>0</v>
      </c>
      <c r="O329" s="954">
        <f ca="1">IFERROR($K329*44/12*参考2_エネ使用量経年!$K179*(参考2_エネ使用量経年!O179+参考2_エネ使用量経年!O266),"")</f>
        <v>0</v>
      </c>
      <c r="P329" s="954">
        <f ca="1">IFERROR($H329*44/12*参考2_エネ使用量経年!$H179*(参考2_エネ使用量経年!P179+参考2_エネ使用量経年!P266),"")</f>
        <v>0</v>
      </c>
      <c r="Q329" s="954">
        <f ca="1">IFERROR($I329*44/12*参考2_エネ使用量経年!$I179*(参考2_エネ使用量経年!Q179+参考2_エネ使用量経年!Q266),"")</f>
        <v>0</v>
      </c>
      <c r="R329" s="954">
        <f ca="1">IFERROR($J329*44/12*参考2_エネ使用量経年!$J179*(参考2_エネ使用量経年!R179+参考2_エネ使用量経年!R266),"")</f>
        <v>0</v>
      </c>
      <c r="S329" s="954">
        <f ca="1">IFERROR($K329*44/12*参考2_エネ使用量経年!$K179*(参考2_エネ使用量経年!S179+参考2_エネ使用量経年!S266),"")</f>
        <v>0</v>
      </c>
      <c r="T329" s="954">
        <f ca="1">IFERROR($H329*44/12*参考2_エネ使用量経年!$H179*(参考2_エネ使用量経年!T179+参考2_エネ使用量経年!T266),"")</f>
        <v>0</v>
      </c>
      <c r="U329" s="954">
        <f ca="1">IFERROR($I329*44/12*参考2_エネ使用量経年!$I179*(参考2_エネ使用量経年!U179+参考2_エネ使用量経年!U266),"")</f>
        <v>0</v>
      </c>
      <c r="V329" s="954">
        <f ca="1">IFERROR($J329*44/12*参考2_エネ使用量経年!$J179*(参考2_エネ使用量経年!V179+参考2_エネ使用量経年!V266),"")</f>
        <v>0</v>
      </c>
      <c r="W329" s="954">
        <f ca="1">IFERROR($K329*44/12*参考2_エネ使用量経年!$K179*(参考2_エネ使用量経年!W179+参考2_エネ使用量経年!W266),"")</f>
        <v>0</v>
      </c>
      <c r="X329" s="954">
        <f ca="1">IFERROR($H329*44/12*参考2_エネ使用量経年!$H179*(参考2_エネ使用量経年!X179+参考2_エネ使用量経年!X266),"")</f>
        <v>0</v>
      </c>
      <c r="Y329" s="954">
        <f ca="1">IFERROR($I329*44/12*参考2_エネ使用量経年!$I179*(参考2_エネ使用量経年!Y179+参考2_エネ使用量経年!Y266),"")</f>
        <v>0</v>
      </c>
      <c r="Z329" s="954">
        <f ca="1">IFERROR($J329*44/12*参考2_エネ使用量経年!$J179*(参考2_エネ使用量経年!Z179+参考2_エネ使用量経年!Z266),"")</f>
        <v>0</v>
      </c>
      <c r="AA329" s="954">
        <f ca="1">IFERROR($K329*44/12*参考2_エネ使用量経年!$K179*(参考2_エネ使用量経年!AA179+参考2_エネ使用量経年!AA266),"")</f>
        <v>0</v>
      </c>
      <c r="AB329" s="954" t="str">
        <f ca="1">IFERROR($H329*44/12*参考2_エネ使用量経年!$H179*(参考2_エネ使用量経年!AB179+参考2_エネ使用量経年!AB266),"")</f>
        <v/>
      </c>
      <c r="AC329" s="954" t="str">
        <f ca="1">IFERROR($I329*44/12*参考2_エネ使用量経年!$I179*(参考2_エネ使用量経年!AC179+参考2_エネ使用量経年!AC266),"")</f>
        <v/>
      </c>
      <c r="AD329" s="954" t="str">
        <f ca="1">IFERROR($J329*44/12*参考2_エネ使用量経年!$J179*(参考2_エネ使用量経年!AD179+参考2_エネ使用量経年!AD266),"")</f>
        <v/>
      </c>
      <c r="AE329" s="954" t="str">
        <f ca="1">IFERROR($K329*44/12*参考2_エネ使用量経年!$K179*(参考2_エネ使用量経年!AE179+参考2_エネ使用量経年!AE266),"")</f>
        <v/>
      </c>
      <c r="AF329" s="954" t="str">
        <f ca="1">IFERROR($H329*44/12*参考2_エネ使用量経年!$H179*(参考2_エネ使用量経年!AF179+参考2_エネ使用量経年!AF266),"")</f>
        <v/>
      </c>
      <c r="AG329" s="954" t="str">
        <f ca="1">IFERROR($I329*44/12*参考2_エネ使用量経年!$I179*(参考2_エネ使用量経年!AG179+参考2_エネ使用量経年!AG266),"")</f>
        <v/>
      </c>
      <c r="AH329" s="954" t="str">
        <f ca="1">IFERROR($J329*44/12*参考2_エネ使用量経年!$J179*(参考2_エネ使用量経年!AH179+参考2_エネ使用量経年!AH266),"")</f>
        <v/>
      </c>
      <c r="AI329" s="954" t="str">
        <f ca="1">IFERROR($K329*44/12*参考2_エネ使用量経年!$K179*(参考2_エネ使用量経年!AI179+参考2_エネ使用量経年!AI266),"")</f>
        <v/>
      </c>
      <c r="AJ329" s="954" t="str">
        <f ca="1">IFERROR($H329*44/12*参考2_エネ使用量経年!$H179*(参考2_エネ使用量経年!AJ179+参考2_エネ使用量経年!AJ266),"")</f>
        <v/>
      </c>
      <c r="AK329" s="954" t="str">
        <f ca="1">IFERROR($I329*44/12*参考2_エネ使用量経年!$I179*(参考2_エネ使用量経年!AK179+参考2_エネ使用量経年!AK266),"")</f>
        <v/>
      </c>
      <c r="AL329" s="954" t="str">
        <f ca="1">IFERROR($J329*44/12*参考2_エネ使用量経年!$J179*(参考2_エネ使用量経年!AL179+参考2_エネ使用量経年!AL266),"")</f>
        <v/>
      </c>
      <c r="AM329" s="954" t="str">
        <f ca="1">IFERROR($K329*44/12*参考2_エネ使用量経年!$K179*(参考2_エネ使用量経年!AM179+参考2_エネ使用量経年!AM266),"")</f>
        <v/>
      </c>
      <c r="AN329" s="954" t="str">
        <f ca="1">IFERROR($H329*44/12*参考2_エネ使用量経年!$H179*(参考2_エネ使用量経年!AN179+参考2_エネ使用量経年!AN266),"")</f>
        <v/>
      </c>
      <c r="AO329" s="954" t="str">
        <f ca="1">IFERROR($I329*44/12*参考2_エネ使用量経年!$I179*(参考2_エネ使用量経年!AO179+参考2_エネ使用量経年!AO266),"")</f>
        <v/>
      </c>
      <c r="AP329" s="954" t="str">
        <f ca="1">IFERROR($J329*44/12*参考2_エネ使用量経年!$J179*(参考2_エネ使用量経年!AP179+参考2_エネ使用量経年!AP266),"")</f>
        <v/>
      </c>
      <c r="AQ329" s="954" t="str">
        <f ca="1">IFERROR($K329*44/12*参考2_エネ使用量経年!$K179*(参考2_エネ使用量経年!AQ179+参考2_エネ使用量経年!AQ266),"")</f>
        <v/>
      </c>
      <c r="AR329" s="954" t="str">
        <f ca="1">IFERROR($H329*44/12*参考2_エネ使用量経年!$H179*(参考2_エネ使用量経年!AR179+参考2_エネ使用量経年!AR266),"")</f>
        <v/>
      </c>
      <c r="AS329" s="954" t="str">
        <f ca="1">IFERROR($I329*44/12*参考2_エネ使用量経年!$I179*(参考2_エネ使用量経年!AS179+参考2_エネ使用量経年!AS266),"")</f>
        <v/>
      </c>
      <c r="AT329" s="954" t="str">
        <f ca="1">IFERROR($J329*44/12*参考2_エネ使用量経年!$J179*(参考2_エネ使用量経年!AT179+参考2_エネ使用量経年!AT266),"")</f>
        <v/>
      </c>
      <c r="AU329" s="954" t="str">
        <f ca="1">IFERROR($K329*44/12*参考2_エネ使用量経年!$K179*(参考2_エネ使用量経年!AU179+参考2_エネ使用量経年!AU266),"")</f>
        <v/>
      </c>
      <c r="AV329" s="954" t="str">
        <f ca="1">IFERROR($H329*44/12*参考2_エネ使用量経年!$H179*(参考2_エネ使用量経年!AV179+参考2_エネ使用量経年!AV266),"")</f>
        <v/>
      </c>
      <c r="AW329" s="954" t="str">
        <f ca="1">IFERROR($I329*44/12*参考2_エネ使用量経年!$I179*(参考2_エネ使用量経年!AW179+参考2_エネ使用量経年!AW266),"")</f>
        <v/>
      </c>
      <c r="AX329" s="954" t="str">
        <f ca="1">IFERROR($J329*44/12*参考2_エネ使用量経年!$J179*(参考2_エネ使用量経年!AX179+参考2_エネ使用量経年!AX266),"")</f>
        <v/>
      </c>
      <c r="AY329" s="954" t="str">
        <f ca="1">IFERROR($K329*44/12*参考2_エネ使用量経年!$K179*(参考2_エネ使用量経年!AY179+参考2_エネ使用量経年!AY266),"")</f>
        <v/>
      </c>
      <c r="AZ329" s="954" t="str">
        <f ca="1">IFERROR($H329*44/12*参考2_エネ使用量経年!$H179*(参考2_エネ使用量経年!AZ179+参考2_エネ使用量経年!AZ266),"")</f>
        <v/>
      </c>
      <c r="BA329" s="954" t="str">
        <f ca="1">IFERROR($I329*44/12*参考2_エネ使用量経年!$I179*(参考2_エネ使用量経年!BA179+参考2_エネ使用量経年!BA266),"")</f>
        <v/>
      </c>
      <c r="BB329" s="954" t="str">
        <f ca="1">IFERROR($J329*44/12*参考2_エネ使用量経年!$J179*(参考2_エネ使用量経年!BB179+参考2_エネ使用量経年!BB266),"")</f>
        <v/>
      </c>
      <c r="BC329" s="954" t="str">
        <f ca="1">IFERROR($K329*44/12*参考2_エネ使用量経年!$K179*(参考2_エネ使用量経年!BC179+参考2_エネ使用量経年!BC266),"")</f>
        <v/>
      </c>
      <c r="BD329" s="954" t="str">
        <f ca="1">IFERROR($H329*44/12*参考2_エネ使用量経年!$H179*(参考2_エネ使用量経年!BD179+参考2_エネ使用量経年!BD266),"")</f>
        <v/>
      </c>
      <c r="BE329" s="954" t="str">
        <f ca="1">IFERROR($I329*44/12*参考2_エネ使用量経年!$I179*(参考2_エネ使用量経年!BE179+参考2_エネ使用量経年!BE266),"")</f>
        <v/>
      </c>
      <c r="BF329" s="954" t="str">
        <f ca="1">IFERROR($J329*44/12*参考2_エネ使用量経年!$J179*(参考2_エネ使用量経年!BF179+参考2_エネ使用量経年!BF266),"")</f>
        <v/>
      </c>
      <c r="BG329" s="954" t="str">
        <f ca="1">IFERROR($K329*44/12*参考2_エネ使用量経年!$K179*(参考2_エネ使用量経年!BG179+参考2_エネ使用量経年!BG266),"")</f>
        <v/>
      </c>
      <c r="BH329" s="954" t="str">
        <f ca="1">IFERROR($H329*44/12*参考2_エネ使用量経年!$H179*(参考2_エネ使用量経年!BH179+参考2_エネ使用量経年!BH266),"")</f>
        <v/>
      </c>
      <c r="BI329" s="954" t="str">
        <f ca="1">IFERROR($I329*44/12*参考2_エネ使用量経年!$I179*(参考2_エネ使用量経年!BI179+参考2_エネ使用量経年!BI266),"")</f>
        <v/>
      </c>
      <c r="BJ329" s="954" t="str">
        <f ca="1">IFERROR($J329*44/12*参考2_エネ使用量経年!$J179*(参考2_エネ使用量経年!BJ179+参考2_エネ使用量経年!BJ266),"")</f>
        <v/>
      </c>
      <c r="BK329" s="954" t="str">
        <f ca="1">IFERROR($K329*44/12*参考2_エネ使用量経年!$K179*(参考2_エネ使用量経年!BK179+参考2_エネ使用量経年!BK266),"")</f>
        <v/>
      </c>
      <c r="BL329" s="954" t="str">
        <f ca="1">IFERROR($H329*44/12*参考2_エネ使用量経年!$H179*(参考2_エネ使用量経年!BL179+参考2_エネ使用量経年!BL266),"")</f>
        <v/>
      </c>
      <c r="BM329" s="954" t="str">
        <f ca="1">IFERROR($I329*44/12*参考2_エネ使用量経年!$I179*(参考2_エネ使用量経年!BM179+参考2_エネ使用量経年!BM266),"")</f>
        <v/>
      </c>
      <c r="BN329" s="954" t="str">
        <f ca="1">IFERROR($J329*44/12*参考2_エネ使用量経年!$J179*(参考2_エネ使用量経年!BN179+参考2_エネ使用量経年!BN266),"")</f>
        <v/>
      </c>
      <c r="BO329" s="954" t="str">
        <f ca="1">IFERROR($K329*44/12*参考2_エネ使用量経年!$K179*(参考2_エネ使用量経年!BO179+参考2_エネ使用量経年!BO266),"")</f>
        <v/>
      </c>
    </row>
    <row r="330" spans="1:67" ht="20.100000000000001" customHeight="1">
      <c r="A330" s="952">
        <v>17</v>
      </c>
      <c r="B330" s="1870"/>
      <c r="C330" s="1872"/>
      <c r="D330" s="824" t="s">
        <v>4153</v>
      </c>
      <c r="E330" s="824"/>
      <c r="F330" s="825"/>
      <c r="G330" s="891" t="s">
        <v>4685</v>
      </c>
      <c r="H330" s="953">
        <f t="shared" ca="1" si="110"/>
        <v>2.0400000000000001E-2</v>
      </c>
      <c r="I330" s="953">
        <f t="shared" ca="1" si="111"/>
        <v>2.0400000000000001E-2</v>
      </c>
      <c r="J330" s="953">
        <f t="shared" ca="1" si="112"/>
        <v>2.0400000000000001E-2</v>
      </c>
      <c r="K330" s="953">
        <f t="shared" ca="1" si="113"/>
        <v>2.0400000000000001E-2</v>
      </c>
      <c r="L330" s="954">
        <f ca="1">IFERROR($H330*44/12*参考2_エネ使用量経年!$H180*(参考2_エネ使用量経年!L180+参考2_エネ使用量経年!L267),"")</f>
        <v>0</v>
      </c>
      <c r="M330" s="954">
        <f ca="1">IFERROR($I330*44/12*参考2_エネ使用量経年!$I180*(参考2_エネ使用量経年!M180+参考2_エネ使用量経年!M267),"")</f>
        <v>0</v>
      </c>
      <c r="N330" s="954">
        <f ca="1">IFERROR($J330*44/12*参考2_エネ使用量経年!$J180*(参考2_エネ使用量経年!N180+参考2_エネ使用量経年!N267),"")</f>
        <v>0</v>
      </c>
      <c r="O330" s="954">
        <f ca="1">IFERROR($K330*44/12*参考2_エネ使用量経年!$K180*(参考2_エネ使用量経年!O180+参考2_エネ使用量経年!O267),"")</f>
        <v>0</v>
      </c>
      <c r="P330" s="954">
        <f ca="1">IFERROR($H330*44/12*参考2_エネ使用量経年!$H180*(参考2_エネ使用量経年!P180+参考2_エネ使用量経年!P267),"")</f>
        <v>0</v>
      </c>
      <c r="Q330" s="954">
        <f ca="1">IFERROR($I330*44/12*参考2_エネ使用量経年!$I180*(参考2_エネ使用量経年!Q180+参考2_エネ使用量経年!Q267),"")</f>
        <v>0</v>
      </c>
      <c r="R330" s="954">
        <f ca="1">IFERROR($J330*44/12*参考2_エネ使用量経年!$J180*(参考2_エネ使用量経年!R180+参考2_エネ使用量経年!R267),"")</f>
        <v>0</v>
      </c>
      <c r="S330" s="954">
        <f ca="1">IFERROR($K330*44/12*参考2_エネ使用量経年!$K180*(参考2_エネ使用量経年!S180+参考2_エネ使用量経年!S267),"")</f>
        <v>0</v>
      </c>
      <c r="T330" s="954">
        <f ca="1">IFERROR($H330*44/12*参考2_エネ使用量経年!$H180*(参考2_エネ使用量経年!T180+参考2_エネ使用量経年!T267),"")</f>
        <v>0</v>
      </c>
      <c r="U330" s="954">
        <f ca="1">IFERROR($I330*44/12*参考2_エネ使用量経年!$I180*(参考2_エネ使用量経年!U180+参考2_エネ使用量経年!U267),"")</f>
        <v>0</v>
      </c>
      <c r="V330" s="954">
        <f ca="1">IFERROR($J330*44/12*参考2_エネ使用量経年!$J180*(参考2_エネ使用量経年!V180+参考2_エネ使用量経年!V267),"")</f>
        <v>0</v>
      </c>
      <c r="W330" s="954">
        <f ca="1">IFERROR($K330*44/12*参考2_エネ使用量経年!$K180*(参考2_エネ使用量経年!W180+参考2_エネ使用量経年!W267),"")</f>
        <v>0</v>
      </c>
      <c r="X330" s="954">
        <f ca="1">IFERROR($H330*44/12*参考2_エネ使用量経年!$H180*(参考2_エネ使用量経年!X180+参考2_エネ使用量経年!X267),"")</f>
        <v>0</v>
      </c>
      <c r="Y330" s="954">
        <f ca="1">IFERROR($I330*44/12*参考2_エネ使用量経年!$I180*(参考2_エネ使用量経年!Y180+参考2_エネ使用量経年!Y267),"")</f>
        <v>0</v>
      </c>
      <c r="Z330" s="954">
        <f ca="1">IFERROR($J330*44/12*参考2_エネ使用量経年!$J180*(参考2_エネ使用量経年!Z180+参考2_エネ使用量経年!Z267),"")</f>
        <v>0</v>
      </c>
      <c r="AA330" s="954">
        <f ca="1">IFERROR($K330*44/12*参考2_エネ使用量経年!$K180*(参考2_エネ使用量経年!AA180+参考2_エネ使用量経年!AA267),"")</f>
        <v>0</v>
      </c>
      <c r="AB330" s="954" t="str">
        <f ca="1">IFERROR($H330*44/12*参考2_エネ使用量経年!$H180*(参考2_エネ使用量経年!AB180+参考2_エネ使用量経年!AB267),"")</f>
        <v/>
      </c>
      <c r="AC330" s="954" t="str">
        <f ca="1">IFERROR($I330*44/12*参考2_エネ使用量経年!$I180*(参考2_エネ使用量経年!AC180+参考2_エネ使用量経年!AC267),"")</f>
        <v/>
      </c>
      <c r="AD330" s="954" t="str">
        <f ca="1">IFERROR($J330*44/12*参考2_エネ使用量経年!$J180*(参考2_エネ使用量経年!AD180+参考2_エネ使用量経年!AD267),"")</f>
        <v/>
      </c>
      <c r="AE330" s="954" t="str">
        <f ca="1">IFERROR($K330*44/12*参考2_エネ使用量経年!$K180*(参考2_エネ使用量経年!AE180+参考2_エネ使用量経年!AE267),"")</f>
        <v/>
      </c>
      <c r="AF330" s="954" t="str">
        <f ca="1">IFERROR($H330*44/12*参考2_エネ使用量経年!$H180*(参考2_エネ使用量経年!AF180+参考2_エネ使用量経年!AF267),"")</f>
        <v/>
      </c>
      <c r="AG330" s="954" t="str">
        <f ca="1">IFERROR($I330*44/12*参考2_エネ使用量経年!$I180*(参考2_エネ使用量経年!AG180+参考2_エネ使用量経年!AG267),"")</f>
        <v/>
      </c>
      <c r="AH330" s="954" t="str">
        <f ca="1">IFERROR($J330*44/12*参考2_エネ使用量経年!$J180*(参考2_エネ使用量経年!AH180+参考2_エネ使用量経年!AH267),"")</f>
        <v/>
      </c>
      <c r="AI330" s="954" t="str">
        <f ca="1">IFERROR($K330*44/12*参考2_エネ使用量経年!$K180*(参考2_エネ使用量経年!AI180+参考2_エネ使用量経年!AI267),"")</f>
        <v/>
      </c>
      <c r="AJ330" s="954" t="str">
        <f ca="1">IFERROR($H330*44/12*参考2_エネ使用量経年!$H180*(参考2_エネ使用量経年!AJ180+参考2_エネ使用量経年!AJ267),"")</f>
        <v/>
      </c>
      <c r="AK330" s="954" t="str">
        <f ca="1">IFERROR($I330*44/12*参考2_エネ使用量経年!$I180*(参考2_エネ使用量経年!AK180+参考2_エネ使用量経年!AK267),"")</f>
        <v/>
      </c>
      <c r="AL330" s="954" t="str">
        <f ca="1">IFERROR($J330*44/12*参考2_エネ使用量経年!$J180*(参考2_エネ使用量経年!AL180+参考2_エネ使用量経年!AL267),"")</f>
        <v/>
      </c>
      <c r="AM330" s="954" t="str">
        <f ca="1">IFERROR($K330*44/12*参考2_エネ使用量経年!$K180*(参考2_エネ使用量経年!AM180+参考2_エネ使用量経年!AM267),"")</f>
        <v/>
      </c>
      <c r="AN330" s="954" t="str">
        <f ca="1">IFERROR($H330*44/12*参考2_エネ使用量経年!$H180*(参考2_エネ使用量経年!AN180+参考2_エネ使用量経年!AN267),"")</f>
        <v/>
      </c>
      <c r="AO330" s="954" t="str">
        <f ca="1">IFERROR($I330*44/12*参考2_エネ使用量経年!$I180*(参考2_エネ使用量経年!AO180+参考2_エネ使用量経年!AO267),"")</f>
        <v/>
      </c>
      <c r="AP330" s="954" t="str">
        <f ca="1">IFERROR($J330*44/12*参考2_エネ使用量経年!$J180*(参考2_エネ使用量経年!AP180+参考2_エネ使用量経年!AP267),"")</f>
        <v/>
      </c>
      <c r="AQ330" s="954" t="str">
        <f ca="1">IFERROR($K330*44/12*参考2_エネ使用量経年!$K180*(参考2_エネ使用量経年!AQ180+参考2_エネ使用量経年!AQ267),"")</f>
        <v/>
      </c>
      <c r="AR330" s="954" t="str">
        <f ca="1">IFERROR($H330*44/12*参考2_エネ使用量経年!$H180*(参考2_エネ使用量経年!AR180+参考2_エネ使用量経年!AR267),"")</f>
        <v/>
      </c>
      <c r="AS330" s="954" t="str">
        <f ca="1">IFERROR($I330*44/12*参考2_エネ使用量経年!$I180*(参考2_エネ使用量経年!AS180+参考2_エネ使用量経年!AS267),"")</f>
        <v/>
      </c>
      <c r="AT330" s="954" t="str">
        <f ca="1">IFERROR($J330*44/12*参考2_エネ使用量経年!$J180*(参考2_エネ使用量経年!AT180+参考2_エネ使用量経年!AT267),"")</f>
        <v/>
      </c>
      <c r="AU330" s="954" t="str">
        <f ca="1">IFERROR($K330*44/12*参考2_エネ使用量経年!$K180*(参考2_エネ使用量経年!AU180+参考2_エネ使用量経年!AU267),"")</f>
        <v/>
      </c>
      <c r="AV330" s="954" t="str">
        <f ca="1">IFERROR($H330*44/12*参考2_エネ使用量経年!$H180*(参考2_エネ使用量経年!AV180+参考2_エネ使用量経年!AV267),"")</f>
        <v/>
      </c>
      <c r="AW330" s="954" t="str">
        <f ca="1">IFERROR($I330*44/12*参考2_エネ使用量経年!$I180*(参考2_エネ使用量経年!AW180+参考2_エネ使用量経年!AW267),"")</f>
        <v/>
      </c>
      <c r="AX330" s="954" t="str">
        <f ca="1">IFERROR($J330*44/12*参考2_エネ使用量経年!$J180*(参考2_エネ使用量経年!AX180+参考2_エネ使用量経年!AX267),"")</f>
        <v/>
      </c>
      <c r="AY330" s="954" t="str">
        <f ca="1">IFERROR($K330*44/12*参考2_エネ使用量経年!$K180*(参考2_エネ使用量経年!AY180+参考2_エネ使用量経年!AY267),"")</f>
        <v/>
      </c>
      <c r="AZ330" s="954" t="str">
        <f ca="1">IFERROR($H330*44/12*参考2_エネ使用量経年!$H180*(参考2_エネ使用量経年!AZ180+参考2_エネ使用量経年!AZ267),"")</f>
        <v/>
      </c>
      <c r="BA330" s="954" t="str">
        <f ca="1">IFERROR($I330*44/12*参考2_エネ使用量経年!$I180*(参考2_エネ使用量経年!BA180+参考2_エネ使用量経年!BA267),"")</f>
        <v/>
      </c>
      <c r="BB330" s="954" t="str">
        <f ca="1">IFERROR($J330*44/12*参考2_エネ使用量経年!$J180*(参考2_エネ使用量経年!BB180+参考2_エネ使用量経年!BB267),"")</f>
        <v/>
      </c>
      <c r="BC330" s="954" t="str">
        <f ca="1">IFERROR($K330*44/12*参考2_エネ使用量経年!$K180*(参考2_エネ使用量経年!BC180+参考2_エネ使用量経年!BC267),"")</f>
        <v/>
      </c>
      <c r="BD330" s="954" t="str">
        <f ca="1">IFERROR($H330*44/12*参考2_エネ使用量経年!$H180*(参考2_エネ使用量経年!BD180+参考2_エネ使用量経年!BD267),"")</f>
        <v/>
      </c>
      <c r="BE330" s="954" t="str">
        <f ca="1">IFERROR($I330*44/12*参考2_エネ使用量経年!$I180*(参考2_エネ使用量経年!BE180+参考2_エネ使用量経年!BE267),"")</f>
        <v/>
      </c>
      <c r="BF330" s="954" t="str">
        <f ca="1">IFERROR($J330*44/12*参考2_エネ使用量経年!$J180*(参考2_エネ使用量経年!BF180+参考2_エネ使用量経年!BF267),"")</f>
        <v/>
      </c>
      <c r="BG330" s="954" t="str">
        <f ca="1">IFERROR($K330*44/12*参考2_エネ使用量経年!$K180*(参考2_エネ使用量経年!BG180+参考2_エネ使用量経年!BG267),"")</f>
        <v/>
      </c>
      <c r="BH330" s="954" t="str">
        <f ca="1">IFERROR($H330*44/12*参考2_エネ使用量経年!$H180*(参考2_エネ使用量経年!BH180+参考2_エネ使用量経年!BH267),"")</f>
        <v/>
      </c>
      <c r="BI330" s="954" t="str">
        <f ca="1">IFERROR($I330*44/12*参考2_エネ使用量経年!$I180*(参考2_エネ使用量経年!BI180+参考2_エネ使用量経年!BI267),"")</f>
        <v/>
      </c>
      <c r="BJ330" s="954" t="str">
        <f ca="1">IFERROR($J330*44/12*参考2_エネ使用量経年!$J180*(参考2_エネ使用量経年!BJ180+参考2_エネ使用量経年!BJ267),"")</f>
        <v/>
      </c>
      <c r="BK330" s="954" t="str">
        <f ca="1">IFERROR($K330*44/12*参考2_エネ使用量経年!$K180*(参考2_エネ使用量経年!BK180+参考2_エネ使用量経年!BK267),"")</f>
        <v/>
      </c>
      <c r="BL330" s="954" t="str">
        <f ca="1">IFERROR($H330*44/12*参考2_エネ使用量経年!$H180*(参考2_エネ使用量経年!BL180+参考2_エネ使用量経年!BL267),"")</f>
        <v/>
      </c>
      <c r="BM330" s="954" t="str">
        <f ca="1">IFERROR($I330*44/12*参考2_エネ使用量経年!$I180*(参考2_エネ使用量経年!BM180+参考2_エネ使用量経年!BM267),"")</f>
        <v/>
      </c>
      <c r="BN330" s="954" t="str">
        <f ca="1">IFERROR($J330*44/12*参考2_エネ使用量経年!$J180*(参考2_エネ使用量経年!BN180+参考2_エネ使用量経年!BN267),"")</f>
        <v/>
      </c>
      <c r="BO330" s="954" t="str">
        <f ca="1">IFERROR($K330*44/12*参考2_エネ使用量経年!$K180*(参考2_エネ使用量経年!BO180+参考2_エネ使用量経年!BO267),"")</f>
        <v/>
      </c>
    </row>
    <row r="331" spans="1:67" ht="20.100000000000001" customHeight="1">
      <c r="A331" s="952">
        <v>18</v>
      </c>
      <c r="B331" s="1870"/>
      <c r="C331" s="1872"/>
      <c r="D331" s="824" t="s">
        <v>4154</v>
      </c>
      <c r="E331" s="824"/>
      <c r="F331" s="825"/>
      <c r="G331" s="891" t="s">
        <v>4685</v>
      </c>
      <c r="H331" s="953">
        <f t="shared" ca="1" si="110"/>
        <v>2.5399999999999999E-2</v>
      </c>
      <c r="I331" s="953">
        <f t="shared" ca="1" si="111"/>
        <v>2.5399999999999999E-2</v>
      </c>
      <c r="J331" s="953">
        <f t="shared" ca="1" si="112"/>
        <v>2.5399999999999999E-2</v>
      </c>
      <c r="K331" s="953">
        <f t="shared" ca="1" si="113"/>
        <v>2.5399999999999999E-2</v>
      </c>
      <c r="L331" s="954">
        <f ca="1">IFERROR($H331*44/12*参考2_エネ使用量経年!$H181*(参考2_エネ使用量経年!L181+参考2_エネ使用量経年!L268),"")</f>
        <v>0</v>
      </c>
      <c r="M331" s="954">
        <f ca="1">IFERROR($I331*44/12*参考2_エネ使用量経年!$I181*(参考2_エネ使用量経年!M181+参考2_エネ使用量経年!M268),"")</f>
        <v>0</v>
      </c>
      <c r="N331" s="954">
        <f ca="1">IFERROR($J331*44/12*参考2_エネ使用量経年!$J181*(参考2_エネ使用量経年!N181+参考2_エネ使用量経年!N268),"")</f>
        <v>0</v>
      </c>
      <c r="O331" s="954">
        <f ca="1">IFERROR($K331*44/12*参考2_エネ使用量経年!$K181*(参考2_エネ使用量経年!O181+参考2_エネ使用量経年!O268),"")</f>
        <v>0</v>
      </c>
      <c r="P331" s="954">
        <f ca="1">IFERROR($H331*44/12*参考2_エネ使用量経年!$H181*(参考2_エネ使用量経年!P181+参考2_エネ使用量経年!P268),"")</f>
        <v>0</v>
      </c>
      <c r="Q331" s="954">
        <f ca="1">IFERROR($I331*44/12*参考2_エネ使用量経年!$I181*(参考2_エネ使用量経年!Q181+参考2_エネ使用量経年!Q268),"")</f>
        <v>0</v>
      </c>
      <c r="R331" s="954">
        <f ca="1">IFERROR($J331*44/12*参考2_エネ使用量経年!$J181*(参考2_エネ使用量経年!R181+参考2_エネ使用量経年!R268),"")</f>
        <v>0</v>
      </c>
      <c r="S331" s="954">
        <f ca="1">IFERROR($K331*44/12*参考2_エネ使用量経年!$K181*(参考2_エネ使用量経年!S181+参考2_エネ使用量経年!S268),"")</f>
        <v>0</v>
      </c>
      <c r="T331" s="954">
        <f ca="1">IFERROR($H331*44/12*参考2_エネ使用量経年!$H181*(参考2_エネ使用量経年!T181+参考2_エネ使用量経年!T268),"")</f>
        <v>0</v>
      </c>
      <c r="U331" s="954">
        <f ca="1">IFERROR($I331*44/12*参考2_エネ使用量経年!$I181*(参考2_エネ使用量経年!U181+参考2_エネ使用量経年!U268),"")</f>
        <v>0</v>
      </c>
      <c r="V331" s="954">
        <f ca="1">IFERROR($J331*44/12*参考2_エネ使用量経年!$J181*(参考2_エネ使用量経年!V181+参考2_エネ使用量経年!V268),"")</f>
        <v>0</v>
      </c>
      <c r="W331" s="954">
        <f ca="1">IFERROR($K331*44/12*参考2_エネ使用量経年!$K181*(参考2_エネ使用量経年!W181+参考2_エネ使用量経年!W268),"")</f>
        <v>0</v>
      </c>
      <c r="X331" s="954">
        <f ca="1">IFERROR($H331*44/12*参考2_エネ使用量経年!$H181*(参考2_エネ使用量経年!X181+参考2_エネ使用量経年!X268),"")</f>
        <v>0</v>
      </c>
      <c r="Y331" s="954">
        <f ca="1">IFERROR($I331*44/12*参考2_エネ使用量経年!$I181*(参考2_エネ使用量経年!Y181+参考2_エネ使用量経年!Y268),"")</f>
        <v>0</v>
      </c>
      <c r="Z331" s="954">
        <f ca="1">IFERROR($J331*44/12*参考2_エネ使用量経年!$J181*(参考2_エネ使用量経年!Z181+参考2_エネ使用量経年!Z268),"")</f>
        <v>0</v>
      </c>
      <c r="AA331" s="954">
        <f ca="1">IFERROR($K331*44/12*参考2_エネ使用量経年!$K181*(参考2_エネ使用量経年!AA181+参考2_エネ使用量経年!AA268),"")</f>
        <v>0</v>
      </c>
      <c r="AB331" s="954" t="str">
        <f ca="1">IFERROR($H331*44/12*参考2_エネ使用量経年!$H181*(参考2_エネ使用量経年!AB181+参考2_エネ使用量経年!AB268),"")</f>
        <v/>
      </c>
      <c r="AC331" s="954" t="str">
        <f ca="1">IFERROR($I331*44/12*参考2_エネ使用量経年!$I181*(参考2_エネ使用量経年!AC181+参考2_エネ使用量経年!AC268),"")</f>
        <v/>
      </c>
      <c r="AD331" s="954" t="str">
        <f ca="1">IFERROR($J331*44/12*参考2_エネ使用量経年!$J181*(参考2_エネ使用量経年!AD181+参考2_エネ使用量経年!AD268),"")</f>
        <v/>
      </c>
      <c r="AE331" s="954" t="str">
        <f ca="1">IFERROR($K331*44/12*参考2_エネ使用量経年!$K181*(参考2_エネ使用量経年!AE181+参考2_エネ使用量経年!AE268),"")</f>
        <v/>
      </c>
      <c r="AF331" s="954" t="str">
        <f ca="1">IFERROR($H331*44/12*参考2_エネ使用量経年!$H181*(参考2_エネ使用量経年!AF181+参考2_エネ使用量経年!AF268),"")</f>
        <v/>
      </c>
      <c r="AG331" s="954" t="str">
        <f ca="1">IFERROR($I331*44/12*参考2_エネ使用量経年!$I181*(参考2_エネ使用量経年!AG181+参考2_エネ使用量経年!AG268),"")</f>
        <v/>
      </c>
      <c r="AH331" s="954" t="str">
        <f ca="1">IFERROR($J331*44/12*参考2_エネ使用量経年!$J181*(参考2_エネ使用量経年!AH181+参考2_エネ使用量経年!AH268),"")</f>
        <v/>
      </c>
      <c r="AI331" s="954" t="str">
        <f ca="1">IFERROR($K331*44/12*参考2_エネ使用量経年!$K181*(参考2_エネ使用量経年!AI181+参考2_エネ使用量経年!AI268),"")</f>
        <v/>
      </c>
      <c r="AJ331" s="954" t="str">
        <f ca="1">IFERROR($H331*44/12*参考2_エネ使用量経年!$H181*(参考2_エネ使用量経年!AJ181+参考2_エネ使用量経年!AJ268),"")</f>
        <v/>
      </c>
      <c r="AK331" s="954" t="str">
        <f ca="1">IFERROR($I331*44/12*参考2_エネ使用量経年!$I181*(参考2_エネ使用量経年!AK181+参考2_エネ使用量経年!AK268),"")</f>
        <v/>
      </c>
      <c r="AL331" s="954" t="str">
        <f ca="1">IFERROR($J331*44/12*参考2_エネ使用量経年!$J181*(参考2_エネ使用量経年!AL181+参考2_エネ使用量経年!AL268),"")</f>
        <v/>
      </c>
      <c r="AM331" s="954" t="str">
        <f ca="1">IFERROR($K331*44/12*参考2_エネ使用量経年!$K181*(参考2_エネ使用量経年!AM181+参考2_エネ使用量経年!AM268),"")</f>
        <v/>
      </c>
      <c r="AN331" s="954" t="str">
        <f ca="1">IFERROR($H331*44/12*参考2_エネ使用量経年!$H181*(参考2_エネ使用量経年!AN181+参考2_エネ使用量経年!AN268),"")</f>
        <v/>
      </c>
      <c r="AO331" s="954" t="str">
        <f ca="1">IFERROR($I331*44/12*参考2_エネ使用量経年!$I181*(参考2_エネ使用量経年!AO181+参考2_エネ使用量経年!AO268),"")</f>
        <v/>
      </c>
      <c r="AP331" s="954" t="str">
        <f ca="1">IFERROR($J331*44/12*参考2_エネ使用量経年!$J181*(参考2_エネ使用量経年!AP181+参考2_エネ使用量経年!AP268),"")</f>
        <v/>
      </c>
      <c r="AQ331" s="954" t="str">
        <f ca="1">IFERROR($K331*44/12*参考2_エネ使用量経年!$K181*(参考2_エネ使用量経年!AQ181+参考2_エネ使用量経年!AQ268),"")</f>
        <v/>
      </c>
      <c r="AR331" s="954" t="str">
        <f ca="1">IFERROR($H331*44/12*参考2_エネ使用量経年!$H181*(参考2_エネ使用量経年!AR181+参考2_エネ使用量経年!AR268),"")</f>
        <v/>
      </c>
      <c r="AS331" s="954" t="str">
        <f ca="1">IFERROR($I331*44/12*参考2_エネ使用量経年!$I181*(参考2_エネ使用量経年!AS181+参考2_エネ使用量経年!AS268),"")</f>
        <v/>
      </c>
      <c r="AT331" s="954" t="str">
        <f ca="1">IFERROR($J331*44/12*参考2_エネ使用量経年!$J181*(参考2_エネ使用量経年!AT181+参考2_エネ使用量経年!AT268),"")</f>
        <v/>
      </c>
      <c r="AU331" s="954" t="str">
        <f ca="1">IFERROR($K331*44/12*参考2_エネ使用量経年!$K181*(参考2_エネ使用量経年!AU181+参考2_エネ使用量経年!AU268),"")</f>
        <v/>
      </c>
      <c r="AV331" s="954" t="str">
        <f ca="1">IFERROR($H331*44/12*参考2_エネ使用量経年!$H181*(参考2_エネ使用量経年!AV181+参考2_エネ使用量経年!AV268),"")</f>
        <v/>
      </c>
      <c r="AW331" s="954" t="str">
        <f ca="1">IFERROR($I331*44/12*参考2_エネ使用量経年!$I181*(参考2_エネ使用量経年!AW181+参考2_エネ使用量経年!AW268),"")</f>
        <v/>
      </c>
      <c r="AX331" s="954" t="str">
        <f ca="1">IFERROR($J331*44/12*参考2_エネ使用量経年!$J181*(参考2_エネ使用量経年!AX181+参考2_エネ使用量経年!AX268),"")</f>
        <v/>
      </c>
      <c r="AY331" s="954" t="str">
        <f ca="1">IFERROR($K331*44/12*参考2_エネ使用量経年!$K181*(参考2_エネ使用量経年!AY181+参考2_エネ使用量経年!AY268),"")</f>
        <v/>
      </c>
      <c r="AZ331" s="954" t="str">
        <f ca="1">IFERROR($H331*44/12*参考2_エネ使用量経年!$H181*(参考2_エネ使用量経年!AZ181+参考2_エネ使用量経年!AZ268),"")</f>
        <v/>
      </c>
      <c r="BA331" s="954" t="str">
        <f ca="1">IFERROR($I331*44/12*参考2_エネ使用量経年!$I181*(参考2_エネ使用量経年!BA181+参考2_エネ使用量経年!BA268),"")</f>
        <v/>
      </c>
      <c r="BB331" s="954" t="str">
        <f ca="1">IFERROR($J331*44/12*参考2_エネ使用量経年!$J181*(参考2_エネ使用量経年!BB181+参考2_エネ使用量経年!BB268),"")</f>
        <v/>
      </c>
      <c r="BC331" s="954" t="str">
        <f ca="1">IFERROR($K331*44/12*参考2_エネ使用量経年!$K181*(参考2_エネ使用量経年!BC181+参考2_エネ使用量経年!BC268),"")</f>
        <v/>
      </c>
      <c r="BD331" s="954" t="str">
        <f ca="1">IFERROR($H331*44/12*参考2_エネ使用量経年!$H181*(参考2_エネ使用量経年!BD181+参考2_エネ使用量経年!BD268),"")</f>
        <v/>
      </c>
      <c r="BE331" s="954" t="str">
        <f ca="1">IFERROR($I331*44/12*参考2_エネ使用量経年!$I181*(参考2_エネ使用量経年!BE181+参考2_エネ使用量経年!BE268),"")</f>
        <v/>
      </c>
      <c r="BF331" s="954" t="str">
        <f ca="1">IFERROR($J331*44/12*参考2_エネ使用量経年!$J181*(参考2_エネ使用量経年!BF181+参考2_エネ使用量経年!BF268),"")</f>
        <v/>
      </c>
      <c r="BG331" s="954" t="str">
        <f ca="1">IFERROR($K331*44/12*参考2_エネ使用量経年!$K181*(参考2_エネ使用量経年!BG181+参考2_エネ使用量経年!BG268),"")</f>
        <v/>
      </c>
      <c r="BH331" s="954" t="str">
        <f ca="1">IFERROR($H331*44/12*参考2_エネ使用量経年!$H181*(参考2_エネ使用量経年!BH181+参考2_エネ使用量経年!BH268),"")</f>
        <v/>
      </c>
      <c r="BI331" s="954" t="str">
        <f ca="1">IFERROR($I331*44/12*参考2_エネ使用量経年!$I181*(参考2_エネ使用量経年!BI181+参考2_エネ使用量経年!BI268),"")</f>
        <v/>
      </c>
      <c r="BJ331" s="954" t="str">
        <f ca="1">IFERROR($J331*44/12*参考2_エネ使用量経年!$J181*(参考2_エネ使用量経年!BJ181+参考2_エネ使用量経年!BJ268),"")</f>
        <v/>
      </c>
      <c r="BK331" s="954" t="str">
        <f ca="1">IFERROR($K331*44/12*参考2_エネ使用量経年!$K181*(参考2_エネ使用量経年!BK181+参考2_エネ使用量経年!BK268),"")</f>
        <v/>
      </c>
      <c r="BL331" s="954" t="str">
        <f ca="1">IFERROR($H331*44/12*参考2_エネ使用量経年!$H181*(参考2_エネ使用量経年!BL181+参考2_エネ使用量経年!BL268),"")</f>
        <v/>
      </c>
      <c r="BM331" s="954" t="str">
        <f ca="1">IFERROR($I331*44/12*参考2_エネ使用量経年!$I181*(参考2_エネ使用量経年!BM181+参考2_エネ使用量経年!BM268),"")</f>
        <v/>
      </c>
      <c r="BN331" s="954" t="str">
        <f ca="1">IFERROR($J331*44/12*参考2_エネ使用量経年!$J181*(参考2_エネ使用量経年!BN181+参考2_エネ使用量経年!BN268),"")</f>
        <v/>
      </c>
      <c r="BO331" s="954" t="str">
        <f ca="1">IFERROR($K331*44/12*参考2_エネ使用量経年!$K181*(参考2_エネ使用量経年!BO181+参考2_エネ使用量経年!BO268),"")</f>
        <v/>
      </c>
    </row>
    <row r="332" spans="1:67" ht="20.100000000000001" customHeight="1">
      <c r="A332" s="952">
        <v>19</v>
      </c>
      <c r="B332" s="1871"/>
      <c r="C332" s="1872"/>
      <c r="D332" s="824" t="s">
        <v>4394</v>
      </c>
      <c r="E332" s="824"/>
      <c r="F332" s="825"/>
      <c r="G332" s="891" t="s">
        <v>4685</v>
      </c>
      <c r="H332" s="953">
        <f t="shared" ca="1" si="110"/>
        <v>1.6299999999999999E-2</v>
      </c>
      <c r="I332" s="953">
        <f t="shared" ca="1" si="111"/>
        <v>1.6299999999999999E-2</v>
      </c>
      <c r="J332" s="953">
        <f t="shared" ca="1" si="112"/>
        <v>1.6299999999999999E-2</v>
      </c>
      <c r="K332" s="953">
        <f t="shared" ca="1" si="113"/>
        <v>1.6299999999999999E-2</v>
      </c>
      <c r="L332" s="954">
        <f ca="1">IFERROR($H332*44/12*参考2_エネ使用量経年!$H182*(参考2_エネ使用量経年!L182+参考2_エネ使用量経年!L269),"")</f>
        <v>0</v>
      </c>
      <c r="M332" s="954">
        <f ca="1">IFERROR($I332*44/12*参考2_エネ使用量経年!$I182*(参考2_エネ使用量経年!M182+参考2_エネ使用量経年!M269),"")</f>
        <v>0</v>
      </c>
      <c r="N332" s="954">
        <f ca="1">IFERROR($J332*44/12*参考2_エネ使用量経年!$J182*(参考2_エネ使用量経年!N182+参考2_エネ使用量経年!N269),"")</f>
        <v>0</v>
      </c>
      <c r="O332" s="954">
        <f ca="1">IFERROR($K332*44/12*参考2_エネ使用量経年!$K182*(参考2_エネ使用量経年!O182+参考2_エネ使用量経年!O269),"")</f>
        <v>0</v>
      </c>
      <c r="P332" s="954">
        <f ca="1">IFERROR($H332*44/12*参考2_エネ使用量経年!$H182*(参考2_エネ使用量経年!P182+参考2_エネ使用量経年!P269),"")</f>
        <v>0</v>
      </c>
      <c r="Q332" s="954">
        <f ca="1">IFERROR($I332*44/12*参考2_エネ使用量経年!$I182*(参考2_エネ使用量経年!Q182+参考2_エネ使用量経年!Q269),"")</f>
        <v>0</v>
      </c>
      <c r="R332" s="954">
        <f ca="1">IFERROR($J332*44/12*参考2_エネ使用量経年!$J182*(参考2_エネ使用量経年!R182+参考2_エネ使用量経年!R269),"")</f>
        <v>0</v>
      </c>
      <c r="S332" s="954">
        <f ca="1">IFERROR($K332*44/12*参考2_エネ使用量経年!$K182*(参考2_エネ使用量経年!S182+参考2_エネ使用量経年!S269),"")</f>
        <v>0</v>
      </c>
      <c r="T332" s="954">
        <f ca="1">IFERROR($H332*44/12*参考2_エネ使用量経年!$H182*(参考2_エネ使用量経年!T182+参考2_エネ使用量経年!T269),"")</f>
        <v>0</v>
      </c>
      <c r="U332" s="954">
        <f ca="1">IFERROR($I332*44/12*参考2_エネ使用量経年!$I182*(参考2_エネ使用量経年!U182+参考2_エネ使用量経年!U269),"")</f>
        <v>0</v>
      </c>
      <c r="V332" s="954">
        <f ca="1">IFERROR($J332*44/12*参考2_エネ使用量経年!$J182*(参考2_エネ使用量経年!V182+参考2_エネ使用量経年!V269),"")</f>
        <v>0</v>
      </c>
      <c r="W332" s="954">
        <f ca="1">IFERROR($K332*44/12*参考2_エネ使用量経年!$K182*(参考2_エネ使用量経年!W182+参考2_エネ使用量経年!W269),"")</f>
        <v>0</v>
      </c>
      <c r="X332" s="954">
        <f ca="1">IFERROR($H332*44/12*参考2_エネ使用量経年!$H182*(参考2_エネ使用量経年!X182+参考2_エネ使用量経年!X269),"")</f>
        <v>0</v>
      </c>
      <c r="Y332" s="954">
        <f ca="1">IFERROR($I332*44/12*参考2_エネ使用量経年!$I182*(参考2_エネ使用量経年!Y182+参考2_エネ使用量経年!Y269),"")</f>
        <v>0</v>
      </c>
      <c r="Z332" s="954">
        <f ca="1">IFERROR($J332*44/12*参考2_エネ使用量経年!$J182*(参考2_エネ使用量経年!Z182+参考2_エネ使用量経年!Z269),"")</f>
        <v>0</v>
      </c>
      <c r="AA332" s="954">
        <f ca="1">IFERROR($K332*44/12*参考2_エネ使用量経年!$K182*(参考2_エネ使用量経年!AA182+参考2_エネ使用量経年!AA269),"")</f>
        <v>0</v>
      </c>
      <c r="AB332" s="954" t="str">
        <f ca="1">IFERROR($H332*44/12*参考2_エネ使用量経年!$H182*(参考2_エネ使用量経年!AB182+参考2_エネ使用量経年!AB269),"")</f>
        <v/>
      </c>
      <c r="AC332" s="954" t="str">
        <f ca="1">IFERROR($I332*44/12*参考2_エネ使用量経年!$I182*(参考2_エネ使用量経年!AC182+参考2_エネ使用量経年!AC269),"")</f>
        <v/>
      </c>
      <c r="AD332" s="954" t="str">
        <f ca="1">IFERROR($J332*44/12*参考2_エネ使用量経年!$J182*(参考2_エネ使用量経年!AD182+参考2_エネ使用量経年!AD269),"")</f>
        <v/>
      </c>
      <c r="AE332" s="954" t="str">
        <f ca="1">IFERROR($K332*44/12*参考2_エネ使用量経年!$K182*(参考2_エネ使用量経年!AE182+参考2_エネ使用量経年!AE269),"")</f>
        <v/>
      </c>
      <c r="AF332" s="954" t="str">
        <f ca="1">IFERROR($H332*44/12*参考2_エネ使用量経年!$H182*(参考2_エネ使用量経年!AF182+参考2_エネ使用量経年!AF269),"")</f>
        <v/>
      </c>
      <c r="AG332" s="954" t="str">
        <f ca="1">IFERROR($I332*44/12*参考2_エネ使用量経年!$I182*(参考2_エネ使用量経年!AG182+参考2_エネ使用量経年!AG269),"")</f>
        <v/>
      </c>
      <c r="AH332" s="954" t="str">
        <f ca="1">IFERROR($J332*44/12*参考2_エネ使用量経年!$J182*(参考2_エネ使用量経年!AH182+参考2_エネ使用量経年!AH269),"")</f>
        <v/>
      </c>
      <c r="AI332" s="954" t="str">
        <f ca="1">IFERROR($K332*44/12*参考2_エネ使用量経年!$K182*(参考2_エネ使用量経年!AI182+参考2_エネ使用量経年!AI269),"")</f>
        <v/>
      </c>
      <c r="AJ332" s="954" t="str">
        <f ca="1">IFERROR($H332*44/12*参考2_エネ使用量経年!$H182*(参考2_エネ使用量経年!AJ182+参考2_エネ使用量経年!AJ269),"")</f>
        <v/>
      </c>
      <c r="AK332" s="954" t="str">
        <f ca="1">IFERROR($I332*44/12*参考2_エネ使用量経年!$I182*(参考2_エネ使用量経年!AK182+参考2_エネ使用量経年!AK269),"")</f>
        <v/>
      </c>
      <c r="AL332" s="954" t="str">
        <f ca="1">IFERROR($J332*44/12*参考2_エネ使用量経年!$J182*(参考2_エネ使用量経年!AL182+参考2_エネ使用量経年!AL269),"")</f>
        <v/>
      </c>
      <c r="AM332" s="954" t="str">
        <f ca="1">IFERROR($K332*44/12*参考2_エネ使用量経年!$K182*(参考2_エネ使用量経年!AM182+参考2_エネ使用量経年!AM269),"")</f>
        <v/>
      </c>
      <c r="AN332" s="954" t="str">
        <f ca="1">IFERROR($H332*44/12*参考2_エネ使用量経年!$H182*(参考2_エネ使用量経年!AN182+参考2_エネ使用量経年!AN269),"")</f>
        <v/>
      </c>
      <c r="AO332" s="954" t="str">
        <f ca="1">IFERROR($I332*44/12*参考2_エネ使用量経年!$I182*(参考2_エネ使用量経年!AO182+参考2_エネ使用量経年!AO269),"")</f>
        <v/>
      </c>
      <c r="AP332" s="954" t="str">
        <f ca="1">IFERROR($J332*44/12*参考2_エネ使用量経年!$J182*(参考2_エネ使用量経年!AP182+参考2_エネ使用量経年!AP269),"")</f>
        <v/>
      </c>
      <c r="AQ332" s="954" t="str">
        <f ca="1">IFERROR($K332*44/12*参考2_エネ使用量経年!$K182*(参考2_エネ使用量経年!AQ182+参考2_エネ使用量経年!AQ269),"")</f>
        <v/>
      </c>
      <c r="AR332" s="954" t="str">
        <f ca="1">IFERROR($H332*44/12*参考2_エネ使用量経年!$H182*(参考2_エネ使用量経年!AR182+参考2_エネ使用量経年!AR269),"")</f>
        <v/>
      </c>
      <c r="AS332" s="954" t="str">
        <f ca="1">IFERROR($I332*44/12*参考2_エネ使用量経年!$I182*(参考2_エネ使用量経年!AS182+参考2_エネ使用量経年!AS269),"")</f>
        <v/>
      </c>
      <c r="AT332" s="954" t="str">
        <f ca="1">IFERROR($J332*44/12*参考2_エネ使用量経年!$J182*(参考2_エネ使用量経年!AT182+参考2_エネ使用量経年!AT269),"")</f>
        <v/>
      </c>
      <c r="AU332" s="954" t="str">
        <f ca="1">IFERROR($K332*44/12*参考2_エネ使用量経年!$K182*(参考2_エネ使用量経年!AU182+参考2_エネ使用量経年!AU269),"")</f>
        <v/>
      </c>
      <c r="AV332" s="954" t="str">
        <f ca="1">IFERROR($H332*44/12*参考2_エネ使用量経年!$H182*(参考2_エネ使用量経年!AV182+参考2_エネ使用量経年!AV269),"")</f>
        <v/>
      </c>
      <c r="AW332" s="954" t="str">
        <f ca="1">IFERROR($I332*44/12*参考2_エネ使用量経年!$I182*(参考2_エネ使用量経年!AW182+参考2_エネ使用量経年!AW269),"")</f>
        <v/>
      </c>
      <c r="AX332" s="954" t="str">
        <f ca="1">IFERROR($J332*44/12*参考2_エネ使用量経年!$J182*(参考2_エネ使用量経年!AX182+参考2_エネ使用量経年!AX269),"")</f>
        <v/>
      </c>
      <c r="AY332" s="954" t="str">
        <f ca="1">IFERROR($K332*44/12*参考2_エネ使用量経年!$K182*(参考2_エネ使用量経年!AY182+参考2_エネ使用量経年!AY269),"")</f>
        <v/>
      </c>
      <c r="AZ332" s="954" t="str">
        <f ca="1">IFERROR($H332*44/12*参考2_エネ使用量経年!$H182*(参考2_エネ使用量経年!AZ182+参考2_エネ使用量経年!AZ269),"")</f>
        <v/>
      </c>
      <c r="BA332" s="954" t="str">
        <f ca="1">IFERROR($I332*44/12*参考2_エネ使用量経年!$I182*(参考2_エネ使用量経年!BA182+参考2_エネ使用量経年!BA269),"")</f>
        <v/>
      </c>
      <c r="BB332" s="954" t="str">
        <f ca="1">IFERROR($J332*44/12*参考2_エネ使用量経年!$J182*(参考2_エネ使用量経年!BB182+参考2_エネ使用量経年!BB269),"")</f>
        <v/>
      </c>
      <c r="BC332" s="954" t="str">
        <f ca="1">IFERROR($K332*44/12*参考2_エネ使用量経年!$K182*(参考2_エネ使用量経年!BC182+参考2_エネ使用量経年!BC269),"")</f>
        <v/>
      </c>
      <c r="BD332" s="954" t="str">
        <f ca="1">IFERROR($H332*44/12*参考2_エネ使用量経年!$H182*(参考2_エネ使用量経年!BD182+参考2_エネ使用量経年!BD269),"")</f>
        <v/>
      </c>
      <c r="BE332" s="954" t="str">
        <f ca="1">IFERROR($I332*44/12*参考2_エネ使用量経年!$I182*(参考2_エネ使用量経年!BE182+参考2_エネ使用量経年!BE269),"")</f>
        <v/>
      </c>
      <c r="BF332" s="954" t="str">
        <f ca="1">IFERROR($J332*44/12*参考2_エネ使用量経年!$J182*(参考2_エネ使用量経年!BF182+参考2_エネ使用量経年!BF269),"")</f>
        <v/>
      </c>
      <c r="BG332" s="954" t="str">
        <f ca="1">IFERROR($K332*44/12*参考2_エネ使用量経年!$K182*(参考2_エネ使用量経年!BG182+参考2_エネ使用量経年!BG269),"")</f>
        <v/>
      </c>
      <c r="BH332" s="954" t="str">
        <f ca="1">IFERROR($H332*44/12*参考2_エネ使用量経年!$H182*(参考2_エネ使用量経年!BH182+参考2_エネ使用量経年!BH269),"")</f>
        <v/>
      </c>
      <c r="BI332" s="954" t="str">
        <f ca="1">IFERROR($I332*44/12*参考2_エネ使用量経年!$I182*(参考2_エネ使用量経年!BI182+参考2_エネ使用量経年!BI269),"")</f>
        <v/>
      </c>
      <c r="BJ332" s="954" t="str">
        <f ca="1">IFERROR($J332*44/12*参考2_エネ使用量経年!$J182*(参考2_エネ使用量経年!BJ182+参考2_エネ使用量経年!BJ269),"")</f>
        <v/>
      </c>
      <c r="BK332" s="954" t="str">
        <f ca="1">IFERROR($K332*44/12*参考2_エネ使用量経年!$K182*(参考2_エネ使用量経年!BK182+参考2_エネ使用量経年!BK269),"")</f>
        <v/>
      </c>
      <c r="BL332" s="954" t="str">
        <f ca="1">IFERROR($H332*44/12*参考2_エネ使用量経年!$H182*(参考2_エネ使用量経年!BL182+参考2_エネ使用量経年!BL269),"")</f>
        <v/>
      </c>
      <c r="BM332" s="954" t="str">
        <f ca="1">IFERROR($I332*44/12*参考2_エネ使用量経年!$I182*(参考2_エネ使用量経年!BM182+参考2_エネ使用量経年!BM269),"")</f>
        <v/>
      </c>
      <c r="BN332" s="954" t="str">
        <f ca="1">IFERROR($J332*44/12*参考2_エネ使用量経年!$J182*(参考2_エネ使用量経年!BN182+参考2_エネ使用量経年!BN269),"")</f>
        <v/>
      </c>
      <c r="BO332" s="954" t="str">
        <f ca="1">IFERROR($K332*44/12*参考2_エネ使用量経年!$K182*(参考2_エネ使用量経年!BO182+参考2_エネ使用量経年!BO269),"")</f>
        <v/>
      </c>
    </row>
    <row r="333" spans="1:67" ht="20.100000000000001" customHeight="1">
      <c r="A333" s="952">
        <v>20</v>
      </c>
      <c r="B333" s="1870"/>
      <c r="C333" s="1872"/>
      <c r="D333" s="824" t="s">
        <v>4395</v>
      </c>
      <c r="E333" s="824"/>
      <c r="F333" s="825"/>
      <c r="G333" s="891" t="s">
        <v>4685</v>
      </c>
      <c r="H333" s="953">
        <f t="shared" ca="1" si="110"/>
        <v>1.44E-2</v>
      </c>
      <c r="I333" s="953">
        <f t="shared" ca="1" si="111"/>
        <v>1.44E-2</v>
      </c>
      <c r="J333" s="953">
        <f t="shared" ca="1" si="112"/>
        <v>1.44E-2</v>
      </c>
      <c r="K333" s="953">
        <f t="shared" ca="1" si="113"/>
        <v>1.44E-2</v>
      </c>
      <c r="L333" s="954">
        <f ca="1">IFERROR($H333*44/12*参考2_エネ使用量経年!$H183*(参考2_エネ使用量経年!L183+参考2_エネ使用量経年!L270),"")</f>
        <v>0</v>
      </c>
      <c r="M333" s="954">
        <f ca="1">IFERROR($I333*44/12*参考2_エネ使用量経年!$I183*(参考2_エネ使用量経年!M183+参考2_エネ使用量経年!M270),"")</f>
        <v>0</v>
      </c>
      <c r="N333" s="954">
        <f ca="1">IFERROR($J333*44/12*参考2_エネ使用量経年!$J183*(参考2_エネ使用量経年!N183+参考2_エネ使用量経年!N270),"")</f>
        <v>0</v>
      </c>
      <c r="O333" s="954">
        <f ca="1">IFERROR($K333*44/12*参考2_エネ使用量経年!$K183*(参考2_エネ使用量経年!O183+参考2_エネ使用量経年!O270),"")</f>
        <v>0</v>
      </c>
      <c r="P333" s="954">
        <f ca="1">IFERROR($H333*44/12*参考2_エネ使用量経年!$H183*(参考2_エネ使用量経年!P183+参考2_エネ使用量経年!P270),"")</f>
        <v>0</v>
      </c>
      <c r="Q333" s="954">
        <f ca="1">IFERROR($I333*44/12*参考2_エネ使用量経年!$I183*(参考2_エネ使用量経年!Q183+参考2_エネ使用量経年!Q270),"")</f>
        <v>0</v>
      </c>
      <c r="R333" s="954">
        <f ca="1">IFERROR($J333*44/12*参考2_エネ使用量経年!$J183*(参考2_エネ使用量経年!R183+参考2_エネ使用量経年!R270),"")</f>
        <v>0</v>
      </c>
      <c r="S333" s="954">
        <f ca="1">IFERROR($K333*44/12*参考2_エネ使用量経年!$K183*(参考2_エネ使用量経年!S183+参考2_エネ使用量経年!S270),"")</f>
        <v>0</v>
      </c>
      <c r="T333" s="954">
        <f ca="1">IFERROR($H333*44/12*参考2_エネ使用量経年!$H183*(参考2_エネ使用量経年!T183+参考2_エネ使用量経年!T270),"")</f>
        <v>0</v>
      </c>
      <c r="U333" s="954">
        <f ca="1">IFERROR($I333*44/12*参考2_エネ使用量経年!$I183*(参考2_エネ使用量経年!U183+参考2_エネ使用量経年!U270),"")</f>
        <v>0</v>
      </c>
      <c r="V333" s="954">
        <f ca="1">IFERROR($J333*44/12*参考2_エネ使用量経年!$J183*(参考2_エネ使用量経年!V183+参考2_エネ使用量経年!V270),"")</f>
        <v>0</v>
      </c>
      <c r="W333" s="954">
        <f ca="1">IFERROR($K333*44/12*参考2_エネ使用量経年!$K183*(参考2_エネ使用量経年!W183+参考2_エネ使用量経年!W270),"")</f>
        <v>0</v>
      </c>
      <c r="X333" s="954">
        <f ca="1">IFERROR($H333*44/12*参考2_エネ使用量経年!$H183*(参考2_エネ使用量経年!X183+参考2_エネ使用量経年!X270),"")</f>
        <v>0</v>
      </c>
      <c r="Y333" s="954">
        <f ca="1">IFERROR($I333*44/12*参考2_エネ使用量経年!$I183*(参考2_エネ使用量経年!Y183+参考2_エネ使用量経年!Y270),"")</f>
        <v>0</v>
      </c>
      <c r="Z333" s="954">
        <f ca="1">IFERROR($J333*44/12*参考2_エネ使用量経年!$J183*(参考2_エネ使用量経年!Z183+参考2_エネ使用量経年!Z270),"")</f>
        <v>0</v>
      </c>
      <c r="AA333" s="954">
        <f ca="1">IFERROR($K333*44/12*参考2_エネ使用量経年!$K183*(参考2_エネ使用量経年!AA183+参考2_エネ使用量経年!AA270),"")</f>
        <v>0</v>
      </c>
      <c r="AB333" s="954" t="str">
        <f ca="1">IFERROR($H333*44/12*参考2_エネ使用量経年!$H183*(参考2_エネ使用量経年!AB183+参考2_エネ使用量経年!AB270),"")</f>
        <v/>
      </c>
      <c r="AC333" s="954" t="str">
        <f ca="1">IFERROR($I333*44/12*参考2_エネ使用量経年!$I183*(参考2_エネ使用量経年!AC183+参考2_エネ使用量経年!AC270),"")</f>
        <v/>
      </c>
      <c r="AD333" s="954" t="str">
        <f ca="1">IFERROR($J333*44/12*参考2_エネ使用量経年!$J183*(参考2_エネ使用量経年!AD183+参考2_エネ使用量経年!AD270),"")</f>
        <v/>
      </c>
      <c r="AE333" s="954" t="str">
        <f ca="1">IFERROR($K333*44/12*参考2_エネ使用量経年!$K183*(参考2_エネ使用量経年!AE183+参考2_エネ使用量経年!AE270),"")</f>
        <v/>
      </c>
      <c r="AF333" s="954" t="str">
        <f ca="1">IFERROR($H333*44/12*参考2_エネ使用量経年!$H183*(参考2_エネ使用量経年!AF183+参考2_エネ使用量経年!AF270),"")</f>
        <v/>
      </c>
      <c r="AG333" s="954" t="str">
        <f ca="1">IFERROR($I333*44/12*参考2_エネ使用量経年!$I183*(参考2_エネ使用量経年!AG183+参考2_エネ使用量経年!AG270),"")</f>
        <v/>
      </c>
      <c r="AH333" s="954" t="str">
        <f ca="1">IFERROR($J333*44/12*参考2_エネ使用量経年!$J183*(参考2_エネ使用量経年!AH183+参考2_エネ使用量経年!AH270),"")</f>
        <v/>
      </c>
      <c r="AI333" s="954" t="str">
        <f ca="1">IFERROR($K333*44/12*参考2_エネ使用量経年!$K183*(参考2_エネ使用量経年!AI183+参考2_エネ使用量経年!AI270),"")</f>
        <v/>
      </c>
      <c r="AJ333" s="954" t="str">
        <f ca="1">IFERROR($H333*44/12*参考2_エネ使用量経年!$H183*(参考2_エネ使用量経年!AJ183+参考2_エネ使用量経年!AJ270),"")</f>
        <v/>
      </c>
      <c r="AK333" s="954" t="str">
        <f ca="1">IFERROR($I333*44/12*参考2_エネ使用量経年!$I183*(参考2_エネ使用量経年!AK183+参考2_エネ使用量経年!AK270),"")</f>
        <v/>
      </c>
      <c r="AL333" s="954" t="str">
        <f ca="1">IFERROR($J333*44/12*参考2_エネ使用量経年!$J183*(参考2_エネ使用量経年!AL183+参考2_エネ使用量経年!AL270),"")</f>
        <v/>
      </c>
      <c r="AM333" s="954" t="str">
        <f ca="1">IFERROR($K333*44/12*参考2_エネ使用量経年!$K183*(参考2_エネ使用量経年!AM183+参考2_エネ使用量経年!AM270),"")</f>
        <v/>
      </c>
      <c r="AN333" s="954" t="str">
        <f ca="1">IFERROR($H333*44/12*参考2_エネ使用量経年!$H183*(参考2_エネ使用量経年!AN183+参考2_エネ使用量経年!AN270),"")</f>
        <v/>
      </c>
      <c r="AO333" s="954" t="str">
        <f ca="1">IFERROR($I333*44/12*参考2_エネ使用量経年!$I183*(参考2_エネ使用量経年!AO183+参考2_エネ使用量経年!AO270),"")</f>
        <v/>
      </c>
      <c r="AP333" s="954" t="str">
        <f ca="1">IFERROR($J333*44/12*参考2_エネ使用量経年!$J183*(参考2_エネ使用量経年!AP183+参考2_エネ使用量経年!AP270),"")</f>
        <v/>
      </c>
      <c r="AQ333" s="954" t="str">
        <f ca="1">IFERROR($K333*44/12*参考2_エネ使用量経年!$K183*(参考2_エネ使用量経年!AQ183+参考2_エネ使用量経年!AQ270),"")</f>
        <v/>
      </c>
      <c r="AR333" s="954" t="str">
        <f ca="1">IFERROR($H333*44/12*参考2_エネ使用量経年!$H183*(参考2_エネ使用量経年!AR183+参考2_エネ使用量経年!AR270),"")</f>
        <v/>
      </c>
      <c r="AS333" s="954" t="str">
        <f ca="1">IFERROR($I333*44/12*参考2_エネ使用量経年!$I183*(参考2_エネ使用量経年!AS183+参考2_エネ使用量経年!AS270),"")</f>
        <v/>
      </c>
      <c r="AT333" s="954" t="str">
        <f ca="1">IFERROR($J333*44/12*参考2_エネ使用量経年!$J183*(参考2_エネ使用量経年!AT183+参考2_エネ使用量経年!AT270),"")</f>
        <v/>
      </c>
      <c r="AU333" s="954" t="str">
        <f ca="1">IFERROR($K333*44/12*参考2_エネ使用量経年!$K183*(参考2_エネ使用量経年!AU183+参考2_エネ使用量経年!AU270),"")</f>
        <v/>
      </c>
      <c r="AV333" s="954" t="str">
        <f ca="1">IFERROR($H333*44/12*参考2_エネ使用量経年!$H183*(参考2_エネ使用量経年!AV183+参考2_エネ使用量経年!AV270),"")</f>
        <v/>
      </c>
      <c r="AW333" s="954" t="str">
        <f ca="1">IFERROR($I333*44/12*参考2_エネ使用量経年!$I183*(参考2_エネ使用量経年!AW183+参考2_エネ使用量経年!AW270),"")</f>
        <v/>
      </c>
      <c r="AX333" s="954" t="str">
        <f ca="1">IFERROR($J333*44/12*参考2_エネ使用量経年!$J183*(参考2_エネ使用量経年!AX183+参考2_エネ使用量経年!AX270),"")</f>
        <v/>
      </c>
      <c r="AY333" s="954" t="str">
        <f ca="1">IFERROR($K333*44/12*参考2_エネ使用量経年!$K183*(参考2_エネ使用量経年!AY183+参考2_エネ使用量経年!AY270),"")</f>
        <v/>
      </c>
      <c r="AZ333" s="954" t="str">
        <f ca="1">IFERROR($H333*44/12*参考2_エネ使用量経年!$H183*(参考2_エネ使用量経年!AZ183+参考2_エネ使用量経年!AZ270),"")</f>
        <v/>
      </c>
      <c r="BA333" s="954" t="str">
        <f ca="1">IFERROR($I333*44/12*参考2_エネ使用量経年!$I183*(参考2_エネ使用量経年!BA183+参考2_エネ使用量経年!BA270),"")</f>
        <v/>
      </c>
      <c r="BB333" s="954" t="str">
        <f ca="1">IFERROR($J333*44/12*参考2_エネ使用量経年!$J183*(参考2_エネ使用量経年!BB183+参考2_エネ使用量経年!BB270),"")</f>
        <v/>
      </c>
      <c r="BC333" s="954" t="str">
        <f ca="1">IFERROR($K333*44/12*参考2_エネ使用量経年!$K183*(参考2_エネ使用量経年!BC183+参考2_エネ使用量経年!BC270),"")</f>
        <v/>
      </c>
      <c r="BD333" s="954" t="str">
        <f ca="1">IFERROR($H333*44/12*参考2_エネ使用量経年!$H183*(参考2_エネ使用量経年!BD183+参考2_エネ使用量経年!BD270),"")</f>
        <v/>
      </c>
      <c r="BE333" s="954" t="str">
        <f ca="1">IFERROR($I333*44/12*参考2_エネ使用量経年!$I183*(参考2_エネ使用量経年!BE183+参考2_エネ使用量経年!BE270),"")</f>
        <v/>
      </c>
      <c r="BF333" s="954" t="str">
        <f ca="1">IFERROR($J333*44/12*参考2_エネ使用量経年!$J183*(参考2_エネ使用量経年!BF183+参考2_エネ使用量経年!BF270),"")</f>
        <v/>
      </c>
      <c r="BG333" s="954" t="str">
        <f ca="1">IFERROR($K333*44/12*参考2_エネ使用量経年!$K183*(参考2_エネ使用量経年!BG183+参考2_エネ使用量経年!BG270),"")</f>
        <v/>
      </c>
      <c r="BH333" s="954" t="str">
        <f ca="1">IFERROR($H333*44/12*参考2_エネ使用量経年!$H183*(参考2_エネ使用量経年!BH183+参考2_エネ使用量経年!BH270),"")</f>
        <v/>
      </c>
      <c r="BI333" s="954" t="str">
        <f ca="1">IFERROR($I333*44/12*参考2_エネ使用量経年!$I183*(参考2_エネ使用量経年!BI183+参考2_エネ使用量経年!BI270),"")</f>
        <v/>
      </c>
      <c r="BJ333" s="954" t="str">
        <f ca="1">IFERROR($J333*44/12*参考2_エネ使用量経年!$J183*(参考2_エネ使用量経年!BJ183+参考2_エネ使用量経年!BJ270),"")</f>
        <v/>
      </c>
      <c r="BK333" s="954" t="str">
        <f ca="1">IFERROR($K333*44/12*参考2_エネ使用量経年!$K183*(参考2_エネ使用量経年!BK183+参考2_エネ使用量経年!BK270),"")</f>
        <v/>
      </c>
      <c r="BL333" s="954" t="str">
        <f ca="1">IFERROR($H333*44/12*参考2_エネ使用量経年!$H183*(参考2_エネ使用量経年!BL183+参考2_エネ使用量経年!BL270),"")</f>
        <v/>
      </c>
      <c r="BM333" s="954" t="str">
        <f ca="1">IFERROR($I333*44/12*参考2_エネ使用量経年!$I183*(参考2_エネ使用量経年!BM183+参考2_エネ使用量経年!BM270),"")</f>
        <v/>
      </c>
      <c r="BN333" s="954" t="str">
        <f ca="1">IFERROR($J333*44/12*参考2_エネ使用量経年!$J183*(参考2_エネ使用量経年!BN183+参考2_エネ使用量経年!BN270),"")</f>
        <v/>
      </c>
      <c r="BO333" s="954" t="str">
        <f ca="1">IFERROR($K333*44/12*参考2_エネ使用量経年!$K183*(参考2_エネ使用量経年!BO183+参考2_エネ使用量経年!BO270),"")</f>
        <v/>
      </c>
    </row>
    <row r="334" spans="1:67" ht="20.100000000000001" customHeight="1">
      <c r="A334" s="952">
        <v>21</v>
      </c>
      <c r="B334" s="1871"/>
      <c r="C334" s="1872"/>
      <c r="D334" s="824" t="s">
        <v>4396</v>
      </c>
      <c r="E334" s="818"/>
      <c r="F334" s="825"/>
      <c r="G334" s="891" t="s">
        <v>4685</v>
      </c>
      <c r="H334" s="953">
        <f t="shared" ca="1" si="110"/>
        <v>1.3899999999999999E-2</v>
      </c>
      <c r="I334" s="953">
        <f t="shared" ca="1" si="111"/>
        <v>1.3899999999999999E-2</v>
      </c>
      <c r="J334" s="953">
        <f t="shared" ca="1" si="112"/>
        <v>1.3899999999999999E-2</v>
      </c>
      <c r="K334" s="953">
        <f t="shared" ca="1" si="113"/>
        <v>1.3899999999999999E-2</v>
      </c>
      <c r="L334" s="954">
        <f ca="1">IFERROR($H334*44/12*参考2_エネ使用量経年!$H184*(参考2_エネ使用量経年!L184+参考2_エネ使用量経年!L271),"")</f>
        <v>0</v>
      </c>
      <c r="M334" s="954">
        <f ca="1">IFERROR($I334*44/12*参考2_エネ使用量経年!$I184*(参考2_エネ使用量経年!M184+参考2_エネ使用量経年!M271),"")</f>
        <v>0</v>
      </c>
      <c r="N334" s="954">
        <f ca="1">IFERROR($J334*44/12*参考2_エネ使用量経年!$J184*(参考2_エネ使用量経年!N184+参考2_エネ使用量経年!N271),"")</f>
        <v>0</v>
      </c>
      <c r="O334" s="954">
        <f ca="1">IFERROR($K334*44/12*参考2_エネ使用量経年!$K184*(参考2_エネ使用量経年!O184+参考2_エネ使用量経年!O271),"")</f>
        <v>0</v>
      </c>
      <c r="P334" s="954">
        <f ca="1">IFERROR($H334*44/12*参考2_エネ使用量経年!$H184*(参考2_エネ使用量経年!P184+参考2_エネ使用量経年!P271),"")</f>
        <v>0</v>
      </c>
      <c r="Q334" s="954">
        <f ca="1">IFERROR($I334*44/12*参考2_エネ使用量経年!$I184*(参考2_エネ使用量経年!Q184+参考2_エネ使用量経年!Q271),"")</f>
        <v>0</v>
      </c>
      <c r="R334" s="954">
        <f ca="1">IFERROR($J334*44/12*参考2_エネ使用量経年!$J184*(参考2_エネ使用量経年!R184+参考2_エネ使用量経年!R271),"")</f>
        <v>0</v>
      </c>
      <c r="S334" s="954">
        <f ca="1">IFERROR($K334*44/12*参考2_エネ使用量経年!$K184*(参考2_エネ使用量経年!S184+参考2_エネ使用量経年!S271),"")</f>
        <v>0</v>
      </c>
      <c r="T334" s="954">
        <f ca="1">IFERROR($H334*44/12*参考2_エネ使用量経年!$H184*(参考2_エネ使用量経年!T184+参考2_エネ使用量経年!T271),"")</f>
        <v>0</v>
      </c>
      <c r="U334" s="954">
        <f ca="1">IFERROR($I334*44/12*参考2_エネ使用量経年!$I184*(参考2_エネ使用量経年!U184+参考2_エネ使用量経年!U271),"")</f>
        <v>0</v>
      </c>
      <c r="V334" s="954">
        <f ca="1">IFERROR($J334*44/12*参考2_エネ使用量経年!$J184*(参考2_エネ使用量経年!V184+参考2_エネ使用量経年!V271),"")</f>
        <v>0</v>
      </c>
      <c r="W334" s="954">
        <f ca="1">IFERROR($K334*44/12*参考2_エネ使用量経年!$K184*(参考2_エネ使用量経年!W184+参考2_エネ使用量経年!W271),"")</f>
        <v>0</v>
      </c>
      <c r="X334" s="954">
        <f ca="1">IFERROR($H334*44/12*参考2_エネ使用量経年!$H184*(参考2_エネ使用量経年!X184+参考2_エネ使用量経年!X271),"")</f>
        <v>0</v>
      </c>
      <c r="Y334" s="954">
        <f ca="1">IFERROR($I334*44/12*参考2_エネ使用量経年!$I184*(参考2_エネ使用量経年!Y184+参考2_エネ使用量経年!Y271),"")</f>
        <v>0</v>
      </c>
      <c r="Z334" s="954">
        <f ca="1">IFERROR($J334*44/12*参考2_エネ使用量経年!$J184*(参考2_エネ使用量経年!Z184+参考2_エネ使用量経年!Z271),"")</f>
        <v>0</v>
      </c>
      <c r="AA334" s="954">
        <f ca="1">IFERROR($K334*44/12*参考2_エネ使用量経年!$K184*(参考2_エネ使用量経年!AA184+参考2_エネ使用量経年!AA271),"")</f>
        <v>0</v>
      </c>
      <c r="AB334" s="954" t="str">
        <f ca="1">IFERROR($H334*44/12*参考2_エネ使用量経年!$H184*(参考2_エネ使用量経年!AB184+参考2_エネ使用量経年!AB271),"")</f>
        <v/>
      </c>
      <c r="AC334" s="954" t="str">
        <f ca="1">IFERROR($I334*44/12*参考2_エネ使用量経年!$I184*(参考2_エネ使用量経年!AC184+参考2_エネ使用量経年!AC271),"")</f>
        <v/>
      </c>
      <c r="AD334" s="954" t="str">
        <f ca="1">IFERROR($J334*44/12*参考2_エネ使用量経年!$J184*(参考2_エネ使用量経年!AD184+参考2_エネ使用量経年!AD271),"")</f>
        <v/>
      </c>
      <c r="AE334" s="954" t="str">
        <f ca="1">IFERROR($K334*44/12*参考2_エネ使用量経年!$K184*(参考2_エネ使用量経年!AE184+参考2_エネ使用量経年!AE271),"")</f>
        <v/>
      </c>
      <c r="AF334" s="954" t="str">
        <f ca="1">IFERROR($H334*44/12*参考2_エネ使用量経年!$H184*(参考2_エネ使用量経年!AF184+参考2_エネ使用量経年!AF271),"")</f>
        <v/>
      </c>
      <c r="AG334" s="954" t="str">
        <f ca="1">IFERROR($I334*44/12*参考2_エネ使用量経年!$I184*(参考2_エネ使用量経年!AG184+参考2_エネ使用量経年!AG271),"")</f>
        <v/>
      </c>
      <c r="AH334" s="954" t="str">
        <f ca="1">IFERROR($J334*44/12*参考2_エネ使用量経年!$J184*(参考2_エネ使用量経年!AH184+参考2_エネ使用量経年!AH271),"")</f>
        <v/>
      </c>
      <c r="AI334" s="954" t="str">
        <f ca="1">IFERROR($K334*44/12*参考2_エネ使用量経年!$K184*(参考2_エネ使用量経年!AI184+参考2_エネ使用量経年!AI271),"")</f>
        <v/>
      </c>
      <c r="AJ334" s="954" t="str">
        <f ca="1">IFERROR($H334*44/12*参考2_エネ使用量経年!$H184*(参考2_エネ使用量経年!AJ184+参考2_エネ使用量経年!AJ271),"")</f>
        <v/>
      </c>
      <c r="AK334" s="954" t="str">
        <f ca="1">IFERROR($I334*44/12*参考2_エネ使用量経年!$I184*(参考2_エネ使用量経年!AK184+参考2_エネ使用量経年!AK271),"")</f>
        <v/>
      </c>
      <c r="AL334" s="954" t="str">
        <f ca="1">IFERROR($J334*44/12*参考2_エネ使用量経年!$J184*(参考2_エネ使用量経年!AL184+参考2_エネ使用量経年!AL271),"")</f>
        <v/>
      </c>
      <c r="AM334" s="954" t="str">
        <f ca="1">IFERROR($K334*44/12*参考2_エネ使用量経年!$K184*(参考2_エネ使用量経年!AM184+参考2_エネ使用量経年!AM271),"")</f>
        <v/>
      </c>
      <c r="AN334" s="954" t="str">
        <f ca="1">IFERROR($H334*44/12*参考2_エネ使用量経年!$H184*(参考2_エネ使用量経年!AN184+参考2_エネ使用量経年!AN271),"")</f>
        <v/>
      </c>
      <c r="AO334" s="954" t="str">
        <f ca="1">IFERROR($I334*44/12*参考2_エネ使用量経年!$I184*(参考2_エネ使用量経年!AO184+参考2_エネ使用量経年!AO271),"")</f>
        <v/>
      </c>
      <c r="AP334" s="954" t="str">
        <f ca="1">IFERROR($J334*44/12*参考2_エネ使用量経年!$J184*(参考2_エネ使用量経年!AP184+参考2_エネ使用量経年!AP271),"")</f>
        <v/>
      </c>
      <c r="AQ334" s="954" t="str">
        <f ca="1">IFERROR($K334*44/12*参考2_エネ使用量経年!$K184*(参考2_エネ使用量経年!AQ184+参考2_エネ使用量経年!AQ271),"")</f>
        <v/>
      </c>
      <c r="AR334" s="954" t="str">
        <f ca="1">IFERROR($H334*44/12*参考2_エネ使用量経年!$H184*(参考2_エネ使用量経年!AR184+参考2_エネ使用量経年!AR271),"")</f>
        <v/>
      </c>
      <c r="AS334" s="954" t="str">
        <f ca="1">IFERROR($I334*44/12*参考2_エネ使用量経年!$I184*(参考2_エネ使用量経年!AS184+参考2_エネ使用量経年!AS271),"")</f>
        <v/>
      </c>
      <c r="AT334" s="954" t="str">
        <f ca="1">IFERROR($J334*44/12*参考2_エネ使用量経年!$J184*(参考2_エネ使用量経年!AT184+参考2_エネ使用量経年!AT271),"")</f>
        <v/>
      </c>
      <c r="AU334" s="954" t="str">
        <f ca="1">IFERROR($K334*44/12*参考2_エネ使用量経年!$K184*(参考2_エネ使用量経年!AU184+参考2_エネ使用量経年!AU271),"")</f>
        <v/>
      </c>
      <c r="AV334" s="954" t="str">
        <f ca="1">IFERROR($H334*44/12*参考2_エネ使用量経年!$H184*(参考2_エネ使用量経年!AV184+参考2_エネ使用量経年!AV271),"")</f>
        <v/>
      </c>
      <c r="AW334" s="954" t="str">
        <f ca="1">IFERROR($I334*44/12*参考2_エネ使用量経年!$I184*(参考2_エネ使用量経年!AW184+参考2_エネ使用量経年!AW271),"")</f>
        <v/>
      </c>
      <c r="AX334" s="954" t="str">
        <f ca="1">IFERROR($J334*44/12*参考2_エネ使用量経年!$J184*(参考2_エネ使用量経年!AX184+参考2_エネ使用量経年!AX271),"")</f>
        <v/>
      </c>
      <c r="AY334" s="954" t="str">
        <f ca="1">IFERROR($K334*44/12*参考2_エネ使用量経年!$K184*(参考2_エネ使用量経年!AY184+参考2_エネ使用量経年!AY271),"")</f>
        <v/>
      </c>
      <c r="AZ334" s="954" t="str">
        <f ca="1">IFERROR($H334*44/12*参考2_エネ使用量経年!$H184*(参考2_エネ使用量経年!AZ184+参考2_エネ使用量経年!AZ271),"")</f>
        <v/>
      </c>
      <c r="BA334" s="954" t="str">
        <f ca="1">IFERROR($I334*44/12*参考2_エネ使用量経年!$I184*(参考2_エネ使用量経年!BA184+参考2_エネ使用量経年!BA271),"")</f>
        <v/>
      </c>
      <c r="BB334" s="954" t="str">
        <f ca="1">IFERROR($J334*44/12*参考2_エネ使用量経年!$J184*(参考2_エネ使用量経年!BB184+参考2_エネ使用量経年!BB271),"")</f>
        <v/>
      </c>
      <c r="BC334" s="954" t="str">
        <f ca="1">IFERROR($K334*44/12*参考2_エネ使用量経年!$K184*(参考2_エネ使用量経年!BC184+参考2_エネ使用量経年!BC271),"")</f>
        <v/>
      </c>
      <c r="BD334" s="954" t="str">
        <f ca="1">IFERROR($H334*44/12*参考2_エネ使用量経年!$H184*(参考2_エネ使用量経年!BD184+参考2_エネ使用量経年!BD271),"")</f>
        <v/>
      </c>
      <c r="BE334" s="954" t="str">
        <f ca="1">IFERROR($I334*44/12*参考2_エネ使用量経年!$I184*(参考2_エネ使用量経年!BE184+参考2_エネ使用量経年!BE271),"")</f>
        <v/>
      </c>
      <c r="BF334" s="954" t="str">
        <f ca="1">IFERROR($J334*44/12*参考2_エネ使用量経年!$J184*(参考2_エネ使用量経年!BF184+参考2_エネ使用量経年!BF271),"")</f>
        <v/>
      </c>
      <c r="BG334" s="954" t="str">
        <f ca="1">IFERROR($K334*44/12*参考2_エネ使用量経年!$K184*(参考2_エネ使用量経年!BG184+参考2_エネ使用量経年!BG271),"")</f>
        <v/>
      </c>
      <c r="BH334" s="954" t="str">
        <f ca="1">IFERROR($H334*44/12*参考2_エネ使用量経年!$H184*(参考2_エネ使用量経年!BH184+参考2_エネ使用量経年!BH271),"")</f>
        <v/>
      </c>
      <c r="BI334" s="954" t="str">
        <f ca="1">IFERROR($I334*44/12*参考2_エネ使用量経年!$I184*(参考2_エネ使用量経年!BI184+参考2_エネ使用量経年!BI271),"")</f>
        <v/>
      </c>
      <c r="BJ334" s="954" t="str">
        <f ca="1">IFERROR($J334*44/12*参考2_エネ使用量経年!$J184*(参考2_エネ使用量経年!BJ184+参考2_エネ使用量経年!BJ271),"")</f>
        <v/>
      </c>
      <c r="BK334" s="954" t="str">
        <f ca="1">IFERROR($K334*44/12*参考2_エネ使用量経年!$K184*(参考2_エネ使用量経年!BK184+参考2_エネ使用量経年!BK271),"")</f>
        <v/>
      </c>
      <c r="BL334" s="954" t="str">
        <f ca="1">IFERROR($H334*44/12*参考2_エネ使用量経年!$H184*(参考2_エネ使用量経年!BL184+参考2_エネ使用量経年!BL271),"")</f>
        <v/>
      </c>
      <c r="BM334" s="954" t="str">
        <f ca="1">IFERROR($I334*44/12*参考2_エネ使用量経年!$I184*(参考2_エネ使用量経年!BM184+参考2_エネ使用量経年!BM271),"")</f>
        <v/>
      </c>
      <c r="BN334" s="954" t="str">
        <f ca="1">IFERROR($J334*44/12*参考2_エネ使用量経年!$J184*(参考2_エネ使用量経年!BN184+参考2_エネ使用量経年!BN271),"")</f>
        <v/>
      </c>
      <c r="BO334" s="954" t="str">
        <f ca="1">IFERROR($K334*44/12*参考2_エネ使用量経年!$K184*(参考2_エネ使用量経年!BO184+参考2_エネ使用量経年!BO271),"")</f>
        <v/>
      </c>
    </row>
    <row r="335" spans="1:67" ht="20.100000000000001" customHeight="1">
      <c r="A335" s="952">
        <v>22</v>
      </c>
      <c r="B335" s="1870"/>
      <c r="C335" s="1872"/>
      <c r="D335" s="824" t="s">
        <v>4397</v>
      </c>
      <c r="E335" s="824"/>
      <c r="F335" s="825"/>
      <c r="G335" s="891" t="s">
        <v>4685</v>
      </c>
      <c r="H335" s="953">
        <f t="shared" ca="1" si="110"/>
        <v>1.3899999999999999E-2</v>
      </c>
      <c r="I335" s="953">
        <f t="shared" ca="1" si="111"/>
        <v>1.3899999999999999E-2</v>
      </c>
      <c r="J335" s="953">
        <f t="shared" ca="1" si="112"/>
        <v>1.3899999999999999E-2</v>
      </c>
      <c r="K335" s="953">
        <f t="shared" ca="1" si="113"/>
        <v>1.3899999999999999E-2</v>
      </c>
      <c r="L335" s="954">
        <f ca="1">IFERROR($H335*44/12*参考2_エネ使用量経年!$H185*(参考2_エネ使用量経年!L185+参考2_エネ使用量経年!L272),"")</f>
        <v>0</v>
      </c>
      <c r="M335" s="954">
        <f ca="1">IFERROR($I335*44/12*参考2_エネ使用量経年!$I185*(参考2_エネ使用量経年!M185+参考2_エネ使用量経年!M272),"")</f>
        <v>0</v>
      </c>
      <c r="N335" s="954">
        <f ca="1">IFERROR($J335*44/12*参考2_エネ使用量経年!$J185*(参考2_エネ使用量経年!N185+参考2_エネ使用量経年!N272),"")</f>
        <v>0</v>
      </c>
      <c r="O335" s="954">
        <f ca="1">IFERROR($K335*44/12*参考2_エネ使用量経年!$K185*(参考2_エネ使用量経年!O185+参考2_エネ使用量経年!O272),"")</f>
        <v>0</v>
      </c>
      <c r="P335" s="954">
        <f ca="1">IFERROR($H335*44/12*参考2_エネ使用量経年!$H185*(参考2_エネ使用量経年!P185+参考2_エネ使用量経年!P272),"")</f>
        <v>0</v>
      </c>
      <c r="Q335" s="954">
        <f ca="1">IFERROR($I335*44/12*参考2_エネ使用量経年!$I185*(参考2_エネ使用量経年!Q185+参考2_エネ使用量経年!Q272),"")</f>
        <v>0</v>
      </c>
      <c r="R335" s="954">
        <f ca="1">IFERROR($J335*44/12*参考2_エネ使用量経年!$J185*(参考2_エネ使用量経年!R185+参考2_エネ使用量経年!R272),"")</f>
        <v>0</v>
      </c>
      <c r="S335" s="954">
        <f ca="1">IFERROR($K335*44/12*参考2_エネ使用量経年!$K185*(参考2_エネ使用量経年!S185+参考2_エネ使用量経年!S272),"")</f>
        <v>0</v>
      </c>
      <c r="T335" s="954">
        <f ca="1">IFERROR($H335*44/12*参考2_エネ使用量経年!$H185*(参考2_エネ使用量経年!T185+参考2_エネ使用量経年!T272),"")</f>
        <v>0</v>
      </c>
      <c r="U335" s="954">
        <f ca="1">IFERROR($I335*44/12*参考2_エネ使用量経年!$I185*(参考2_エネ使用量経年!U185+参考2_エネ使用量経年!U272),"")</f>
        <v>0</v>
      </c>
      <c r="V335" s="954">
        <f ca="1">IFERROR($J335*44/12*参考2_エネ使用量経年!$J185*(参考2_エネ使用量経年!V185+参考2_エネ使用量経年!V272),"")</f>
        <v>0</v>
      </c>
      <c r="W335" s="954">
        <f ca="1">IFERROR($K335*44/12*参考2_エネ使用量経年!$K185*(参考2_エネ使用量経年!W185+参考2_エネ使用量経年!W272),"")</f>
        <v>0</v>
      </c>
      <c r="X335" s="954">
        <f ca="1">IFERROR($H335*44/12*参考2_エネ使用量経年!$H185*(参考2_エネ使用量経年!X185+参考2_エネ使用量経年!X272),"")</f>
        <v>0</v>
      </c>
      <c r="Y335" s="954">
        <f ca="1">IFERROR($I335*44/12*参考2_エネ使用量経年!$I185*(参考2_エネ使用量経年!Y185+参考2_エネ使用量経年!Y272),"")</f>
        <v>0</v>
      </c>
      <c r="Z335" s="954">
        <f ca="1">IFERROR($J335*44/12*参考2_エネ使用量経年!$J185*(参考2_エネ使用量経年!Z185+参考2_エネ使用量経年!Z272),"")</f>
        <v>0</v>
      </c>
      <c r="AA335" s="954">
        <f ca="1">IFERROR($K335*44/12*参考2_エネ使用量経年!$K185*(参考2_エネ使用量経年!AA185+参考2_エネ使用量経年!AA272),"")</f>
        <v>0</v>
      </c>
      <c r="AB335" s="954" t="str">
        <f ca="1">IFERROR($H335*44/12*参考2_エネ使用量経年!$H185*(参考2_エネ使用量経年!AB185+参考2_エネ使用量経年!AB272),"")</f>
        <v/>
      </c>
      <c r="AC335" s="954" t="str">
        <f ca="1">IFERROR($I335*44/12*参考2_エネ使用量経年!$I185*(参考2_エネ使用量経年!AC185+参考2_エネ使用量経年!AC272),"")</f>
        <v/>
      </c>
      <c r="AD335" s="954" t="str">
        <f ca="1">IFERROR($J335*44/12*参考2_エネ使用量経年!$J185*(参考2_エネ使用量経年!AD185+参考2_エネ使用量経年!AD272),"")</f>
        <v/>
      </c>
      <c r="AE335" s="954" t="str">
        <f ca="1">IFERROR($K335*44/12*参考2_エネ使用量経年!$K185*(参考2_エネ使用量経年!AE185+参考2_エネ使用量経年!AE272),"")</f>
        <v/>
      </c>
      <c r="AF335" s="954" t="str">
        <f ca="1">IFERROR($H335*44/12*参考2_エネ使用量経年!$H185*(参考2_エネ使用量経年!AF185+参考2_エネ使用量経年!AF272),"")</f>
        <v/>
      </c>
      <c r="AG335" s="954" t="str">
        <f ca="1">IFERROR($I335*44/12*参考2_エネ使用量経年!$I185*(参考2_エネ使用量経年!AG185+参考2_エネ使用量経年!AG272),"")</f>
        <v/>
      </c>
      <c r="AH335" s="954" t="str">
        <f ca="1">IFERROR($J335*44/12*参考2_エネ使用量経年!$J185*(参考2_エネ使用量経年!AH185+参考2_エネ使用量経年!AH272),"")</f>
        <v/>
      </c>
      <c r="AI335" s="954" t="str">
        <f ca="1">IFERROR($K335*44/12*参考2_エネ使用量経年!$K185*(参考2_エネ使用量経年!AI185+参考2_エネ使用量経年!AI272),"")</f>
        <v/>
      </c>
      <c r="AJ335" s="954" t="str">
        <f ca="1">IFERROR($H335*44/12*参考2_エネ使用量経年!$H185*(参考2_エネ使用量経年!AJ185+参考2_エネ使用量経年!AJ272),"")</f>
        <v/>
      </c>
      <c r="AK335" s="954" t="str">
        <f ca="1">IFERROR($I335*44/12*参考2_エネ使用量経年!$I185*(参考2_エネ使用量経年!AK185+参考2_エネ使用量経年!AK272),"")</f>
        <v/>
      </c>
      <c r="AL335" s="954" t="str">
        <f ca="1">IFERROR($J335*44/12*参考2_エネ使用量経年!$J185*(参考2_エネ使用量経年!AL185+参考2_エネ使用量経年!AL272),"")</f>
        <v/>
      </c>
      <c r="AM335" s="954" t="str">
        <f ca="1">IFERROR($K335*44/12*参考2_エネ使用量経年!$K185*(参考2_エネ使用量経年!AM185+参考2_エネ使用量経年!AM272),"")</f>
        <v/>
      </c>
      <c r="AN335" s="954" t="str">
        <f ca="1">IFERROR($H335*44/12*参考2_エネ使用量経年!$H185*(参考2_エネ使用量経年!AN185+参考2_エネ使用量経年!AN272),"")</f>
        <v/>
      </c>
      <c r="AO335" s="954" t="str">
        <f ca="1">IFERROR($I335*44/12*参考2_エネ使用量経年!$I185*(参考2_エネ使用量経年!AO185+参考2_エネ使用量経年!AO272),"")</f>
        <v/>
      </c>
      <c r="AP335" s="954" t="str">
        <f ca="1">IFERROR($J335*44/12*参考2_エネ使用量経年!$J185*(参考2_エネ使用量経年!AP185+参考2_エネ使用量経年!AP272),"")</f>
        <v/>
      </c>
      <c r="AQ335" s="954" t="str">
        <f ca="1">IFERROR($K335*44/12*参考2_エネ使用量経年!$K185*(参考2_エネ使用量経年!AQ185+参考2_エネ使用量経年!AQ272),"")</f>
        <v/>
      </c>
      <c r="AR335" s="954" t="str">
        <f ca="1">IFERROR($H335*44/12*参考2_エネ使用量経年!$H185*(参考2_エネ使用量経年!AR185+参考2_エネ使用量経年!AR272),"")</f>
        <v/>
      </c>
      <c r="AS335" s="954" t="str">
        <f ca="1">IFERROR($I335*44/12*参考2_エネ使用量経年!$I185*(参考2_エネ使用量経年!AS185+参考2_エネ使用量経年!AS272),"")</f>
        <v/>
      </c>
      <c r="AT335" s="954" t="str">
        <f ca="1">IFERROR($J335*44/12*参考2_エネ使用量経年!$J185*(参考2_エネ使用量経年!AT185+参考2_エネ使用量経年!AT272),"")</f>
        <v/>
      </c>
      <c r="AU335" s="954" t="str">
        <f ca="1">IFERROR($K335*44/12*参考2_エネ使用量経年!$K185*(参考2_エネ使用量経年!AU185+参考2_エネ使用量経年!AU272),"")</f>
        <v/>
      </c>
      <c r="AV335" s="954" t="str">
        <f ca="1">IFERROR($H335*44/12*参考2_エネ使用量経年!$H185*(参考2_エネ使用量経年!AV185+参考2_エネ使用量経年!AV272),"")</f>
        <v/>
      </c>
      <c r="AW335" s="954" t="str">
        <f ca="1">IFERROR($I335*44/12*参考2_エネ使用量経年!$I185*(参考2_エネ使用量経年!AW185+参考2_エネ使用量経年!AW272),"")</f>
        <v/>
      </c>
      <c r="AX335" s="954" t="str">
        <f ca="1">IFERROR($J335*44/12*参考2_エネ使用量経年!$J185*(参考2_エネ使用量経年!AX185+参考2_エネ使用量経年!AX272),"")</f>
        <v/>
      </c>
      <c r="AY335" s="954" t="str">
        <f ca="1">IFERROR($K335*44/12*参考2_エネ使用量経年!$K185*(参考2_エネ使用量経年!AY185+参考2_エネ使用量経年!AY272),"")</f>
        <v/>
      </c>
      <c r="AZ335" s="954" t="str">
        <f ca="1">IFERROR($H335*44/12*参考2_エネ使用量経年!$H185*(参考2_エネ使用量経年!AZ185+参考2_エネ使用量経年!AZ272),"")</f>
        <v/>
      </c>
      <c r="BA335" s="954" t="str">
        <f ca="1">IFERROR($I335*44/12*参考2_エネ使用量経年!$I185*(参考2_エネ使用量経年!BA185+参考2_エネ使用量経年!BA272),"")</f>
        <v/>
      </c>
      <c r="BB335" s="954" t="str">
        <f ca="1">IFERROR($J335*44/12*参考2_エネ使用量経年!$J185*(参考2_エネ使用量経年!BB185+参考2_エネ使用量経年!BB272),"")</f>
        <v/>
      </c>
      <c r="BC335" s="954" t="str">
        <f ca="1">IFERROR($K335*44/12*参考2_エネ使用量経年!$K185*(参考2_エネ使用量経年!BC185+参考2_エネ使用量経年!BC272),"")</f>
        <v/>
      </c>
      <c r="BD335" s="954" t="str">
        <f ca="1">IFERROR($H335*44/12*参考2_エネ使用量経年!$H185*(参考2_エネ使用量経年!BD185+参考2_エネ使用量経年!BD272),"")</f>
        <v/>
      </c>
      <c r="BE335" s="954" t="str">
        <f ca="1">IFERROR($I335*44/12*参考2_エネ使用量経年!$I185*(参考2_エネ使用量経年!BE185+参考2_エネ使用量経年!BE272),"")</f>
        <v/>
      </c>
      <c r="BF335" s="954" t="str">
        <f ca="1">IFERROR($J335*44/12*参考2_エネ使用量経年!$J185*(参考2_エネ使用量経年!BF185+参考2_エネ使用量経年!BF272),"")</f>
        <v/>
      </c>
      <c r="BG335" s="954" t="str">
        <f ca="1">IFERROR($K335*44/12*参考2_エネ使用量経年!$K185*(参考2_エネ使用量経年!BG185+参考2_エネ使用量経年!BG272),"")</f>
        <v/>
      </c>
      <c r="BH335" s="954" t="str">
        <f ca="1">IFERROR($H335*44/12*参考2_エネ使用量経年!$H185*(参考2_エネ使用量経年!BH185+参考2_エネ使用量経年!BH272),"")</f>
        <v/>
      </c>
      <c r="BI335" s="954" t="str">
        <f ca="1">IFERROR($I335*44/12*参考2_エネ使用量経年!$I185*(参考2_エネ使用量経年!BI185+参考2_エネ使用量経年!BI272),"")</f>
        <v/>
      </c>
      <c r="BJ335" s="954" t="str">
        <f ca="1">IFERROR($J335*44/12*参考2_エネ使用量経年!$J185*(参考2_エネ使用量経年!BJ185+参考2_エネ使用量経年!BJ272),"")</f>
        <v/>
      </c>
      <c r="BK335" s="954" t="str">
        <f ca="1">IFERROR($K335*44/12*参考2_エネ使用量経年!$K185*(参考2_エネ使用量経年!BK185+参考2_エネ使用量経年!BK272),"")</f>
        <v/>
      </c>
      <c r="BL335" s="954" t="str">
        <f ca="1">IFERROR($H335*44/12*参考2_エネ使用量経年!$H185*(参考2_エネ使用量経年!BL185+参考2_エネ使用量経年!BL272),"")</f>
        <v/>
      </c>
      <c r="BM335" s="954" t="str">
        <f ca="1">IFERROR($I335*44/12*参考2_エネ使用量経年!$I185*(参考2_エネ使用量経年!BM185+参考2_エネ使用量経年!BM272),"")</f>
        <v/>
      </c>
      <c r="BN335" s="954" t="str">
        <f ca="1">IFERROR($J335*44/12*参考2_エネ使用量経年!$J185*(参考2_エネ使用量経年!BN185+参考2_エネ使用量経年!BN272),"")</f>
        <v/>
      </c>
      <c r="BO335" s="954" t="str">
        <f ca="1">IFERROR($K335*44/12*参考2_エネ使用量経年!$K185*(参考2_エネ使用量経年!BO185+参考2_エネ使用量経年!BO272),"")</f>
        <v/>
      </c>
    </row>
    <row r="336" spans="1:67" ht="20.100000000000001" customHeight="1">
      <c r="A336" s="952">
        <v>23</v>
      </c>
      <c r="B336" s="1870"/>
      <c r="C336" s="1872"/>
      <c r="D336" s="824" t="s">
        <v>4398</v>
      </c>
      <c r="E336" s="824"/>
      <c r="F336" s="825"/>
      <c r="G336" s="891" t="s">
        <v>4685</v>
      </c>
      <c r="H336" s="953">
        <f t="shared" ca="1" si="110"/>
        <v>2.46E-2</v>
      </c>
      <c r="I336" s="953">
        <f t="shared" ca="1" si="111"/>
        <v>2.46E-2</v>
      </c>
      <c r="J336" s="953">
        <f t="shared" ca="1" si="112"/>
        <v>2.46E-2</v>
      </c>
      <c r="K336" s="953">
        <f t="shared" ca="1" si="113"/>
        <v>2.46E-2</v>
      </c>
      <c r="L336" s="954">
        <f ca="1">IFERROR($H336*44/12*参考2_エネ使用量経年!$H186*(参考2_エネ使用量経年!L186+参考2_エネ使用量経年!L273),"")</f>
        <v>0</v>
      </c>
      <c r="M336" s="954">
        <f ca="1">IFERROR($I336*44/12*参考2_エネ使用量経年!$I186*(参考2_エネ使用量経年!M186+参考2_エネ使用量経年!M273),"")</f>
        <v>0</v>
      </c>
      <c r="N336" s="954">
        <f ca="1">IFERROR($J336*44/12*参考2_エネ使用量経年!$J186*(参考2_エネ使用量経年!N186+参考2_エネ使用量経年!N273),"")</f>
        <v>0</v>
      </c>
      <c r="O336" s="954">
        <f ca="1">IFERROR($K336*44/12*参考2_エネ使用量経年!$K186*(参考2_エネ使用量経年!O186+参考2_エネ使用量経年!O273),"")</f>
        <v>0</v>
      </c>
      <c r="P336" s="954">
        <f ca="1">IFERROR($H336*44/12*参考2_エネ使用量経年!$H186*(参考2_エネ使用量経年!P186+参考2_エネ使用量経年!P273),"")</f>
        <v>0</v>
      </c>
      <c r="Q336" s="954">
        <f ca="1">IFERROR($I336*44/12*参考2_エネ使用量経年!$I186*(参考2_エネ使用量経年!Q186+参考2_エネ使用量経年!Q273),"")</f>
        <v>0</v>
      </c>
      <c r="R336" s="954">
        <f ca="1">IFERROR($J336*44/12*参考2_エネ使用量経年!$J186*(参考2_エネ使用量経年!R186+参考2_エネ使用量経年!R273),"")</f>
        <v>0</v>
      </c>
      <c r="S336" s="954">
        <f ca="1">IFERROR($K336*44/12*参考2_エネ使用量経年!$K186*(参考2_エネ使用量経年!S186+参考2_エネ使用量経年!S273),"")</f>
        <v>0</v>
      </c>
      <c r="T336" s="954">
        <f ca="1">IFERROR($H336*44/12*参考2_エネ使用量経年!$H186*(参考2_エネ使用量経年!T186+参考2_エネ使用量経年!T273),"")</f>
        <v>0</v>
      </c>
      <c r="U336" s="954">
        <f ca="1">IFERROR($I336*44/12*参考2_エネ使用量経年!$I186*(参考2_エネ使用量経年!U186+参考2_エネ使用量経年!U273),"")</f>
        <v>0</v>
      </c>
      <c r="V336" s="954">
        <f ca="1">IFERROR($J336*44/12*参考2_エネ使用量経年!$J186*(参考2_エネ使用量経年!V186+参考2_エネ使用量経年!V273),"")</f>
        <v>0</v>
      </c>
      <c r="W336" s="954">
        <f ca="1">IFERROR($K336*44/12*参考2_エネ使用量経年!$K186*(参考2_エネ使用量経年!W186+参考2_エネ使用量経年!W273),"")</f>
        <v>0</v>
      </c>
      <c r="X336" s="954">
        <f ca="1">IFERROR($H336*44/12*参考2_エネ使用量経年!$H186*(参考2_エネ使用量経年!X186+参考2_エネ使用量経年!X273),"")</f>
        <v>0</v>
      </c>
      <c r="Y336" s="954">
        <f ca="1">IFERROR($I336*44/12*参考2_エネ使用量経年!$I186*(参考2_エネ使用量経年!Y186+参考2_エネ使用量経年!Y273),"")</f>
        <v>0</v>
      </c>
      <c r="Z336" s="954">
        <f ca="1">IFERROR($J336*44/12*参考2_エネ使用量経年!$J186*(参考2_エネ使用量経年!Z186+参考2_エネ使用量経年!Z273),"")</f>
        <v>0</v>
      </c>
      <c r="AA336" s="954">
        <f ca="1">IFERROR($K336*44/12*参考2_エネ使用量経年!$K186*(参考2_エネ使用量経年!AA186+参考2_エネ使用量経年!AA273),"")</f>
        <v>0</v>
      </c>
      <c r="AB336" s="954" t="str">
        <f ca="1">IFERROR($H336*44/12*参考2_エネ使用量経年!$H186*(参考2_エネ使用量経年!AB186+参考2_エネ使用量経年!AB273),"")</f>
        <v/>
      </c>
      <c r="AC336" s="954" t="str">
        <f ca="1">IFERROR($I336*44/12*参考2_エネ使用量経年!$I186*(参考2_エネ使用量経年!AC186+参考2_エネ使用量経年!AC273),"")</f>
        <v/>
      </c>
      <c r="AD336" s="954" t="str">
        <f ca="1">IFERROR($J336*44/12*参考2_エネ使用量経年!$J186*(参考2_エネ使用量経年!AD186+参考2_エネ使用量経年!AD273),"")</f>
        <v/>
      </c>
      <c r="AE336" s="954" t="str">
        <f ca="1">IFERROR($K336*44/12*参考2_エネ使用量経年!$K186*(参考2_エネ使用量経年!AE186+参考2_エネ使用量経年!AE273),"")</f>
        <v/>
      </c>
      <c r="AF336" s="954" t="str">
        <f ca="1">IFERROR($H336*44/12*参考2_エネ使用量経年!$H186*(参考2_エネ使用量経年!AF186+参考2_エネ使用量経年!AF273),"")</f>
        <v/>
      </c>
      <c r="AG336" s="954" t="str">
        <f ca="1">IFERROR($I336*44/12*参考2_エネ使用量経年!$I186*(参考2_エネ使用量経年!AG186+参考2_エネ使用量経年!AG273),"")</f>
        <v/>
      </c>
      <c r="AH336" s="954" t="str">
        <f ca="1">IFERROR($J336*44/12*参考2_エネ使用量経年!$J186*(参考2_エネ使用量経年!AH186+参考2_エネ使用量経年!AH273),"")</f>
        <v/>
      </c>
      <c r="AI336" s="954" t="str">
        <f ca="1">IFERROR($K336*44/12*参考2_エネ使用量経年!$K186*(参考2_エネ使用量経年!AI186+参考2_エネ使用量経年!AI273),"")</f>
        <v/>
      </c>
      <c r="AJ336" s="954" t="str">
        <f ca="1">IFERROR($H336*44/12*参考2_エネ使用量経年!$H186*(参考2_エネ使用量経年!AJ186+参考2_エネ使用量経年!AJ273),"")</f>
        <v/>
      </c>
      <c r="AK336" s="954" t="str">
        <f ca="1">IFERROR($I336*44/12*参考2_エネ使用量経年!$I186*(参考2_エネ使用量経年!AK186+参考2_エネ使用量経年!AK273),"")</f>
        <v/>
      </c>
      <c r="AL336" s="954" t="str">
        <f ca="1">IFERROR($J336*44/12*参考2_エネ使用量経年!$J186*(参考2_エネ使用量経年!AL186+参考2_エネ使用量経年!AL273),"")</f>
        <v/>
      </c>
      <c r="AM336" s="954" t="str">
        <f ca="1">IFERROR($K336*44/12*参考2_エネ使用量経年!$K186*(参考2_エネ使用量経年!AM186+参考2_エネ使用量経年!AM273),"")</f>
        <v/>
      </c>
      <c r="AN336" s="954" t="str">
        <f ca="1">IFERROR($H336*44/12*参考2_エネ使用量経年!$H186*(参考2_エネ使用量経年!AN186+参考2_エネ使用量経年!AN273),"")</f>
        <v/>
      </c>
      <c r="AO336" s="954" t="str">
        <f ca="1">IFERROR($I336*44/12*参考2_エネ使用量経年!$I186*(参考2_エネ使用量経年!AO186+参考2_エネ使用量経年!AO273),"")</f>
        <v/>
      </c>
      <c r="AP336" s="954" t="str">
        <f ca="1">IFERROR($J336*44/12*参考2_エネ使用量経年!$J186*(参考2_エネ使用量経年!AP186+参考2_エネ使用量経年!AP273),"")</f>
        <v/>
      </c>
      <c r="AQ336" s="954" t="str">
        <f ca="1">IFERROR($K336*44/12*参考2_エネ使用量経年!$K186*(参考2_エネ使用量経年!AQ186+参考2_エネ使用量経年!AQ273),"")</f>
        <v/>
      </c>
      <c r="AR336" s="954" t="str">
        <f ca="1">IFERROR($H336*44/12*参考2_エネ使用量経年!$H186*(参考2_エネ使用量経年!AR186+参考2_エネ使用量経年!AR273),"")</f>
        <v/>
      </c>
      <c r="AS336" s="954" t="str">
        <f ca="1">IFERROR($I336*44/12*参考2_エネ使用量経年!$I186*(参考2_エネ使用量経年!AS186+参考2_エネ使用量経年!AS273),"")</f>
        <v/>
      </c>
      <c r="AT336" s="954" t="str">
        <f ca="1">IFERROR($J336*44/12*参考2_エネ使用量経年!$J186*(参考2_エネ使用量経年!AT186+参考2_エネ使用量経年!AT273),"")</f>
        <v/>
      </c>
      <c r="AU336" s="954" t="str">
        <f ca="1">IFERROR($K336*44/12*参考2_エネ使用量経年!$K186*(参考2_エネ使用量経年!AU186+参考2_エネ使用量経年!AU273),"")</f>
        <v/>
      </c>
      <c r="AV336" s="954" t="str">
        <f ca="1">IFERROR($H336*44/12*参考2_エネ使用量経年!$H186*(参考2_エネ使用量経年!AV186+参考2_エネ使用量経年!AV273),"")</f>
        <v/>
      </c>
      <c r="AW336" s="954" t="str">
        <f ca="1">IFERROR($I336*44/12*参考2_エネ使用量経年!$I186*(参考2_エネ使用量経年!AW186+参考2_エネ使用量経年!AW273),"")</f>
        <v/>
      </c>
      <c r="AX336" s="954" t="str">
        <f ca="1">IFERROR($J336*44/12*参考2_エネ使用量経年!$J186*(参考2_エネ使用量経年!AX186+参考2_エネ使用量経年!AX273),"")</f>
        <v/>
      </c>
      <c r="AY336" s="954" t="str">
        <f ca="1">IFERROR($K336*44/12*参考2_エネ使用量経年!$K186*(参考2_エネ使用量経年!AY186+参考2_エネ使用量経年!AY273),"")</f>
        <v/>
      </c>
      <c r="AZ336" s="954" t="str">
        <f ca="1">IFERROR($H336*44/12*参考2_エネ使用量経年!$H186*(参考2_エネ使用量経年!AZ186+参考2_エネ使用量経年!AZ273),"")</f>
        <v/>
      </c>
      <c r="BA336" s="954" t="str">
        <f ca="1">IFERROR($I336*44/12*参考2_エネ使用量経年!$I186*(参考2_エネ使用量経年!BA186+参考2_エネ使用量経年!BA273),"")</f>
        <v/>
      </c>
      <c r="BB336" s="954" t="str">
        <f ca="1">IFERROR($J336*44/12*参考2_エネ使用量経年!$J186*(参考2_エネ使用量経年!BB186+参考2_エネ使用量経年!BB273),"")</f>
        <v/>
      </c>
      <c r="BC336" s="954" t="str">
        <f ca="1">IFERROR($K336*44/12*参考2_エネ使用量経年!$K186*(参考2_エネ使用量経年!BC186+参考2_エネ使用量経年!BC273),"")</f>
        <v/>
      </c>
      <c r="BD336" s="954" t="str">
        <f ca="1">IFERROR($H336*44/12*参考2_エネ使用量経年!$H186*(参考2_エネ使用量経年!BD186+参考2_エネ使用量経年!BD273),"")</f>
        <v/>
      </c>
      <c r="BE336" s="954" t="str">
        <f ca="1">IFERROR($I336*44/12*参考2_エネ使用量経年!$I186*(参考2_エネ使用量経年!BE186+参考2_エネ使用量経年!BE273),"")</f>
        <v/>
      </c>
      <c r="BF336" s="954" t="str">
        <f ca="1">IFERROR($J336*44/12*参考2_エネ使用量経年!$J186*(参考2_エネ使用量経年!BF186+参考2_エネ使用量経年!BF273),"")</f>
        <v/>
      </c>
      <c r="BG336" s="954" t="str">
        <f ca="1">IFERROR($K336*44/12*参考2_エネ使用量経年!$K186*(参考2_エネ使用量経年!BG186+参考2_エネ使用量経年!BG273),"")</f>
        <v/>
      </c>
      <c r="BH336" s="954" t="str">
        <f ca="1">IFERROR($H336*44/12*参考2_エネ使用量経年!$H186*(参考2_エネ使用量経年!BH186+参考2_エネ使用量経年!BH273),"")</f>
        <v/>
      </c>
      <c r="BI336" s="954" t="str">
        <f ca="1">IFERROR($I336*44/12*参考2_エネ使用量経年!$I186*(参考2_エネ使用量経年!BI186+参考2_エネ使用量経年!BI273),"")</f>
        <v/>
      </c>
      <c r="BJ336" s="954" t="str">
        <f ca="1">IFERROR($J336*44/12*参考2_エネ使用量経年!$J186*(参考2_エネ使用量経年!BJ186+参考2_エネ使用量経年!BJ273),"")</f>
        <v/>
      </c>
      <c r="BK336" s="954" t="str">
        <f ca="1">IFERROR($K336*44/12*参考2_エネ使用量経年!$K186*(参考2_エネ使用量経年!BK186+参考2_エネ使用量経年!BK273),"")</f>
        <v/>
      </c>
      <c r="BL336" s="954" t="str">
        <f ca="1">IFERROR($H336*44/12*参考2_エネ使用量経年!$H186*(参考2_エネ使用量経年!BL186+参考2_エネ使用量経年!BL273),"")</f>
        <v/>
      </c>
      <c r="BM336" s="954" t="str">
        <f ca="1">IFERROR($I336*44/12*参考2_エネ使用量経年!$I186*(参考2_エネ使用量経年!BM186+参考2_エネ使用量経年!BM273),"")</f>
        <v/>
      </c>
      <c r="BN336" s="954" t="str">
        <f ca="1">IFERROR($J336*44/12*参考2_エネ使用量経年!$J186*(参考2_エネ使用量経年!BN186+参考2_エネ使用量経年!BN273),"")</f>
        <v/>
      </c>
      <c r="BO336" s="954" t="str">
        <f ca="1">IFERROR($K336*44/12*参考2_エネ使用量経年!$K186*(参考2_エネ使用量経年!BO186+参考2_エネ使用量経年!BO273),"")</f>
        <v/>
      </c>
    </row>
    <row r="337" spans="1:67" ht="20.100000000000001" customHeight="1">
      <c r="A337" s="952">
        <v>24</v>
      </c>
      <c r="B337" s="1870"/>
      <c r="C337" s="1872"/>
      <c r="D337" s="824" t="s">
        <v>4399</v>
      </c>
      <c r="E337" s="818"/>
      <c r="F337" s="825"/>
      <c r="G337" s="891" t="s">
        <v>4685</v>
      </c>
      <c r="H337" s="953">
        <f t="shared" ca="1" si="110"/>
        <v>2.4500000000000001E-2</v>
      </c>
      <c r="I337" s="953">
        <f t="shared" ca="1" si="111"/>
        <v>2.4500000000000001E-2</v>
      </c>
      <c r="J337" s="953">
        <f t="shared" ca="1" si="112"/>
        <v>2.4500000000000001E-2</v>
      </c>
      <c r="K337" s="953">
        <f t="shared" ca="1" si="113"/>
        <v>2.4500000000000001E-2</v>
      </c>
      <c r="L337" s="954">
        <f ca="1">IFERROR($H337*44/12*参考2_エネ使用量経年!$H187*(参考2_エネ使用量経年!L187+参考2_エネ使用量経年!L274),"")</f>
        <v>0</v>
      </c>
      <c r="M337" s="954">
        <f ca="1">IFERROR($I337*44/12*参考2_エネ使用量経年!$I187*(参考2_エネ使用量経年!M187+参考2_エネ使用量経年!M274),"")</f>
        <v>0</v>
      </c>
      <c r="N337" s="954">
        <f ca="1">IFERROR($J337*44/12*参考2_エネ使用量経年!$J187*(参考2_エネ使用量経年!N187+参考2_エネ使用量経年!N274),"")</f>
        <v>0</v>
      </c>
      <c r="O337" s="954">
        <f ca="1">IFERROR($K337*44/12*参考2_エネ使用量経年!$K187*(参考2_エネ使用量経年!O187+参考2_エネ使用量経年!O274),"")</f>
        <v>0</v>
      </c>
      <c r="P337" s="954">
        <f ca="1">IFERROR($H337*44/12*参考2_エネ使用量経年!$H187*(参考2_エネ使用量経年!P187+参考2_エネ使用量経年!P274),"")</f>
        <v>0</v>
      </c>
      <c r="Q337" s="954">
        <f ca="1">IFERROR($I337*44/12*参考2_エネ使用量経年!$I187*(参考2_エネ使用量経年!Q187+参考2_エネ使用量経年!Q274),"")</f>
        <v>0</v>
      </c>
      <c r="R337" s="954">
        <f ca="1">IFERROR($J337*44/12*参考2_エネ使用量経年!$J187*(参考2_エネ使用量経年!R187+参考2_エネ使用量経年!R274),"")</f>
        <v>0</v>
      </c>
      <c r="S337" s="954">
        <f ca="1">IFERROR($K337*44/12*参考2_エネ使用量経年!$K187*(参考2_エネ使用量経年!S187+参考2_エネ使用量経年!S274),"")</f>
        <v>0</v>
      </c>
      <c r="T337" s="954">
        <f ca="1">IFERROR($H337*44/12*参考2_エネ使用量経年!$H187*(参考2_エネ使用量経年!T187+参考2_エネ使用量経年!T274),"")</f>
        <v>0</v>
      </c>
      <c r="U337" s="954">
        <f ca="1">IFERROR($I337*44/12*参考2_エネ使用量経年!$I187*(参考2_エネ使用量経年!U187+参考2_エネ使用量経年!U274),"")</f>
        <v>0</v>
      </c>
      <c r="V337" s="954">
        <f ca="1">IFERROR($J337*44/12*参考2_エネ使用量経年!$J187*(参考2_エネ使用量経年!V187+参考2_エネ使用量経年!V274),"")</f>
        <v>0</v>
      </c>
      <c r="W337" s="954">
        <f ca="1">IFERROR($K337*44/12*参考2_エネ使用量経年!$K187*(参考2_エネ使用量経年!W187+参考2_エネ使用量経年!W274),"")</f>
        <v>0</v>
      </c>
      <c r="X337" s="954">
        <f ca="1">IFERROR($H337*44/12*参考2_エネ使用量経年!$H187*(参考2_エネ使用量経年!X187+参考2_エネ使用量経年!X274),"")</f>
        <v>0</v>
      </c>
      <c r="Y337" s="954">
        <f ca="1">IFERROR($I337*44/12*参考2_エネ使用量経年!$I187*(参考2_エネ使用量経年!Y187+参考2_エネ使用量経年!Y274),"")</f>
        <v>0</v>
      </c>
      <c r="Z337" s="954">
        <f ca="1">IFERROR($J337*44/12*参考2_エネ使用量経年!$J187*(参考2_エネ使用量経年!Z187+参考2_エネ使用量経年!Z274),"")</f>
        <v>0</v>
      </c>
      <c r="AA337" s="954">
        <f ca="1">IFERROR($K337*44/12*参考2_エネ使用量経年!$K187*(参考2_エネ使用量経年!AA187+参考2_エネ使用量経年!AA274),"")</f>
        <v>0</v>
      </c>
      <c r="AB337" s="954" t="str">
        <f ca="1">IFERROR($H337*44/12*参考2_エネ使用量経年!$H187*(参考2_エネ使用量経年!AB187+参考2_エネ使用量経年!AB274),"")</f>
        <v/>
      </c>
      <c r="AC337" s="954" t="str">
        <f ca="1">IFERROR($I337*44/12*参考2_エネ使用量経年!$I187*(参考2_エネ使用量経年!AC187+参考2_エネ使用量経年!AC274),"")</f>
        <v/>
      </c>
      <c r="AD337" s="954" t="str">
        <f ca="1">IFERROR($J337*44/12*参考2_エネ使用量経年!$J187*(参考2_エネ使用量経年!AD187+参考2_エネ使用量経年!AD274),"")</f>
        <v/>
      </c>
      <c r="AE337" s="954" t="str">
        <f ca="1">IFERROR($K337*44/12*参考2_エネ使用量経年!$K187*(参考2_エネ使用量経年!AE187+参考2_エネ使用量経年!AE274),"")</f>
        <v/>
      </c>
      <c r="AF337" s="954" t="str">
        <f ca="1">IFERROR($H337*44/12*参考2_エネ使用量経年!$H187*(参考2_エネ使用量経年!AF187+参考2_エネ使用量経年!AF274),"")</f>
        <v/>
      </c>
      <c r="AG337" s="954" t="str">
        <f ca="1">IFERROR($I337*44/12*参考2_エネ使用量経年!$I187*(参考2_エネ使用量経年!AG187+参考2_エネ使用量経年!AG274),"")</f>
        <v/>
      </c>
      <c r="AH337" s="954" t="str">
        <f ca="1">IFERROR($J337*44/12*参考2_エネ使用量経年!$J187*(参考2_エネ使用量経年!AH187+参考2_エネ使用量経年!AH274),"")</f>
        <v/>
      </c>
      <c r="AI337" s="954" t="str">
        <f ca="1">IFERROR($K337*44/12*参考2_エネ使用量経年!$K187*(参考2_エネ使用量経年!AI187+参考2_エネ使用量経年!AI274),"")</f>
        <v/>
      </c>
      <c r="AJ337" s="954" t="str">
        <f ca="1">IFERROR($H337*44/12*参考2_エネ使用量経年!$H187*(参考2_エネ使用量経年!AJ187+参考2_エネ使用量経年!AJ274),"")</f>
        <v/>
      </c>
      <c r="AK337" s="954" t="str">
        <f ca="1">IFERROR($I337*44/12*参考2_エネ使用量経年!$I187*(参考2_エネ使用量経年!AK187+参考2_エネ使用量経年!AK274),"")</f>
        <v/>
      </c>
      <c r="AL337" s="954" t="str">
        <f ca="1">IFERROR($J337*44/12*参考2_エネ使用量経年!$J187*(参考2_エネ使用量経年!AL187+参考2_エネ使用量経年!AL274),"")</f>
        <v/>
      </c>
      <c r="AM337" s="954" t="str">
        <f ca="1">IFERROR($K337*44/12*参考2_エネ使用量経年!$K187*(参考2_エネ使用量経年!AM187+参考2_エネ使用量経年!AM274),"")</f>
        <v/>
      </c>
      <c r="AN337" s="954" t="str">
        <f ca="1">IFERROR($H337*44/12*参考2_エネ使用量経年!$H187*(参考2_エネ使用量経年!AN187+参考2_エネ使用量経年!AN274),"")</f>
        <v/>
      </c>
      <c r="AO337" s="954" t="str">
        <f ca="1">IFERROR($I337*44/12*参考2_エネ使用量経年!$I187*(参考2_エネ使用量経年!AO187+参考2_エネ使用量経年!AO274),"")</f>
        <v/>
      </c>
      <c r="AP337" s="954" t="str">
        <f ca="1">IFERROR($J337*44/12*参考2_エネ使用量経年!$J187*(参考2_エネ使用量経年!AP187+参考2_エネ使用量経年!AP274),"")</f>
        <v/>
      </c>
      <c r="AQ337" s="954" t="str">
        <f ca="1">IFERROR($K337*44/12*参考2_エネ使用量経年!$K187*(参考2_エネ使用量経年!AQ187+参考2_エネ使用量経年!AQ274),"")</f>
        <v/>
      </c>
      <c r="AR337" s="954" t="str">
        <f ca="1">IFERROR($H337*44/12*参考2_エネ使用量経年!$H187*(参考2_エネ使用量経年!AR187+参考2_エネ使用量経年!AR274),"")</f>
        <v/>
      </c>
      <c r="AS337" s="954" t="str">
        <f ca="1">IFERROR($I337*44/12*参考2_エネ使用量経年!$I187*(参考2_エネ使用量経年!AS187+参考2_エネ使用量経年!AS274),"")</f>
        <v/>
      </c>
      <c r="AT337" s="954" t="str">
        <f ca="1">IFERROR($J337*44/12*参考2_エネ使用量経年!$J187*(参考2_エネ使用量経年!AT187+参考2_エネ使用量経年!AT274),"")</f>
        <v/>
      </c>
      <c r="AU337" s="954" t="str">
        <f ca="1">IFERROR($K337*44/12*参考2_エネ使用量経年!$K187*(参考2_エネ使用量経年!AU187+参考2_エネ使用量経年!AU274),"")</f>
        <v/>
      </c>
      <c r="AV337" s="954" t="str">
        <f ca="1">IFERROR($H337*44/12*参考2_エネ使用量経年!$H187*(参考2_エネ使用量経年!AV187+参考2_エネ使用量経年!AV274),"")</f>
        <v/>
      </c>
      <c r="AW337" s="954" t="str">
        <f ca="1">IFERROR($I337*44/12*参考2_エネ使用量経年!$I187*(参考2_エネ使用量経年!AW187+参考2_エネ使用量経年!AW274),"")</f>
        <v/>
      </c>
      <c r="AX337" s="954" t="str">
        <f ca="1">IFERROR($J337*44/12*参考2_エネ使用量経年!$J187*(参考2_エネ使用量経年!AX187+参考2_エネ使用量経年!AX274),"")</f>
        <v/>
      </c>
      <c r="AY337" s="954" t="str">
        <f ca="1">IFERROR($K337*44/12*参考2_エネ使用量経年!$K187*(参考2_エネ使用量経年!AY187+参考2_エネ使用量経年!AY274),"")</f>
        <v/>
      </c>
      <c r="AZ337" s="954" t="str">
        <f ca="1">IFERROR($H337*44/12*参考2_エネ使用量経年!$H187*(参考2_エネ使用量経年!AZ187+参考2_エネ使用量経年!AZ274),"")</f>
        <v/>
      </c>
      <c r="BA337" s="954" t="str">
        <f ca="1">IFERROR($I337*44/12*参考2_エネ使用量経年!$I187*(参考2_エネ使用量経年!BA187+参考2_エネ使用量経年!BA274),"")</f>
        <v/>
      </c>
      <c r="BB337" s="954" t="str">
        <f ca="1">IFERROR($J337*44/12*参考2_エネ使用量経年!$J187*(参考2_エネ使用量経年!BB187+参考2_エネ使用量経年!BB274),"")</f>
        <v/>
      </c>
      <c r="BC337" s="954" t="str">
        <f ca="1">IFERROR($K337*44/12*参考2_エネ使用量経年!$K187*(参考2_エネ使用量経年!BC187+参考2_エネ使用量経年!BC274),"")</f>
        <v/>
      </c>
      <c r="BD337" s="954" t="str">
        <f ca="1">IFERROR($H337*44/12*参考2_エネ使用量経年!$H187*(参考2_エネ使用量経年!BD187+参考2_エネ使用量経年!BD274),"")</f>
        <v/>
      </c>
      <c r="BE337" s="954" t="str">
        <f ca="1">IFERROR($I337*44/12*参考2_エネ使用量経年!$I187*(参考2_エネ使用量経年!BE187+参考2_エネ使用量経年!BE274),"")</f>
        <v/>
      </c>
      <c r="BF337" s="954" t="str">
        <f ca="1">IFERROR($J337*44/12*参考2_エネ使用量経年!$J187*(参考2_エネ使用量経年!BF187+参考2_エネ使用量経年!BF274),"")</f>
        <v/>
      </c>
      <c r="BG337" s="954" t="str">
        <f ca="1">IFERROR($K337*44/12*参考2_エネ使用量経年!$K187*(参考2_エネ使用量経年!BG187+参考2_エネ使用量経年!BG274),"")</f>
        <v/>
      </c>
      <c r="BH337" s="954" t="str">
        <f ca="1">IFERROR($H337*44/12*参考2_エネ使用量経年!$H187*(参考2_エネ使用量経年!BH187+参考2_エネ使用量経年!BH274),"")</f>
        <v/>
      </c>
      <c r="BI337" s="954" t="str">
        <f ca="1">IFERROR($I337*44/12*参考2_エネ使用量経年!$I187*(参考2_エネ使用量経年!BI187+参考2_エネ使用量経年!BI274),"")</f>
        <v/>
      </c>
      <c r="BJ337" s="954" t="str">
        <f ca="1">IFERROR($J337*44/12*参考2_エネ使用量経年!$J187*(参考2_エネ使用量経年!BJ187+参考2_エネ使用量経年!BJ274),"")</f>
        <v/>
      </c>
      <c r="BK337" s="954" t="str">
        <f ca="1">IFERROR($K337*44/12*参考2_エネ使用量経年!$K187*(参考2_エネ使用量経年!BK187+参考2_エネ使用量経年!BK274),"")</f>
        <v/>
      </c>
      <c r="BL337" s="954" t="str">
        <f ca="1">IFERROR($H337*44/12*参考2_エネ使用量経年!$H187*(参考2_エネ使用量経年!BL187+参考2_エネ使用量経年!BL274),"")</f>
        <v/>
      </c>
      <c r="BM337" s="954" t="str">
        <f ca="1">IFERROR($I337*44/12*参考2_エネ使用量経年!$I187*(参考2_エネ使用量経年!BM187+参考2_エネ使用量経年!BM274),"")</f>
        <v/>
      </c>
      <c r="BN337" s="954" t="str">
        <f ca="1">IFERROR($J337*44/12*参考2_エネ使用量経年!$J187*(参考2_エネ使用量経年!BN187+参考2_エネ使用量経年!BN274),"")</f>
        <v/>
      </c>
      <c r="BO337" s="954" t="str">
        <f ca="1">IFERROR($K337*44/12*参考2_エネ使用量経年!$K187*(参考2_エネ使用量経年!BO187+参考2_エネ使用量経年!BO274),"")</f>
        <v/>
      </c>
    </row>
    <row r="338" spans="1:67" ht="20.100000000000001" customHeight="1">
      <c r="A338" s="952">
        <v>25</v>
      </c>
      <c r="B338" s="1870"/>
      <c r="C338" s="1872"/>
      <c r="D338" s="824" t="s">
        <v>4400</v>
      </c>
      <c r="E338" s="824"/>
      <c r="F338" s="825"/>
      <c r="G338" s="891" t="s">
        <v>4685</v>
      </c>
      <c r="H338" s="953">
        <f t="shared" ca="1" si="110"/>
        <v>2.5100000000000001E-2</v>
      </c>
      <c r="I338" s="953">
        <f t="shared" ca="1" si="111"/>
        <v>2.5100000000000001E-2</v>
      </c>
      <c r="J338" s="953">
        <f t="shared" ca="1" si="112"/>
        <v>2.5100000000000001E-2</v>
      </c>
      <c r="K338" s="953">
        <f t="shared" ca="1" si="113"/>
        <v>2.5100000000000001E-2</v>
      </c>
      <c r="L338" s="954">
        <f ca="1">IFERROR($H338*44/12*参考2_エネ使用量経年!$H188*(参考2_エネ使用量経年!L188+参考2_エネ使用量経年!L275),"")</f>
        <v>0</v>
      </c>
      <c r="M338" s="954">
        <f ca="1">IFERROR($I338*44/12*参考2_エネ使用量経年!$I188*(参考2_エネ使用量経年!M188+参考2_エネ使用量経年!M275),"")</f>
        <v>0</v>
      </c>
      <c r="N338" s="954">
        <f ca="1">IFERROR($J338*44/12*参考2_エネ使用量経年!$J188*(参考2_エネ使用量経年!N188+参考2_エネ使用量経年!N275),"")</f>
        <v>0</v>
      </c>
      <c r="O338" s="954">
        <f ca="1">IFERROR($K338*44/12*参考2_エネ使用量経年!$K188*(参考2_エネ使用量経年!O188+参考2_エネ使用量経年!O275),"")</f>
        <v>0</v>
      </c>
      <c r="P338" s="954">
        <f ca="1">IFERROR($H338*44/12*参考2_エネ使用量経年!$H188*(参考2_エネ使用量経年!P188+参考2_エネ使用量経年!P275),"")</f>
        <v>0</v>
      </c>
      <c r="Q338" s="954">
        <f ca="1">IFERROR($I338*44/12*参考2_エネ使用量経年!$I188*(参考2_エネ使用量経年!Q188+参考2_エネ使用量経年!Q275),"")</f>
        <v>0</v>
      </c>
      <c r="R338" s="954">
        <f ca="1">IFERROR($J338*44/12*参考2_エネ使用量経年!$J188*(参考2_エネ使用量経年!R188+参考2_エネ使用量経年!R275),"")</f>
        <v>0</v>
      </c>
      <c r="S338" s="954">
        <f ca="1">IFERROR($K338*44/12*参考2_エネ使用量経年!$K188*(参考2_エネ使用量経年!S188+参考2_エネ使用量経年!S275),"")</f>
        <v>0</v>
      </c>
      <c r="T338" s="954">
        <f ca="1">IFERROR($H338*44/12*参考2_エネ使用量経年!$H188*(参考2_エネ使用量経年!T188+参考2_エネ使用量経年!T275),"")</f>
        <v>0</v>
      </c>
      <c r="U338" s="954">
        <f ca="1">IFERROR($I338*44/12*参考2_エネ使用量経年!$I188*(参考2_エネ使用量経年!U188+参考2_エネ使用量経年!U275),"")</f>
        <v>0</v>
      </c>
      <c r="V338" s="954">
        <f ca="1">IFERROR($J338*44/12*参考2_エネ使用量経年!$J188*(参考2_エネ使用量経年!V188+参考2_エネ使用量経年!V275),"")</f>
        <v>0</v>
      </c>
      <c r="W338" s="954">
        <f ca="1">IFERROR($K338*44/12*参考2_エネ使用量経年!$K188*(参考2_エネ使用量経年!W188+参考2_エネ使用量経年!W275),"")</f>
        <v>0</v>
      </c>
      <c r="X338" s="954">
        <f ca="1">IFERROR($H338*44/12*参考2_エネ使用量経年!$H188*(参考2_エネ使用量経年!X188+参考2_エネ使用量経年!X275),"")</f>
        <v>0</v>
      </c>
      <c r="Y338" s="954">
        <f ca="1">IFERROR($I338*44/12*参考2_エネ使用量経年!$I188*(参考2_エネ使用量経年!Y188+参考2_エネ使用量経年!Y275),"")</f>
        <v>0</v>
      </c>
      <c r="Z338" s="954">
        <f ca="1">IFERROR($J338*44/12*参考2_エネ使用量経年!$J188*(参考2_エネ使用量経年!Z188+参考2_エネ使用量経年!Z275),"")</f>
        <v>0</v>
      </c>
      <c r="AA338" s="954">
        <f ca="1">IFERROR($K338*44/12*参考2_エネ使用量経年!$K188*(参考2_エネ使用量経年!AA188+参考2_エネ使用量経年!AA275),"")</f>
        <v>0</v>
      </c>
      <c r="AB338" s="954" t="str">
        <f ca="1">IFERROR($H338*44/12*参考2_エネ使用量経年!$H188*(参考2_エネ使用量経年!AB188+参考2_エネ使用量経年!AB275),"")</f>
        <v/>
      </c>
      <c r="AC338" s="954" t="str">
        <f ca="1">IFERROR($I338*44/12*参考2_エネ使用量経年!$I188*(参考2_エネ使用量経年!AC188+参考2_エネ使用量経年!AC275),"")</f>
        <v/>
      </c>
      <c r="AD338" s="954" t="str">
        <f ca="1">IFERROR($J338*44/12*参考2_エネ使用量経年!$J188*(参考2_エネ使用量経年!AD188+参考2_エネ使用量経年!AD275),"")</f>
        <v/>
      </c>
      <c r="AE338" s="954" t="str">
        <f ca="1">IFERROR($K338*44/12*参考2_エネ使用量経年!$K188*(参考2_エネ使用量経年!AE188+参考2_エネ使用量経年!AE275),"")</f>
        <v/>
      </c>
      <c r="AF338" s="954" t="str">
        <f ca="1">IFERROR($H338*44/12*参考2_エネ使用量経年!$H188*(参考2_エネ使用量経年!AF188+参考2_エネ使用量経年!AF275),"")</f>
        <v/>
      </c>
      <c r="AG338" s="954" t="str">
        <f ca="1">IFERROR($I338*44/12*参考2_エネ使用量経年!$I188*(参考2_エネ使用量経年!AG188+参考2_エネ使用量経年!AG275),"")</f>
        <v/>
      </c>
      <c r="AH338" s="954" t="str">
        <f ca="1">IFERROR($J338*44/12*参考2_エネ使用量経年!$J188*(参考2_エネ使用量経年!AH188+参考2_エネ使用量経年!AH275),"")</f>
        <v/>
      </c>
      <c r="AI338" s="954" t="str">
        <f ca="1">IFERROR($K338*44/12*参考2_エネ使用量経年!$K188*(参考2_エネ使用量経年!AI188+参考2_エネ使用量経年!AI275),"")</f>
        <v/>
      </c>
      <c r="AJ338" s="954" t="str">
        <f ca="1">IFERROR($H338*44/12*参考2_エネ使用量経年!$H188*(参考2_エネ使用量経年!AJ188+参考2_エネ使用量経年!AJ275),"")</f>
        <v/>
      </c>
      <c r="AK338" s="954" t="str">
        <f ca="1">IFERROR($I338*44/12*参考2_エネ使用量経年!$I188*(参考2_エネ使用量経年!AK188+参考2_エネ使用量経年!AK275),"")</f>
        <v/>
      </c>
      <c r="AL338" s="954" t="str">
        <f ca="1">IFERROR($J338*44/12*参考2_エネ使用量経年!$J188*(参考2_エネ使用量経年!AL188+参考2_エネ使用量経年!AL275),"")</f>
        <v/>
      </c>
      <c r="AM338" s="954" t="str">
        <f ca="1">IFERROR($K338*44/12*参考2_エネ使用量経年!$K188*(参考2_エネ使用量経年!AM188+参考2_エネ使用量経年!AM275),"")</f>
        <v/>
      </c>
      <c r="AN338" s="954" t="str">
        <f ca="1">IFERROR($H338*44/12*参考2_エネ使用量経年!$H188*(参考2_エネ使用量経年!AN188+参考2_エネ使用量経年!AN275),"")</f>
        <v/>
      </c>
      <c r="AO338" s="954" t="str">
        <f ca="1">IFERROR($I338*44/12*参考2_エネ使用量経年!$I188*(参考2_エネ使用量経年!AO188+参考2_エネ使用量経年!AO275),"")</f>
        <v/>
      </c>
      <c r="AP338" s="954" t="str">
        <f ca="1">IFERROR($J338*44/12*参考2_エネ使用量経年!$J188*(参考2_エネ使用量経年!AP188+参考2_エネ使用量経年!AP275),"")</f>
        <v/>
      </c>
      <c r="AQ338" s="954" t="str">
        <f ca="1">IFERROR($K338*44/12*参考2_エネ使用量経年!$K188*(参考2_エネ使用量経年!AQ188+参考2_エネ使用量経年!AQ275),"")</f>
        <v/>
      </c>
      <c r="AR338" s="954" t="str">
        <f ca="1">IFERROR($H338*44/12*参考2_エネ使用量経年!$H188*(参考2_エネ使用量経年!AR188+参考2_エネ使用量経年!AR275),"")</f>
        <v/>
      </c>
      <c r="AS338" s="954" t="str">
        <f ca="1">IFERROR($I338*44/12*参考2_エネ使用量経年!$I188*(参考2_エネ使用量経年!AS188+参考2_エネ使用量経年!AS275),"")</f>
        <v/>
      </c>
      <c r="AT338" s="954" t="str">
        <f ca="1">IFERROR($J338*44/12*参考2_エネ使用量経年!$J188*(参考2_エネ使用量経年!AT188+参考2_エネ使用量経年!AT275),"")</f>
        <v/>
      </c>
      <c r="AU338" s="954" t="str">
        <f ca="1">IFERROR($K338*44/12*参考2_エネ使用量経年!$K188*(参考2_エネ使用量経年!AU188+参考2_エネ使用量経年!AU275),"")</f>
        <v/>
      </c>
      <c r="AV338" s="954" t="str">
        <f ca="1">IFERROR($H338*44/12*参考2_エネ使用量経年!$H188*(参考2_エネ使用量経年!AV188+参考2_エネ使用量経年!AV275),"")</f>
        <v/>
      </c>
      <c r="AW338" s="954" t="str">
        <f ca="1">IFERROR($I338*44/12*参考2_エネ使用量経年!$I188*(参考2_エネ使用量経年!AW188+参考2_エネ使用量経年!AW275),"")</f>
        <v/>
      </c>
      <c r="AX338" s="954" t="str">
        <f ca="1">IFERROR($J338*44/12*参考2_エネ使用量経年!$J188*(参考2_エネ使用量経年!AX188+参考2_エネ使用量経年!AX275),"")</f>
        <v/>
      </c>
      <c r="AY338" s="954" t="str">
        <f ca="1">IFERROR($K338*44/12*参考2_エネ使用量経年!$K188*(参考2_エネ使用量経年!AY188+参考2_エネ使用量経年!AY275),"")</f>
        <v/>
      </c>
      <c r="AZ338" s="954" t="str">
        <f ca="1">IFERROR($H338*44/12*参考2_エネ使用量経年!$H188*(参考2_エネ使用量経年!AZ188+参考2_エネ使用量経年!AZ275),"")</f>
        <v/>
      </c>
      <c r="BA338" s="954" t="str">
        <f ca="1">IFERROR($I338*44/12*参考2_エネ使用量経年!$I188*(参考2_エネ使用量経年!BA188+参考2_エネ使用量経年!BA275),"")</f>
        <v/>
      </c>
      <c r="BB338" s="954" t="str">
        <f ca="1">IFERROR($J338*44/12*参考2_エネ使用量経年!$J188*(参考2_エネ使用量経年!BB188+参考2_エネ使用量経年!BB275),"")</f>
        <v/>
      </c>
      <c r="BC338" s="954" t="str">
        <f ca="1">IFERROR($K338*44/12*参考2_エネ使用量経年!$K188*(参考2_エネ使用量経年!BC188+参考2_エネ使用量経年!BC275),"")</f>
        <v/>
      </c>
      <c r="BD338" s="954" t="str">
        <f ca="1">IFERROR($H338*44/12*参考2_エネ使用量経年!$H188*(参考2_エネ使用量経年!BD188+参考2_エネ使用量経年!BD275),"")</f>
        <v/>
      </c>
      <c r="BE338" s="954" t="str">
        <f ca="1">IFERROR($I338*44/12*参考2_エネ使用量経年!$I188*(参考2_エネ使用量経年!BE188+参考2_エネ使用量経年!BE275),"")</f>
        <v/>
      </c>
      <c r="BF338" s="954" t="str">
        <f ca="1">IFERROR($J338*44/12*参考2_エネ使用量経年!$J188*(参考2_エネ使用量経年!BF188+参考2_エネ使用量経年!BF275),"")</f>
        <v/>
      </c>
      <c r="BG338" s="954" t="str">
        <f ca="1">IFERROR($K338*44/12*参考2_エネ使用量経年!$K188*(参考2_エネ使用量経年!BG188+参考2_エネ使用量経年!BG275),"")</f>
        <v/>
      </c>
      <c r="BH338" s="954" t="str">
        <f ca="1">IFERROR($H338*44/12*参考2_エネ使用量経年!$H188*(参考2_エネ使用量経年!BH188+参考2_エネ使用量経年!BH275),"")</f>
        <v/>
      </c>
      <c r="BI338" s="954" t="str">
        <f ca="1">IFERROR($I338*44/12*参考2_エネ使用量経年!$I188*(参考2_エネ使用量経年!BI188+参考2_エネ使用量経年!BI275),"")</f>
        <v/>
      </c>
      <c r="BJ338" s="954" t="str">
        <f ca="1">IFERROR($J338*44/12*参考2_エネ使用量経年!$J188*(参考2_エネ使用量経年!BJ188+参考2_エネ使用量経年!BJ275),"")</f>
        <v/>
      </c>
      <c r="BK338" s="954" t="str">
        <f ca="1">IFERROR($K338*44/12*参考2_エネ使用量経年!$K188*(参考2_エネ使用量経年!BK188+参考2_エネ使用量経年!BK275),"")</f>
        <v/>
      </c>
      <c r="BL338" s="954" t="str">
        <f ca="1">IFERROR($H338*44/12*参考2_エネ使用量経年!$H188*(参考2_エネ使用量経年!BL188+参考2_エネ使用量経年!BL275),"")</f>
        <v/>
      </c>
      <c r="BM338" s="954" t="str">
        <f ca="1">IFERROR($I338*44/12*参考2_エネ使用量経年!$I188*(参考2_エネ使用量経年!BM188+参考2_エネ使用量経年!BM275),"")</f>
        <v/>
      </c>
      <c r="BN338" s="954" t="str">
        <f ca="1">IFERROR($J338*44/12*参考2_エネ使用量経年!$J188*(参考2_エネ使用量経年!BN188+参考2_エネ使用量経年!BN275),"")</f>
        <v/>
      </c>
      <c r="BO338" s="954" t="str">
        <f ca="1">IFERROR($K338*44/12*参考2_エネ使用量経年!$K188*(参考2_エネ使用量経年!BO188+参考2_エネ使用量経年!BO275),"")</f>
        <v/>
      </c>
    </row>
    <row r="339" spans="1:67" ht="20.100000000000001" customHeight="1">
      <c r="A339" s="952">
        <v>26</v>
      </c>
      <c r="B339" s="1870"/>
      <c r="C339" s="1872"/>
      <c r="D339" s="824" t="s">
        <v>4401</v>
      </c>
      <c r="E339" s="824"/>
      <c r="F339" s="825"/>
      <c r="G339" s="891" t="s">
        <v>4685</v>
      </c>
      <c r="H339" s="953">
        <f t="shared" ca="1" si="110"/>
        <v>2.4299999999999999E-2</v>
      </c>
      <c r="I339" s="953">
        <f t="shared" ca="1" si="111"/>
        <v>2.4299999999999999E-2</v>
      </c>
      <c r="J339" s="953">
        <f t="shared" ca="1" si="112"/>
        <v>2.4299999999999999E-2</v>
      </c>
      <c r="K339" s="953">
        <f t="shared" ca="1" si="113"/>
        <v>2.4299999999999999E-2</v>
      </c>
      <c r="L339" s="954">
        <f ca="1">IFERROR($H339*44/12*参考2_エネ使用量経年!$H189*(参考2_エネ使用量経年!L189+参考2_エネ使用量経年!L276),"")</f>
        <v>0</v>
      </c>
      <c r="M339" s="954">
        <f ca="1">IFERROR($I339*44/12*参考2_エネ使用量経年!$I189*(参考2_エネ使用量経年!M189+参考2_エネ使用量経年!M276),"")</f>
        <v>0</v>
      </c>
      <c r="N339" s="954">
        <f ca="1">IFERROR($J339*44/12*参考2_エネ使用量経年!$J189*(参考2_エネ使用量経年!N189+参考2_エネ使用量経年!N276),"")</f>
        <v>0</v>
      </c>
      <c r="O339" s="954">
        <f ca="1">IFERROR($K339*44/12*参考2_エネ使用量経年!$K189*(参考2_エネ使用量経年!O189+参考2_エネ使用量経年!O276),"")</f>
        <v>0</v>
      </c>
      <c r="P339" s="954">
        <f ca="1">IFERROR($H339*44/12*参考2_エネ使用量経年!$H189*(参考2_エネ使用量経年!P189+参考2_エネ使用量経年!P276),"")</f>
        <v>0</v>
      </c>
      <c r="Q339" s="954">
        <f ca="1">IFERROR($I339*44/12*参考2_エネ使用量経年!$I189*(参考2_エネ使用量経年!Q189+参考2_エネ使用量経年!Q276),"")</f>
        <v>0</v>
      </c>
      <c r="R339" s="954">
        <f ca="1">IFERROR($J339*44/12*参考2_エネ使用量経年!$J189*(参考2_エネ使用量経年!R189+参考2_エネ使用量経年!R276),"")</f>
        <v>0</v>
      </c>
      <c r="S339" s="954">
        <f ca="1">IFERROR($K339*44/12*参考2_エネ使用量経年!$K189*(参考2_エネ使用量経年!S189+参考2_エネ使用量経年!S276),"")</f>
        <v>0</v>
      </c>
      <c r="T339" s="954">
        <f ca="1">IFERROR($H339*44/12*参考2_エネ使用量経年!$H189*(参考2_エネ使用量経年!T189+参考2_エネ使用量経年!T276),"")</f>
        <v>0</v>
      </c>
      <c r="U339" s="954">
        <f ca="1">IFERROR($I339*44/12*参考2_エネ使用量経年!$I189*(参考2_エネ使用量経年!U189+参考2_エネ使用量経年!U276),"")</f>
        <v>0</v>
      </c>
      <c r="V339" s="954">
        <f ca="1">IFERROR($J339*44/12*参考2_エネ使用量経年!$J189*(参考2_エネ使用量経年!V189+参考2_エネ使用量経年!V276),"")</f>
        <v>0</v>
      </c>
      <c r="W339" s="954">
        <f ca="1">IFERROR($K339*44/12*参考2_エネ使用量経年!$K189*(参考2_エネ使用量経年!W189+参考2_エネ使用量経年!W276),"")</f>
        <v>0</v>
      </c>
      <c r="X339" s="954">
        <f ca="1">IFERROR($H339*44/12*参考2_エネ使用量経年!$H189*(参考2_エネ使用量経年!X189+参考2_エネ使用量経年!X276),"")</f>
        <v>0</v>
      </c>
      <c r="Y339" s="954">
        <f ca="1">IFERROR($I339*44/12*参考2_エネ使用量経年!$I189*(参考2_エネ使用量経年!Y189+参考2_エネ使用量経年!Y276),"")</f>
        <v>0</v>
      </c>
      <c r="Z339" s="954">
        <f ca="1">IFERROR($J339*44/12*参考2_エネ使用量経年!$J189*(参考2_エネ使用量経年!Z189+参考2_エネ使用量経年!Z276),"")</f>
        <v>0</v>
      </c>
      <c r="AA339" s="954">
        <f ca="1">IFERROR($K339*44/12*参考2_エネ使用量経年!$K189*(参考2_エネ使用量経年!AA189+参考2_エネ使用量経年!AA276),"")</f>
        <v>0</v>
      </c>
      <c r="AB339" s="954" t="str">
        <f ca="1">IFERROR($H339*44/12*参考2_エネ使用量経年!$H189*(参考2_エネ使用量経年!AB189+参考2_エネ使用量経年!AB276),"")</f>
        <v/>
      </c>
      <c r="AC339" s="954" t="str">
        <f ca="1">IFERROR($I339*44/12*参考2_エネ使用量経年!$I189*(参考2_エネ使用量経年!AC189+参考2_エネ使用量経年!AC276),"")</f>
        <v/>
      </c>
      <c r="AD339" s="954" t="str">
        <f ca="1">IFERROR($J339*44/12*参考2_エネ使用量経年!$J189*(参考2_エネ使用量経年!AD189+参考2_エネ使用量経年!AD276),"")</f>
        <v/>
      </c>
      <c r="AE339" s="954" t="str">
        <f ca="1">IFERROR($K339*44/12*参考2_エネ使用量経年!$K189*(参考2_エネ使用量経年!AE189+参考2_エネ使用量経年!AE276),"")</f>
        <v/>
      </c>
      <c r="AF339" s="954" t="str">
        <f ca="1">IFERROR($H339*44/12*参考2_エネ使用量経年!$H189*(参考2_エネ使用量経年!AF189+参考2_エネ使用量経年!AF276),"")</f>
        <v/>
      </c>
      <c r="AG339" s="954" t="str">
        <f ca="1">IFERROR($I339*44/12*参考2_エネ使用量経年!$I189*(参考2_エネ使用量経年!AG189+参考2_エネ使用量経年!AG276),"")</f>
        <v/>
      </c>
      <c r="AH339" s="954" t="str">
        <f ca="1">IFERROR($J339*44/12*参考2_エネ使用量経年!$J189*(参考2_エネ使用量経年!AH189+参考2_エネ使用量経年!AH276),"")</f>
        <v/>
      </c>
      <c r="AI339" s="954" t="str">
        <f ca="1">IFERROR($K339*44/12*参考2_エネ使用量経年!$K189*(参考2_エネ使用量経年!AI189+参考2_エネ使用量経年!AI276),"")</f>
        <v/>
      </c>
      <c r="AJ339" s="954" t="str">
        <f ca="1">IFERROR($H339*44/12*参考2_エネ使用量経年!$H189*(参考2_エネ使用量経年!AJ189+参考2_エネ使用量経年!AJ276),"")</f>
        <v/>
      </c>
      <c r="AK339" s="954" t="str">
        <f ca="1">IFERROR($I339*44/12*参考2_エネ使用量経年!$I189*(参考2_エネ使用量経年!AK189+参考2_エネ使用量経年!AK276),"")</f>
        <v/>
      </c>
      <c r="AL339" s="954" t="str">
        <f ca="1">IFERROR($J339*44/12*参考2_エネ使用量経年!$J189*(参考2_エネ使用量経年!AL189+参考2_エネ使用量経年!AL276),"")</f>
        <v/>
      </c>
      <c r="AM339" s="954" t="str">
        <f ca="1">IFERROR($K339*44/12*参考2_エネ使用量経年!$K189*(参考2_エネ使用量経年!AM189+参考2_エネ使用量経年!AM276),"")</f>
        <v/>
      </c>
      <c r="AN339" s="954" t="str">
        <f ca="1">IFERROR($H339*44/12*参考2_エネ使用量経年!$H189*(参考2_エネ使用量経年!AN189+参考2_エネ使用量経年!AN276),"")</f>
        <v/>
      </c>
      <c r="AO339" s="954" t="str">
        <f ca="1">IFERROR($I339*44/12*参考2_エネ使用量経年!$I189*(参考2_エネ使用量経年!AO189+参考2_エネ使用量経年!AO276),"")</f>
        <v/>
      </c>
      <c r="AP339" s="954" t="str">
        <f ca="1">IFERROR($J339*44/12*参考2_エネ使用量経年!$J189*(参考2_エネ使用量経年!AP189+参考2_エネ使用量経年!AP276),"")</f>
        <v/>
      </c>
      <c r="AQ339" s="954" t="str">
        <f ca="1">IFERROR($K339*44/12*参考2_エネ使用量経年!$K189*(参考2_エネ使用量経年!AQ189+参考2_エネ使用量経年!AQ276),"")</f>
        <v/>
      </c>
      <c r="AR339" s="954" t="str">
        <f ca="1">IFERROR($H339*44/12*参考2_エネ使用量経年!$H189*(参考2_エネ使用量経年!AR189+参考2_エネ使用量経年!AR276),"")</f>
        <v/>
      </c>
      <c r="AS339" s="954" t="str">
        <f ca="1">IFERROR($I339*44/12*参考2_エネ使用量経年!$I189*(参考2_エネ使用量経年!AS189+参考2_エネ使用量経年!AS276),"")</f>
        <v/>
      </c>
      <c r="AT339" s="954" t="str">
        <f ca="1">IFERROR($J339*44/12*参考2_エネ使用量経年!$J189*(参考2_エネ使用量経年!AT189+参考2_エネ使用量経年!AT276),"")</f>
        <v/>
      </c>
      <c r="AU339" s="954" t="str">
        <f ca="1">IFERROR($K339*44/12*参考2_エネ使用量経年!$K189*(参考2_エネ使用量経年!AU189+参考2_エネ使用量経年!AU276),"")</f>
        <v/>
      </c>
      <c r="AV339" s="954" t="str">
        <f ca="1">IFERROR($H339*44/12*参考2_エネ使用量経年!$H189*(参考2_エネ使用量経年!AV189+参考2_エネ使用量経年!AV276),"")</f>
        <v/>
      </c>
      <c r="AW339" s="954" t="str">
        <f ca="1">IFERROR($I339*44/12*参考2_エネ使用量経年!$I189*(参考2_エネ使用量経年!AW189+参考2_エネ使用量経年!AW276),"")</f>
        <v/>
      </c>
      <c r="AX339" s="954" t="str">
        <f ca="1">IFERROR($J339*44/12*参考2_エネ使用量経年!$J189*(参考2_エネ使用量経年!AX189+参考2_エネ使用量経年!AX276),"")</f>
        <v/>
      </c>
      <c r="AY339" s="954" t="str">
        <f ca="1">IFERROR($K339*44/12*参考2_エネ使用量経年!$K189*(参考2_エネ使用量経年!AY189+参考2_エネ使用量経年!AY276),"")</f>
        <v/>
      </c>
      <c r="AZ339" s="954" t="str">
        <f ca="1">IFERROR($H339*44/12*参考2_エネ使用量経年!$H189*(参考2_エネ使用量経年!AZ189+参考2_エネ使用量経年!AZ276),"")</f>
        <v/>
      </c>
      <c r="BA339" s="954" t="str">
        <f ca="1">IFERROR($I339*44/12*参考2_エネ使用量経年!$I189*(参考2_エネ使用量経年!BA189+参考2_エネ使用量経年!BA276),"")</f>
        <v/>
      </c>
      <c r="BB339" s="954" t="str">
        <f ca="1">IFERROR($J339*44/12*参考2_エネ使用量経年!$J189*(参考2_エネ使用量経年!BB189+参考2_エネ使用量経年!BB276),"")</f>
        <v/>
      </c>
      <c r="BC339" s="954" t="str">
        <f ca="1">IFERROR($K339*44/12*参考2_エネ使用量経年!$K189*(参考2_エネ使用量経年!BC189+参考2_エネ使用量経年!BC276),"")</f>
        <v/>
      </c>
      <c r="BD339" s="954" t="str">
        <f ca="1">IFERROR($H339*44/12*参考2_エネ使用量経年!$H189*(参考2_エネ使用量経年!BD189+参考2_エネ使用量経年!BD276),"")</f>
        <v/>
      </c>
      <c r="BE339" s="954" t="str">
        <f ca="1">IFERROR($I339*44/12*参考2_エネ使用量経年!$I189*(参考2_エネ使用量経年!BE189+参考2_エネ使用量経年!BE276),"")</f>
        <v/>
      </c>
      <c r="BF339" s="954" t="str">
        <f ca="1">IFERROR($J339*44/12*参考2_エネ使用量経年!$J189*(参考2_エネ使用量経年!BF189+参考2_エネ使用量経年!BF276),"")</f>
        <v/>
      </c>
      <c r="BG339" s="954" t="str">
        <f ca="1">IFERROR($K339*44/12*参考2_エネ使用量経年!$K189*(参考2_エネ使用量経年!BG189+参考2_エネ使用量経年!BG276),"")</f>
        <v/>
      </c>
      <c r="BH339" s="954" t="str">
        <f ca="1">IFERROR($H339*44/12*参考2_エネ使用量経年!$H189*(参考2_エネ使用量経年!BH189+参考2_エネ使用量経年!BH276),"")</f>
        <v/>
      </c>
      <c r="BI339" s="954" t="str">
        <f ca="1">IFERROR($I339*44/12*参考2_エネ使用量経年!$I189*(参考2_エネ使用量経年!BI189+参考2_エネ使用量経年!BI276),"")</f>
        <v/>
      </c>
      <c r="BJ339" s="954" t="str">
        <f ca="1">IFERROR($J339*44/12*参考2_エネ使用量経年!$J189*(参考2_エネ使用量経年!BJ189+参考2_エネ使用量経年!BJ276),"")</f>
        <v/>
      </c>
      <c r="BK339" s="954" t="str">
        <f ca="1">IFERROR($K339*44/12*参考2_エネ使用量経年!$K189*(参考2_エネ使用量経年!BK189+参考2_エネ使用量経年!BK276),"")</f>
        <v/>
      </c>
      <c r="BL339" s="954" t="str">
        <f ca="1">IFERROR($H339*44/12*参考2_エネ使用量経年!$H189*(参考2_エネ使用量経年!BL189+参考2_エネ使用量経年!BL276),"")</f>
        <v/>
      </c>
      <c r="BM339" s="954" t="str">
        <f ca="1">IFERROR($I339*44/12*参考2_エネ使用量経年!$I189*(参考2_エネ使用量経年!BM189+参考2_エネ使用量経年!BM276),"")</f>
        <v/>
      </c>
      <c r="BN339" s="954" t="str">
        <f ca="1">IFERROR($J339*44/12*参考2_エネ使用量経年!$J189*(参考2_エネ使用量経年!BN189+参考2_エネ使用量経年!BN276),"")</f>
        <v/>
      </c>
      <c r="BO339" s="954" t="str">
        <f ca="1">IFERROR($K339*44/12*参考2_エネ使用量経年!$K189*(参考2_エネ使用量経年!BO189+参考2_エネ使用量経年!BO276),"")</f>
        <v/>
      </c>
    </row>
    <row r="340" spans="1:67" ht="20.100000000000001" customHeight="1">
      <c r="A340" s="952">
        <v>27</v>
      </c>
      <c r="B340" s="1870"/>
      <c r="C340" s="1872"/>
      <c r="D340" s="824" t="s">
        <v>4402</v>
      </c>
      <c r="E340" s="824"/>
      <c r="F340" s="825"/>
      <c r="G340" s="891" t="s">
        <v>4685</v>
      </c>
      <c r="H340" s="953">
        <f t="shared" ca="1" si="110"/>
        <v>2.4199999999999999E-2</v>
      </c>
      <c r="I340" s="953">
        <f t="shared" ca="1" si="111"/>
        <v>2.4199999999999999E-2</v>
      </c>
      <c r="J340" s="953">
        <f t="shared" ca="1" si="112"/>
        <v>2.4199999999999999E-2</v>
      </c>
      <c r="K340" s="953">
        <f t="shared" ca="1" si="113"/>
        <v>2.4199999999999999E-2</v>
      </c>
      <c r="L340" s="954">
        <f ca="1">IFERROR($H340*44/12*参考2_エネ使用量経年!$H190*(参考2_エネ使用量経年!L190+参考2_エネ使用量経年!L277),"")</f>
        <v>0</v>
      </c>
      <c r="M340" s="954">
        <f ca="1">IFERROR($I340*44/12*参考2_エネ使用量経年!$I190*(参考2_エネ使用量経年!M190+参考2_エネ使用量経年!M277),"")</f>
        <v>0</v>
      </c>
      <c r="N340" s="954">
        <f ca="1">IFERROR($J340*44/12*参考2_エネ使用量経年!$J190*(参考2_エネ使用量経年!N190+参考2_エネ使用量経年!N277),"")</f>
        <v>0</v>
      </c>
      <c r="O340" s="954">
        <f ca="1">IFERROR($K340*44/12*参考2_エネ使用量経年!$K190*(参考2_エネ使用量経年!O190+参考2_エネ使用量経年!O277),"")</f>
        <v>0</v>
      </c>
      <c r="P340" s="954">
        <f ca="1">IFERROR($H340*44/12*参考2_エネ使用量経年!$H190*(参考2_エネ使用量経年!P190+参考2_エネ使用量経年!P277),"")</f>
        <v>0</v>
      </c>
      <c r="Q340" s="954">
        <f ca="1">IFERROR($I340*44/12*参考2_エネ使用量経年!$I190*(参考2_エネ使用量経年!Q190+参考2_エネ使用量経年!Q277),"")</f>
        <v>0</v>
      </c>
      <c r="R340" s="954">
        <f ca="1">IFERROR($J340*44/12*参考2_エネ使用量経年!$J190*(参考2_エネ使用量経年!R190+参考2_エネ使用量経年!R277),"")</f>
        <v>0</v>
      </c>
      <c r="S340" s="954">
        <f ca="1">IFERROR($K340*44/12*参考2_エネ使用量経年!$K190*(参考2_エネ使用量経年!S190+参考2_エネ使用量経年!S277),"")</f>
        <v>0</v>
      </c>
      <c r="T340" s="954">
        <f ca="1">IFERROR($H340*44/12*参考2_エネ使用量経年!$H190*(参考2_エネ使用量経年!T190+参考2_エネ使用量経年!T277),"")</f>
        <v>0</v>
      </c>
      <c r="U340" s="954">
        <f ca="1">IFERROR($I340*44/12*参考2_エネ使用量経年!$I190*(参考2_エネ使用量経年!U190+参考2_エネ使用量経年!U277),"")</f>
        <v>0</v>
      </c>
      <c r="V340" s="954">
        <f ca="1">IFERROR($J340*44/12*参考2_エネ使用量経年!$J190*(参考2_エネ使用量経年!V190+参考2_エネ使用量経年!V277),"")</f>
        <v>0</v>
      </c>
      <c r="W340" s="954">
        <f ca="1">IFERROR($K340*44/12*参考2_エネ使用量経年!$K190*(参考2_エネ使用量経年!W190+参考2_エネ使用量経年!W277),"")</f>
        <v>0</v>
      </c>
      <c r="X340" s="954">
        <f ca="1">IFERROR($H340*44/12*参考2_エネ使用量経年!$H190*(参考2_エネ使用量経年!X190+参考2_エネ使用量経年!X277),"")</f>
        <v>0</v>
      </c>
      <c r="Y340" s="954">
        <f ca="1">IFERROR($I340*44/12*参考2_エネ使用量経年!$I190*(参考2_エネ使用量経年!Y190+参考2_エネ使用量経年!Y277),"")</f>
        <v>0</v>
      </c>
      <c r="Z340" s="954">
        <f ca="1">IFERROR($J340*44/12*参考2_エネ使用量経年!$J190*(参考2_エネ使用量経年!Z190+参考2_エネ使用量経年!Z277),"")</f>
        <v>0</v>
      </c>
      <c r="AA340" s="954">
        <f ca="1">IFERROR($K340*44/12*参考2_エネ使用量経年!$K190*(参考2_エネ使用量経年!AA190+参考2_エネ使用量経年!AA277),"")</f>
        <v>0</v>
      </c>
      <c r="AB340" s="954" t="str">
        <f ca="1">IFERROR($H340*44/12*参考2_エネ使用量経年!$H190*(参考2_エネ使用量経年!AB190+参考2_エネ使用量経年!AB277),"")</f>
        <v/>
      </c>
      <c r="AC340" s="954" t="str">
        <f ca="1">IFERROR($I340*44/12*参考2_エネ使用量経年!$I190*(参考2_エネ使用量経年!AC190+参考2_エネ使用量経年!AC277),"")</f>
        <v/>
      </c>
      <c r="AD340" s="954" t="str">
        <f ca="1">IFERROR($J340*44/12*参考2_エネ使用量経年!$J190*(参考2_エネ使用量経年!AD190+参考2_エネ使用量経年!AD277),"")</f>
        <v/>
      </c>
      <c r="AE340" s="954" t="str">
        <f ca="1">IFERROR($K340*44/12*参考2_エネ使用量経年!$K190*(参考2_エネ使用量経年!AE190+参考2_エネ使用量経年!AE277),"")</f>
        <v/>
      </c>
      <c r="AF340" s="954" t="str">
        <f ca="1">IFERROR($H340*44/12*参考2_エネ使用量経年!$H190*(参考2_エネ使用量経年!AF190+参考2_エネ使用量経年!AF277),"")</f>
        <v/>
      </c>
      <c r="AG340" s="954" t="str">
        <f ca="1">IFERROR($I340*44/12*参考2_エネ使用量経年!$I190*(参考2_エネ使用量経年!AG190+参考2_エネ使用量経年!AG277),"")</f>
        <v/>
      </c>
      <c r="AH340" s="954" t="str">
        <f ca="1">IFERROR($J340*44/12*参考2_エネ使用量経年!$J190*(参考2_エネ使用量経年!AH190+参考2_エネ使用量経年!AH277),"")</f>
        <v/>
      </c>
      <c r="AI340" s="954" t="str">
        <f ca="1">IFERROR($K340*44/12*参考2_エネ使用量経年!$K190*(参考2_エネ使用量経年!AI190+参考2_エネ使用量経年!AI277),"")</f>
        <v/>
      </c>
      <c r="AJ340" s="954" t="str">
        <f ca="1">IFERROR($H340*44/12*参考2_エネ使用量経年!$H190*(参考2_エネ使用量経年!AJ190+参考2_エネ使用量経年!AJ277),"")</f>
        <v/>
      </c>
      <c r="AK340" s="954" t="str">
        <f ca="1">IFERROR($I340*44/12*参考2_エネ使用量経年!$I190*(参考2_エネ使用量経年!AK190+参考2_エネ使用量経年!AK277),"")</f>
        <v/>
      </c>
      <c r="AL340" s="954" t="str">
        <f ca="1">IFERROR($J340*44/12*参考2_エネ使用量経年!$J190*(参考2_エネ使用量経年!AL190+参考2_エネ使用量経年!AL277),"")</f>
        <v/>
      </c>
      <c r="AM340" s="954" t="str">
        <f ca="1">IFERROR($K340*44/12*参考2_エネ使用量経年!$K190*(参考2_エネ使用量経年!AM190+参考2_エネ使用量経年!AM277),"")</f>
        <v/>
      </c>
      <c r="AN340" s="954" t="str">
        <f ca="1">IFERROR($H340*44/12*参考2_エネ使用量経年!$H190*(参考2_エネ使用量経年!AN190+参考2_エネ使用量経年!AN277),"")</f>
        <v/>
      </c>
      <c r="AO340" s="954" t="str">
        <f ca="1">IFERROR($I340*44/12*参考2_エネ使用量経年!$I190*(参考2_エネ使用量経年!AO190+参考2_エネ使用量経年!AO277),"")</f>
        <v/>
      </c>
      <c r="AP340" s="954" t="str">
        <f ca="1">IFERROR($J340*44/12*参考2_エネ使用量経年!$J190*(参考2_エネ使用量経年!AP190+参考2_エネ使用量経年!AP277),"")</f>
        <v/>
      </c>
      <c r="AQ340" s="954" t="str">
        <f ca="1">IFERROR($K340*44/12*参考2_エネ使用量経年!$K190*(参考2_エネ使用量経年!AQ190+参考2_エネ使用量経年!AQ277),"")</f>
        <v/>
      </c>
      <c r="AR340" s="954" t="str">
        <f ca="1">IFERROR($H340*44/12*参考2_エネ使用量経年!$H190*(参考2_エネ使用量経年!AR190+参考2_エネ使用量経年!AR277),"")</f>
        <v/>
      </c>
      <c r="AS340" s="954" t="str">
        <f ca="1">IFERROR($I340*44/12*参考2_エネ使用量経年!$I190*(参考2_エネ使用量経年!AS190+参考2_エネ使用量経年!AS277),"")</f>
        <v/>
      </c>
      <c r="AT340" s="954" t="str">
        <f ca="1">IFERROR($J340*44/12*参考2_エネ使用量経年!$J190*(参考2_エネ使用量経年!AT190+参考2_エネ使用量経年!AT277),"")</f>
        <v/>
      </c>
      <c r="AU340" s="954" t="str">
        <f ca="1">IFERROR($K340*44/12*参考2_エネ使用量経年!$K190*(参考2_エネ使用量経年!AU190+参考2_エネ使用量経年!AU277),"")</f>
        <v/>
      </c>
      <c r="AV340" s="954" t="str">
        <f ca="1">IFERROR($H340*44/12*参考2_エネ使用量経年!$H190*(参考2_エネ使用量経年!AV190+参考2_エネ使用量経年!AV277),"")</f>
        <v/>
      </c>
      <c r="AW340" s="954" t="str">
        <f ca="1">IFERROR($I340*44/12*参考2_エネ使用量経年!$I190*(参考2_エネ使用量経年!AW190+参考2_エネ使用量経年!AW277),"")</f>
        <v/>
      </c>
      <c r="AX340" s="954" t="str">
        <f ca="1">IFERROR($J340*44/12*参考2_エネ使用量経年!$J190*(参考2_エネ使用量経年!AX190+参考2_エネ使用量経年!AX277),"")</f>
        <v/>
      </c>
      <c r="AY340" s="954" t="str">
        <f ca="1">IFERROR($K340*44/12*参考2_エネ使用量経年!$K190*(参考2_エネ使用量経年!AY190+参考2_エネ使用量経年!AY277),"")</f>
        <v/>
      </c>
      <c r="AZ340" s="954" t="str">
        <f ca="1">IFERROR($H340*44/12*参考2_エネ使用量経年!$H190*(参考2_エネ使用量経年!AZ190+参考2_エネ使用量経年!AZ277),"")</f>
        <v/>
      </c>
      <c r="BA340" s="954" t="str">
        <f ca="1">IFERROR($I340*44/12*参考2_エネ使用量経年!$I190*(参考2_エネ使用量経年!BA190+参考2_エネ使用量経年!BA277),"")</f>
        <v/>
      </c>
      <c r="BB340" s="954" t="str">
        <f ca="1">IFERROR($J340*44/12*参考2_エネ使用量経年!$J190*(参考2_エネ使用量経年!BB190+参考2_エネ使用量経年!BB277),"")</f>
        <v/>
      </c>
      <c r="BC340" s="954" t="str">
        <f ca="1">IFERROR($K340*44/12*参考2_エネ使用量経年!$K190*(参考2_エネ使用量経年!BC190+参考2_エネ使用量経年!BC277),"")</f>
        <v/>
      </c>
      <c r="BD340" s="954" t="str">
        <f ca="1">IFERROR($H340*44/12*参考2_エネ使用量経年!$H190*(参考2_エネ使用量経年!BD190+参考2_エネ使用量経年!BD277),"")</f>
        <v/>
      </c>
      <c r="BE340" s="954" t="str">
        <f ca="1">IFERROR($I340*44/12*参考2_エネ使用量経年!$I190*(参考2_エネ使用量経年!BE190+参考2_エネ使用量経年!BE277),"")</f>
        <v/>
      </c>
      <c r="BF340" s="954" t="str">
        <f ca="1">IFERROR($J340*44/12*参考2_エネ使用量経年!$J190*(参考2_エネ使用量経年!BF190+参考2_エネ使用量経年!BF277),"")</f>
        <v/>
      </c>
      <c r="BG340" s="954" t="str">
        <f ca="1">IFERROR($K340*44/12*参考2_エネ使用量経年!$K190*(参考2_エネ使用量経年!BG190+参考2_エネ使用量経年!BG277),"")</f>
        <v/>
      </c>
      <c r="BH340" s="954" t="str">
        <f ca="1">IFERROR($H340*44/12*参考2_エネ使用量経年!$H190*(参考2_エネ使用量経年!BH190+参考2_エネ使用量経年!BH277),"")</f>
        <v/>
      </c>
      <c r="BI340" s="954" t="str">
        <f ca="1">IFERROR($I340*44/12*参考2_エネ使用量経年!$I190*(参考2_エネ使用量経年!BI190+参考2_エネ使用量経年!BI277),"")</f>
        <v/>
      </c>
      <c r="BJ340" s="954" t="str">
        <f ca="1">IFERROR($J340*44/12*参考2_エネ使用量経年!$J190*(参考2_エネ使用量経年!BJ190+参考2_エネ使用量経年!BJ277),"")</f>
        <v/>
      </c>
      <c r="BK340" s="954" t="str">
        <f ca="1">IFERROR($K340*44/12*参考2_エネ使用量経年!$K190*(参考2_エネ使用量経年!BK190+参考2_エネ使用量経年!BK277),"")</f>
        <v/>
      </c>
      <c r="BL340" s="954" t="str">
        <f ca="1">IFERROR($H340*44/12*参考2_エネ使用量経年!$H190*(参考2_エネ使用量経年!BL190+参考2_エネ使用量経年!BL277),"")</f>
        <v/>
      </c>
      <c r="BM340" s="954" t="str">
        <f ca="1">IFERROR($I340*44/12*参考2_エネ使用量経年!$I190*(参考2_エネ使用量経年!BM190+参考2_エネ使用量経年!BM277),"")</f>
        <v/>
      </c>
      <c r="BN340" s="954" t="str">
        <f ca="1">IFERROR($J340*44/12*参考2_エネ使用量経年!$J190*(参考2_エネ使用量経年!BN190+参考2_エネ使用量経年!BN277),"")</f>
        <v/>
      </c>
      <c r="BO340" s="954" t="str">
        <f ca="1">IFERROR($K340*44/12*参考2_エネ使用量経年!$K190*(参考2_エネ使用量経年!BO190+参考2_エネ使用量経年!BO277),"")</f>
        <v/>
      </c>
    </row>
    <row r="341" spans="1:67" ht="20.100000000000001" customHeight="1">
      <c r="A341" s="952">
        <v>28</v>
      </c>
      <c r="B341" s="1870"/>
      <c r="C341" s="1872"/>
      <c r="D341" s="824" t="s">
        <v>4403</v>
      </c>
      <c r="E341" s="824"/>
      <c r="F341" s="825"/>
      <c r="G341" s="891" t="s">
        <v>4685</v>
      </c>
      <c r="H341" s="953">
        <f t="shared" ca="1" si="110"/>
        <v>2.5899999999999999E-2</v>
      </c>
      <c r="I341" s="953">
        <f t="shared" ca="1" si="111"/>
        <v>2.5899999999999999E-2</v>
      </c>
      <c r="J341" s="953">
        <f t="shared" ca="1" si="112"/>
        <v>2.5899999999999999E-2</v>
      </c>
      <c r="K341" s="953">
        <f t="shared" ca="1" si="113"/>
        <v>2.5899999999999999E-2</v>
      </c>
      <c r="L341" s="954">
        <f ca="1">IFERROR($H341*44/12*参考2_エネ使用量経年!$H191*(参考2_エネ使用量経年!L191+参考2_エネ使用量経年!L278),"")</f>
        <v>0</v>
      </c>
      <c r="M341" s="954">
        <f ca="1">IFERROR($I341*44/12*参考2_エネ使用量経年!$I191*(参考2_エネ使用量経年!M191+参考2_エネ使用量経年!M278),"")</f>
        <v>0</v>
      </c>
      <c r="N341" s="954">
        <f ca="1">IFERROR($J341*44/12*参考2_エネ使用量経年!$J191*(参考2_エネ使用量経年!N191+参考2_エネ使用量経年!N278),"")</f>
        <v>0</v>
      </c>
      <c r="O341" s="954">
        <f ca="1">IFERROR($K341*44/12*参考2_エネ使用量経年!$K191*(参考2_エネ使用量経年!O191+参考2_エネ使用量経年!O278),"")</f>
        <v>0</v>
      </c>
      <c r="P341" s="954">
        <f ca="1">IFERROR($H341*44/12*参考2_エネ使用量経年!$H191*(参考2_エネ使用量経年!P191+参考2_エネ使用量経年!P278),"")</f>
        <v>0</v>
      </c>
      <c r="Q341" s="954">
        <f ca="1">IFERROR($I341*44/12*参考2_エネ使用量経年!$I191*(参考2_エネ使用量経年!Q191+参考2_エネ使用量経年!Q278),"")</f>
        <v>0</v>
      </c>
      <c r="R341" s="954">
        <f ca="1">IFERROR($J341*44/12*参考2_エネ使用量経年!$J191*(参考2_エネ使用量経年!R191+参考2_エネ使用量経年!R278),"")</f>
        <v>0</v>
      </c>
      <c r="S341" s="954">
        <f ca="1">IFERROR($K341*44/12*参考2_エネ使用量経年!$K191*(参考2_エネ使用量経年!S191+参考2_エネ使用量経年!S278),"")</f>
        <v>0</v>
      </c>
      <c r="T341" s="954">
        <f ca="1">IFERROR($H341*44/12*参考2_エネ使用量経年!$H191*(参考2_エネ使用量経年!T191+参考2_エネ使用量経年!T278),"")</f>
        <v>0</v>
      </c>
      <c r="U341" s="954">
        <f ca="1">IFERROR($I341*44/12*参考2_エネ使用量経年!$I191*(参考2_エネ使用量経年!U191+参考2_エネ使用量経年!U278),"")</f>
        <v>0</v>
      </c>
      <c r="V341" s="954">
        <f ca="1">IFERROR($J341*44/12*参考2_エネ使用量経年!$J191*(参考2_エネ使用量経年!V191+参考2_エネ使用量経年!V278),"")</f>
        <v>0</v>
      </c>
      <c r="W341" s="954">
        <f ca="1">IFERROR($K341*44/12*参考2_エネ使用量経年!$K191*(参考2_エネ使用量経年!W191+参考2_エネ使用量経年!W278),"")</f>
        <v>0</v>
      </c>
      <c r="X341" s="954">
        <f ca="1">IFERROR($H341*44/12*参考2_エネ使用量経年!$H191*(参考2_エネ使用量経年!X191+参考2_エネ使用量経年!X278),"")</f>
        <v>0</v>
      </c>
      <c r="Y341" s="954">
        <f ca="1">IFERROR($I341*44/12*参考2_エネ使用量経年!$I191*(参考2_エネ使用量経年!Y191+参考2_エネ使用量経年!Y278),"")</f>
        <v>0</v>
      </c>
      <c r="Z341" s="954">
        <f ca="1">IFERROR($J341*44/12*参考2_エネ使用量経年!$J191*(参考2_エネ使用量経年!Z191+参考2_エネ使用量経年!Z278),"")</f>
        <v>0</v>
      </c>
      <c r="AA341" s="954">
        <f ca="1">IFERROR($K341*44/12*参考2_エネ使用量経年!$K191*(参考2_エネ使用量経年!AA191+参考2_エネ使用量経年!AA278),"")</f>
        <v>0</v>
      </c>
      <c r="AB341" s="954" t="str">
        <f ca="1">IFERROR($H341*44/12*参考2_エネ使用量経年!$H191*(参考2_エネ使用量経年!AB191+参考2_エネ使用量経年!AB278),"")</f>
        <v/>
      </c>
      <c r="AC341" s="954" t="str">
        <f ca="1">IFERROR($I341*44/12*参考2_エネ使用量経年!$I191*(参考2_エネ使用量経年!AC191+参考2_エネ使用量経年!AC278),"")</f>
        <v/>
      </c>
      <c r="AD341" s="954" t="str">
        <f ca="1">IFERROR($J341*44/12*参考2_エネ使用量経年!$J191*(参考2_エネ使用量経年!AD191+参考2_エネ使用量経年!AD278),"")</f>
        <v/>
      </c>
      <c r="AE341" s="954" t="str">
        <f ca="1">IFERROR($K341*44/12*参考2_エネ使用量経年!$K191*(参考2_エネ使用量経年!AE191+参考2_エネ使用量経年!AE278),"")</f>
        <v/>
      </c>
      <c r="AF341" s="954" t="str">
        <f ca="1">IFERROR($H341*44/12*参考2_エネ使用量経年!$H191*(参考2_エネ使用量経年!AF191+参考2_エネ使用量経年!AF278),"")</f>
        <v/>
      </c>
      <c r="AG341" s="954" t="str">
        <f ca="1">IFERROR($I341*44/12*参考2_エネ使用量経年!$I191*(参考2_エネ使用量経年!AG191+参考2_エネ使用量経年!AG278),"")</f>
        <v/>
      </c>
      <c r="AH341" s="954" t="str">
        <f ca="1">IFERROR($J341*44/12*参考2_エネ使用量経年!$J191*(参考2_エネ使用量経年!AH191+参考2_エネ使用量経年!AH278),"")</f>
        <v/>
      </c>
      <c r="AI341" s="954" t="str">
        <f ca="1">IFERROR($K341*44/12*参考2_エネ使用量経年!$K191*(参考2_エネ使用量経年!AI191+参考2_エネ使用量経年!AI278),"")</f>
        <v/>
      </c>
      <c r="AJ341" s="954" t="str">
        <f ca="1">IFERROR($H341*44/12*参考2_エネ使用量経年!$H191*(参考2_エネ使用量経年!AJ191+参考2_エネ使用量経年!AJ278),"")</f>
        <v/>
      </c>
      <c r="AK341" s="954" t="str">
        <f ca="1">IFERROR($I341*44/12*参考2_エネ使用量経年!$I191*(参考2_エネ使用量経年!AK191+参考2_エネ使用量経年!AK278),"")</f>
        <v/>
      </c>
      <c r="AL341" s="954" t="str">
        <f ca="1">IFERROR($J341*44/12*参考2_エネ使用量経年!$J191*(参考2_エネ使用量経年!AL191+参考2_エネ使用量経年!AL278),"")</f>
        <v/>
      </c>
      <c r="AM341" s="954" t="str">
        <f ca="1">IFERROR($K341*44/12*参考2_エネ使用量経年!$K191*(参考2_エネ使用量経年!AM191+参考2_エネ使用量経年!AM278),"")</f>
        <v/>
      </c>
      <c r="AN341" s="954" t="str">
        <f ca="1">IFERROR($H341*44/12*参考2_エネ使用量経年!$H191*(参考2_エネ使用量経年!AN191+参考2_エネ使用量経年!AN278),"")</f>
        <v/>
      </c>
      <c r="AO341" s="954" t="str">
        <f ca="1">IFERROR($I341*44/12*参考2_エネ使用量経年!$I191*(参考2_エネ使用量経年!AO191+参考2_エネ使用量経年!AO278),"")</f>
        <v/>
      </c>
      <c r="AP341" s="954" t="str">
        <f ca="1">IFERROR($J341*44/12*参考2_エネ使用量経年!$J191*(参考2_エネ使用量経年!AP191+参考2_エネ使用量経年!AP278),"")</f>
        <v/>
      </c>
      <c r="AQ341" s="954" t="str">
        <f ca="1">IFERROR($K341*44/12*参考2_エネ使用量経年!$K191*(参考2_エネ使用量経年!AQ191+参考2_エネ使用量経年!AQ278),"")</f>
        <v/>
      </c>
      <c r="AR341" s="954" t="str">
        <f ca="1">IFERROR($H341*44/12*参考2_エネ使用量経年!$H191*(参考2_エネ使用量経年!AR191+参考2_エネ使用量経年!AR278),"")</f>
        <v/>
      </c>
      <c r="AS341" s="954" t="str">
        <f ca="1">IFERROR($I341*44/12*参考2_エネ使用量経年!$I191*(参考2_エネ使用量経年!AS191+参考2_エネ使用量経年!AS278),"")</f>
        <v/>
      </c>
      <c r="AT341" s="954" t="str">
        <f ca="1">IFERROR($J341*44/12*参考2_エネ使用量経年!$J191*(参考2_エネ使用量経年!AT191+参考2_エネ使用量経年!AT278),"")</f>
        <v/>
      </c>
      <c r="AU341" s="954" t="str">
        <f ca="1">IFERROR($K341*44/12*参考2_エネ使用量経年!$K191*(参考2_エネ使用量経年!AU191+参考2_エネ使用量経年!AU278),"")</f>
        <v/>
      </c>
      <c r="AV341" s="954" t="str">
        <f ca="1">IFERROR($H341*44/12*参考2_エネ使用量経年!$H191*(参考2_エネ使用量経年!AV191+参考2_エネ使用量経年!AV278),"")</f>
        <v/>
      </c>
      <c r="AW341" s="954" t="str">
        <f ca="1">IFERROR($I341*44/12*参考2_エネ使用量経年!$I191*(参考2_エネ使用量経年!AW191+参考2_エネ使用量経年!AW278),"")</f>
        <v/>
      </c>
      <c r="AX341" s="954" t="str">
        <f ca="1">IFERROR($J341*44/12*参考2_エネ使用量経年!$J191*(参考2_エネ使用量経年!AX191+参考2_エネ使用量経年!AX278),"")</f>
        <v/>
      </c>
      <c r="AY341" s="954" t="str">
        <f ca="1">IFERROR($K341*44/12*参考2_エネ使用量経年!$K191*(参考2_エネ使用量経年!AY191+参考2_エネ使用量経年!AY278),"")</f>
        <v/>
      </c>
      <c r="AZ341" s="954" t="str">
        <f ca="1">IFERROR($H341*44/12*参考2_エネ使用量経年!$H191*(参考2_エネ使用量経年!AZ191+参考2_エネ使用量経年!AZ278),"")</f>
        <v/>
      </c>
      <c r="BA341" s="954" t="str">
        <f ca="1">IFERROR($I341*44/12*参考2_エネ使用量経年!$I191*(参考2_エネ使用量経年!BA191+参考2_エネ使用量経年!BA278),"")</f>
        <v/>
      </c>
      <c r="BB341" s="954" t="str">
        <f ca="1">IFERROR($J341*44/12*参考2_エネ使用量経年!$J191*(参考2_エネ使用量経年!BB191+参考2_エネ使用量経年!BB278),"")</f>
        <v/>
      </c>
      <c r="BC341" s="954" t="str">
        <f ca="1">IFERROR($K341*44/12*参考2_エネ使用量経年!$K191*(参考2_エネ使用量経年!BC191+参考2_エネ使用量経年!BC278),"")</f>
        <v/>
      </c>
      <c r="BD341" s="954" t="str">
        <f ca="1">IFERROR($H341*44/12*参考2_エネ使用量経年!$H191*(参考2_エネ使用量経年!BD191+参考2_エネ使用量経年!BD278),"")</f>
        <v/>
      </c>
      <c r="BE341" s="954" t="str">
        <f ca="1">IFERROR($I341*44/12*参考2_エネ使用量経年!$I191*(参考2_エネ使用量経年!BE191+参考2_エネ使用量経年!BE278),"")</f>
        <v/>
      </c>
      <c r="BF341" s="954" t="str">
        <f ca="1">IFERROR($J341*44/12*参考2_エネ使用量経年!$J191*(参考2_エネ使用量経年!BF191+参考2_エネ使用量経年!BF278),"")</f>
        <v/>
      </c>
      <c r="BG341" s="954" t="str">
        <f ca="1">IFERROR($K341*44/12*参考2_エネ使用量経年!$K191*(参考2_エネ使用量経年!BG191+参考2_エネ使用量経年!BG278),"")</f>
        <v/>
      </c>
      <c r="BH341" s="954" t="str">
        <f ca="1">IFERROR($H341*44/12*参考2_エネ使用量経年!$H191*(参考2_エネ使用量経年!BH191+参考2_エネ使用量経年!BH278),"")</f>
        <v/>
      </c>
      <c r="BI341" s="954" t="str">
        <f ca="1">IFERROR($I341*44/12*参考2_エネ使用量経年!$I191*(参考2_エネ使用量経年!BI191+参考2_エネ使用量経年!BI278),"")</f>
        <v/>
      </c>
      <c r="BJ341" s="954" t="str">
        <f ca="1">IFERROR($J341*44/12*参考2_エネ使用量経年!$J191*(参考2_エネ使用量経年!BJ191+参考2_エネ使用量経年!BJ278),"")</f>
        <v/>
      </c>
      <c r="BK341" s="954" t="str">
        <f ca="1">IFERROR($K341*44/12*参考2_エネ使用量経年!$K191*(参考2_エネ使用量経年!BK191+参考2_エネ使用量経年!BK278),"")</f>
        <v/>
      </c>
      <c r="BL341" s="954" t="str">
        <f ca="1">IFERROR($H341*44/12*参考2_エネ使用量経年!$H191*(参考2_エネ使用量経年!BL191+参考2_エネ使用量経年!BL278),"")</f>
        <v/>
      </c>
      <c r="BM341" s="954" t="str">
        <f ca="1">IFERROR($I341*44/12*参考2_エネ使用量経年!$I191*(参考2_エネ使用量経年!BM191+参考2_エネ使用量経年!BM278),"")</f>
        <v/>
      </c>
      <c r="BN341" s="954" t="str">
        <f ca="1">IFERROR($J341*44/12*参考2_エネ使用量経年!$J191*(参考2_エネ使用量経年!BN191+参考2_エネ使用量経年!BN278),"")</f>
        <v/>
      </c>
      <c r="BO341" s="954" t="str">
        <f ca="1">IFERROR($K341*44/12*参考2_エネ使用量経年!$K191*(参考2_エネ使用量経年!BO191+参考2_エネ使用量経年!BO278),"")</f>
        <v/>
      </c>
    </row>
    <row r="342" spans="1:67" ht="20.100000000000001" customHeight="1">
      <c r="A342" s="952">
        <v>29</v>
      </c>
      <c r="B342" s="1870"/>
      <c r="C342" s="1872"/>
      <c r="D342" s="824" t="s">
        <v>4169</v>
      </c>
      <c r="E342" s="824"/>
      <c r="F342" s="825"/>
      <c r="G342" s="891" t="s">
        <v>4685</v>
      </c>
      <c r="H342" s="953">
        <f t="shared" ca="1" si="110"/>
        <v>2.9899999999999999E-2</v>
      </c>
      <c r="I342" s="953">
        <f t="shared" ca="1" si="111"/>
        <v>2.9899999999999999E-2</v>
      </c>
      <c r="J342" s="953">
        <f t="shared" ca="1" si="112"/>
        <v>2.9899999999999999E-2</v>
      </c>
      <c r="K342" s="953">
        <f t="shared" ca="1" si="113"/>
        <v>2.9899999999999999E-2</v>
      </c>
      <c r="L342" s="954">
        <f ca="1">IFERROR($H342*44/12*参考2_エネ使用量経年!$H192*(参考2_エネ使用量経年!L192+参考2_エネ使用量経年!L279),"")</f>
        <v>0</v>
      </c>
      <c r="M342" s="954">
        <f ca="1">IFERROR($I342*44/12*参考2_エネ使用量経年!$I192*(参考2_エネ使用量経年!M192+参考2_エネ使用量経年!M279),"")</f>
        <v>0</v>
      </c>
      <c r="N342" s="954">
        <f ca="1">IFERROR($J342*44/12*参考2_エネ使用量経年!$J192*(参考2_エネ使用量経年!N192+参考2_エネ使用量経年!N279),"")</f>
        <v>0</v>
      </c>
      <c r="O342" s="954">
        <f ca="1">IFERROR($K342*44/12*参考2_エネ使用量経年!$K192*(参考2_エネ使用量経年!O192+参考2_エネ使用量経年!O279),"")</f>
        <v>0</v>
      </c>
      <c r="P342" s="954">
        <f ca="1">IFERROR($H342*44/12*参考2_エネ使用量経年!$H192*(参考2_エネ使用量経年!P192+参考2_エネ使用量経年!P279),"")</f>
        <v>0</v>
      </c>
      <c r="Q342" s="954">
        <f ca="1">IFERROR($I342*44/12*参考2_エネ使用量経年!$I192*(参考2_エネ使用量経年!Q192+参考2_エネ使用量経年!Q279),"")</f>
        <v>0</v>
      </c>
      <c r="R342" s="954">
        <f ca="1">IFERROR($J342*44/12*参考2_エネ使用量経年!$J192*(参考2_エネ使用量経年!R192+参考2_エネ使用量経年!R279),"")</f>
        <v>0</v>
      </c>
      <c r="S342" s="954">
        <f ca="1">IFERROR($K342*44/12*参考2_エネ使用量経年!$K192*(参考2_エネ使用量経年!S192+参考2_エネ使用量経年!S279),"")</f>
        <v>0</v>
      </c>
      <c r="T342" s="954">
        <f ca="1">IFERROR($H342*44/12*参考2_エネ使用量経年!$H192*(参考2_エネ使用量経年!T192+参考2_エネ使用量経年!T279),"")</f>
        <v>0</v>
      </c>
      <c r="U342" s="954">
        <f ca="1">IFERROR($I342*44/12*参考2_エネ使用量経年!$I192*(参考2_エネ使用量経年!U192+参考2_エネ使用量経年!U279),"")</f>
        <v>0</v>
      </c>
      <c r="V342" s="954">
        <f ca="1">IFERROR($J342*44/12*参考2_エネ使用量経年!$J192*(参考2_エネ使用量経年!V192+参考2_エネ使用量経年!V279),"")</f>
        <v>0</v>
      </c>
      <c r="W342" s="954">
        <f ca="1">IFERROR($K342*44/12*参考2_エネ使用量経年!$K192*(参考2_エネ使用量経年!W192+参考2_エネ使用量経年!W279),"")</f>
        <v>0</v>
      </c>
      <c r="X342" s="954">
        <f ca="1">IFERROR($H342*44/12*参考2_エネ使用量経年!$H192*(参考2_エネ使用量経年!X192+参考2_エネ使用量経年!X279),"")</f>
        <v>0</v>
      </c>
      <c r="Y342" s="954">
        <f ca="1">IFERROR($I342*44/12*参考2_エネ使用量経年!$I192*(参考2_エネ使用量経年!Y192+参考2_エネ使用量経年!Y279),"")</f>
        <v>0</v>
      </c>
      <c r="Z342" s="954">
        <f ca="1">IFERROR($J342*44/12*参考2_エネ使用量経年!$J192*(参考2_エネ使用量経年!Z192+参考2_エネ使用量経年!Z279),"")</f>
        <v>0</v>
      </c>
      <c r="AA342" s="954">
        <f ca="1">IFERROR($K342*44/12*参考2_エネ使用量経年!$K192*(参考2_エネ使用量経年!AA192+参考2_エネ使用量経年!AA279),"")</f>
        <v>0</v>
      </c>
      <c r="AB342" s="954" t="str">
        <f ca="1">IFERROR($H342*44/12*参考2_エネ使用量経年!$H192*(参考2_エネ使用量経年!AB192+参考2_エネ使用量経年!AB279),"")</f>
        <v/>
      </c>
      <c r="AC342" s="954" t="str">
        <f ca="1">IFERROR($I342*44/12*参考2_エネ使用量経年!$I192*(参考2_エネ使用量経年!AC192+参考2_エネ使用量経年!AC279),"")</f>
        <v/>
      </c>
      <c r="AD342" s="954" t="str">
        <f ca="1">IFERROR($J342*44/12*参考2_エネ使用量経年!$J192*(参考2_エネ使用量経年!AD192+参考2_エネ使用量経年!AD279),"")</f>
        <v/>
      </c>
      <c r="AE342" s="954" t="str">
        <f ca="1">IFERROR($K342*44/12*参考2_エネ使用量経年!$K192*(参考2_エネ使用量経年!AE192+参考2_エネ使用量経年!AE279),"")</f>
        <v/>
      </c>
      <c r="AF342" s="954" t="str">
        <f ca="1">IFERROR($H342*44/12*参考2_エネ使用量経年!$H192*(参考2_エネ使用量経年!AF192+参考2_エネ使用量経年!AF279),"")</f>
        <v/>
      </c>
      <c r="AG342" s="954" t="str">
        <f ca="1">IFERROR($I342*44/12*参考2_エネ使用量経年!$I192*(参考2_エネ使用量経年!AG192+参考2_エネ使用量経年!AG279),"")</f>
        <v/>
      </c>
      <c r="AH342" s="954" t="str">
        <f ca="1">IFERROR($J342*44/12*参考2_エネ使用量経年!$J192*(参考2_エネ使用量経年!AH192+参考2_エネ使用量経年!AH279),"")</f>
        <v/>
      </c>
      <c r="AI342" s="954" t="str">
        <f ca="1">IFERROR($K342*44/12*参考2_エネ使用量経年!$K192*(参考2_エネ使用量経年!AI192+参考2_エネ使用量経年!AI279),"")</f>
        <v/>
      </c>
      <c r="AJ342" s="954" t="str">
        <f ca="1">IFERROR($H342*44/12*参考2_エネ使用量経年!$H192*(参考2_エネ使用量経年!AJ192+参考2_エネ使用量経年!AJ279),"")</f>
        <v/>
      </c>
      <c r="AK342" s="954" t="str">
        <f ca="1">IFERROR($I342*44/12*参考2_エネ使用量経年!$I192*(参考2_エネ使用量経年!AK192+参考2_エネ使用量経年!AK279),"")</f>
        <v/>
      </c>
      <c r="AL342" s="954" t="str">
        <f ca="1">IFERROR($J342*44/12*参考2_エネ使用量経年!$J192*(参考2_エネ使用量経年!AL192+参考2_エネ使用量経年!AL279),"")</f>
        <v/>
      </c>
      <c r="AM342" s="954" t="str">
        <f ca="1">IFERROR($K342*44/12*参考2_エネ使用量経年!$K192*(参考2_エネ使用量経年!AM192+参考2_エネ使用量経年!AM279),"")</f>
        <v/>
      </c>
      <c r="AN342" s="954" t="str">
        <f ca="1">IFERROR($H342*44/12*参考2_エネ使用量経年!$H192*(参考2_エネ使用量経年!AN192+参考2_エネ使用量経年!AN279),"")</f>
        <v/>
      </c>
      <c r="AO342" s="954" t="str">
        <f ca="1">IFERROR($I342*44/12*参考2_エネ使用量経年!$I192*(参考2_エネ使用量経年!AO192+参考2_エネ使用量経年!AO279),"")</f>
        <v/>
      </c>
      <c r="AP342" s="954" t="str">
        <f ca="1">IFERROR($J342*44/12*参考2_エネ使用量経年!$J192*(参考2_エネ使用量経年!AP192+参考2_エネ使用量経年!AP279),"")</f>
        <v/>
      </c>
      <c r="AQ342" s="954" t="str">
        <f ca="1">IFERROR($K342*44/12*参考2_エネ使用量経年!$K192*(参考2_エネ使用量経年!AQ192+参考2_エネ使用量経年!AQ279),"")</f>
        <v/>
      </c>
      <c r="AR342" s="954" t="str">
        <f ca="1">IFERROR($H342*44/12*参考2_エネ使用量経年!$H192*(参考2_エネ使用量経年!AR192+参考2_エネ使用量経年!AR279),"")</f>
        <v/>
      </c>
      <c r="AS342" s="954" t="str">
        <f ca="1">IFERROR($I342*44/12*参考2_エネ使用量経年!$I192*(参考2_エネ使用量経年!AS192+参考2_エネ使用量経年!AS279),"")</f>
        <v/>
      </c>
      <c r="AT342" s="954" t="str">
        <f ca="1">IFERROR($J342*44/12*参考2_エネ使用量経年!$J192*(参考2_エネ使用量経年!AT192+参考2_エネ使用量経年!AT279),"")</f>
        <v/>
      </c>
      <c r="AU342" s="954" t="str">
        <f ca="1">IFERROR($K342*44/12*参考2_エネ使用量経年!$K192*(参考2_エネ使用量経年!AU192+参考2_エネ使用量経年!AU279),"")</f>
        <v/>
      </c>
      <c r="AV342" s="954" t="str">
        <f ca="1">IFERROR($H342*44/12*参考2_エネ使用量経年!$H192*(参考2_エネ使用量経年!AV192+参考2_エネ使用量経年!AV279),"")</f>
        <v/>
      </c>
      <c r="AW342" s="954" t="str">
        <f ca="1">IFERROR($I342*44/12*参考2_エネ使用量経年!$I192*(参考2_エネ使用量経年!AW192+参考2_エネ使用量経年!AW279),"")</f>
        <v/>
      </c>
      <c r="AX342" s="954" t="str">
        <f ca="1">IFERROR($J342*44/12*参考2_エネ使用量経年!$J192*(参考2_エネ使用量経年!AX192+参考2_エネ使用量経年!AX279),"")</f>
        <v/>
      </c>
      <c r="AY342" s="954" t="str">
        <f ca="1">IFERROR($K342*44/12*参考2_エネ使用量経年!$K192*(参考2_エネ使用量経年!AY192+参考2_エネ使用量経年!AY279),"")</f>
        <v/>
      </c>
      <c r="AZ342" s="954" t="str">
        <f ca="1">IFERROR($H342*44/12*参考2_エネ使用量経年!$H192*(参考2_エネ使用量経年!AZ192+参考2_エネ使用量経年!AZ279),"")</f>
        <v/>
      </c>
      <c r="BA342" s="954" t="str">
        <f ca="1">IFERROR($I342*44/12*参考2_エネ使用量経年!$I192*(参考2_エネ使用量経年!BA192+参考2_エネ使用量経年!BA279),"")</f>
        <v/>
      </c>
      <c r="BB342" s="954" t="str">
        <f ca="1">IFERROR($J342*44/12*参考2_エネ使用量経年!$J192*(参考2_エネ使用量経年!BB192+参考2_エネ使用量経年!BB279),"")</f>
        <v/>
      </c>
      <c r="BC342" s="954" t="str">
        <f ca="1">IFERROR($K342*44/12*参考2_エネ使用量経年!$K192*(参考2_エネ使用量経年!BC192+参考2_エネ使用量経年!BC279),"")</f>
        <v/>
      </c>
      <c r="BD342" s="954" t="str">
        <f ca="1">IFERROR($H342*44/12*参考2_エネ使用量経年!$H192*(参考2_エネ使用量経年!BD192+参考2_エネ使用量経年!BD279),"")</f>
        <v/>
      </c>
      <c r="BE342" s="954" t="str">
        <f ca="1">IFERROR($I342*44/12*参考2_エネ使用量経年!$I192*(参考2_エネ使用量経年!BE192+参考2_エネ使用量経年!BE279),"")</f>
        <v/>
      </c>
      <c r="BF342" s="954" t="str">
        <f ca="1">IFERROR($J342*44/12*参考2_エネ使用量経年!$J192*(参考2_エネ使用量経年!BF192+参考2_エネ使用量経年!BF279),"")</f>
        <v/>
      </c>
      <c r="BG342" s="954" t="str">
        <f ca="1">IFERROR($K342*44/12*参考2_エネ使用量経年!$K192*(参考2_エネ使用量経年!BG192+参考2_エネ使用量経年!BG279),"")</f>
        <v/>
      </c>
      <c r="BH342" s="954" t="str">
        <f ca="1">IFERROR($H342*44/12*参考2_エネ使用量経年!$H192*(参考2_エネ使用量経年!BH192+参考2_エネ使用量経年!BH279),"")</f>
        <v/>
      </c>
      <c r="BI342" s="954" t="str">
        <f ca="1">IFERROR($I342*44/12*参考2_エネ使用量経年!$I192*(参考2_エネ使用量経年!BI192+参考2_エネ使用量経年!BI279),"")</f>
        <v/>
      </c>
      <c r="BJ342" s="954" t="str">
        <f ca="1">IFERROR($J342*44/12*参考2_エネ使用量経年!$J192*(参考2_エネ使用量経年!BJ192+参考2_エネ使用量経年!BJ279),"")</f>
        <v/>
      </c>
      <c r="BK342" s="954" t="str">
        <f ca="1">IFERROR($K342*44/12*参考2_エネ使用量経年!$K192*(参考2_エネ使用量経年!BK192+参考2_エネ使用量経年!BK279),"")</f>
        <v/>
      </c>
      <c r="BL342" s="954" t="str">
        <f ca="1">IFERROR($H342*44/12*参考2_エネ使用量経年!$H192*(参考2_エネ使用量経年!BL192+参考2_エネ使用量経年!BL279),"")</f>
        <v/>
      </c>
      <c r="BM342" s="954" t="str">
        <f ca="1">IFERROR($I342*44/12*参考2_エネ使用量経年!$I192*(参考2_エネ使用量経年!BM192+参考2_エネ使用量経年!BM279),"")</f>
        <v/>
      </c>
      <c r="BN342" s="954" t="str">
        <f ca="1">IFERROR($J342*44/12*参考2_エネ使用量経年!$J192*(参考2_エネ使用量経年!BN192+参考2_エネ使用量経年!BN279),"")</f>
        <v/>
      </c>
      <c r="BO342" s="954" t="str">
        <f ca="1">IFERROR($K342*44/12*参考2_エネ使用量経年!$K192*(参考2_エネ使用量経年!BO192+参考2_エネ使用量経年!BO279),"")</f>
        <v/>
      </c>
    </row>
    <row r="343" spans="1:67" ht="20.100000000000001" customHeight="1">
      <c r="A343" s="952">
        <v>30</v>
      </c>
      <c r="B343" s="1870"/>
      <c r="C343" s="1872"/>
      <c r="D343" s="824" t="s">
        <v>4170</v>
      </c>
      <c r="E343" s="818"/>
      <c r="F343" s="825"/>
      <c r="G343" s="891" t="s">
        <v>4685</v>
      </c>
      <c r="H343" s="953">
        <f t="shared" ca="1" si="110"/>
        <v>2.0899999999999998E-2</v>
      </c>
      <c r="I343" s="953">
        <f t="shared" ca="1" si="111"/>
        <v>2.0899999999999998E-2</v>
      </c>
      <c r="J343" s="953">
        <f t="shared" ca="1" si="112"/>
        <v>2.0899999999999998E-2</v>
      </c>
      <c r="K343" s="953">
        <f t="shared" ca="1" si="113"/>
        <v>2.0899999999999998E-2</v>
      </c>
      <c r="L343" s="954">
        <f ca="1">IFERROR($H343*44/12*参考2_エネ使用量経年!$H193*(参考2_エネ使用量経年!L193+参考2_エネ使用量経年!L280),"")</f>
        <v>0</v>
      </c>
      <c r="M343" s="954">
        <f ca="1">IFERROR($I343*44/12*参考2_エネ使用量経年!$I193*(参考2_エネ使用量経年!M193+参考2_エネ使用量経年!M280),"")</f>
        <v>0</v>
      </c>
      <c r="N343" s="954">
        <f ca="1">IFERROR($J343*44/12*参考2_エネ使用量経年!$J193*(参考2_エネ使用量経年!N193+参考2_エネ使用量経年!N280),"")</f>
        <v>0</v>
      </c>
      <c r="O343" s="954">
        <f ca="1">IFERROR($K343*44/12*参考2_エネ使用量経年!$K193*(参考2_エネ使用量経年!O193+参考2_エネ使用量経年!O280),"")</f>
        <v>0</v>
      </c>
      <c r="P343" s="954">
        <f ca="1">IFERROR($H343*44/12*参考2_エネ使用量経年!$H193*(参考2_エネ使用量経年!P193+参考2_エネ使用量経年!P280),"")</f>
        <v>0</v>
      </c>
      <c r="Q343" s="954">
        <f ca="1">IFERROR($I343*44/12*参考2_エネ使用量経年!$I193*(参考2_エネ使用量経年!Q193+参考2_エネ使用量経年!Q280),"")</f>
        <v>0</v>
      </c>
      <c r="R343" s="954">
        <f ca="1">IFERROR($J343*44/12*参考2_エネ使用量経年!$J193*(参考2_エネ使用量経年!R193+参考2_エネ使用量経年!R280),"")</f>
        <v>0</v>
      </c>
      <c r="S343" s="954">
        <f ca="1">IFERROR($K343*44/12*参考2_エネ使用量経年!$K193*(参考2_エネ使用量経年!S193+参考2_エネ使用量経年!S280),"")</f>
        <v>0</v>
      </c>
      <c r="T343" s="954">
        <f ca="1">IFERROR($H343*44/12*参考2_エネ使用量経年!$H193*(参考2_エネ使用量経年!T193+参考2_エネ使用量経年!T280),"")</f>
        <v>0</v>
      </c>
      <c r="U343" s="954">
        <f ca="1">IFERROR($I343*44/12*参考2_エネ使用量経年!$I193*(参考2_エネ使用量経年!U193+参考2_エネ使用量経年!U280),"")</f>
        <v>0</v>
      </c>
      <c r="V343" s="954">
        <f ca="1">IFERROR($J343*44/12*参考2_エネ使用量経年!$J193*(参考2_エネ使用量経年!V193+参考2_エネ使用量経年!V280),"")</f>
        <v>0</v>
      </c>
      <c r="W343" s="954">
        <f ca="1">IFERROR($K343*44/12*参考2_エネ使用量経年!$K193*(参考2_エネ使用量経年!W193+参考2_エネ使用量経年!W280),"")</f>
        <v>0</v>
      </c>
      <c r="X343" s="954">
        <f ca="1">IFERROR($H343*44/12*参考2_エネ使用量経年!$H193*(参考2_エネ使用量経年!X193+参考2_エネ使用量経年!X280),"")</f>
        <v>0</v>
      </c>
      <c r="Y343" s="954">
        <f ca="1">IFERROR($I343*44/12*参考2_エネ使用量経年!$I193*(参考2_エネ使用量経年!Y193+参考2_エネ使用量経年!Y280),"")</f>
        <v>0</v>
      </c>
      <c r="Z343" s="954">
        <f ca="1">IFERROR($J343*44/12*参考2_エネ使用量経年!$J193*(参考2_エネ使用量経年!Z193+参考2_エネ使用量経年!Z280),"")</f>
        <v>0</v>
      </c>
      <c r="AA343" s="954">
        <f ca="1">IFERROR($K343*44/12*参考2_エネ使用量経年!$K193*(参考2_エネ使用量経年!AA193+参考2_エネ使用量経年!AA280),"")</f>
        <v>0</v>
      </c>
      <c r="AB343" s="954" t="str">
        <f ca="1">IFERROR($H343*44/12*参考2_エネ使用量経年!$H193*(参考2_エネ使用量経年!AB193+参考2_エネ使用量経年!AB280),"")</f>
        <v/>
      </c>
      <c r="AC343" s="954" t="str">
        <f ca="1">IFERROR($I343*44/12*参考2_エネ使用量経年!$I193*(参考2_エネ使用量経年!AC193+参考2_エネ使用量経年!AC280),"")</f>
        <v/>
      </c>
      <c r="AD343" s="954" t="str">
        <f ca="1">IFERROR($J343*44/12*参考2_エネ使用量経年!$J193*(参考2_エネ使用量経年!AD193+参考2_エネ使用量経年!AD280),"")</f>
        <v/>
      </c>
      <c r="AE343" s="954" t="str">
        <f ca="1">IFERROR($K343*44/12*参考2_エネ使用量経年!$K193*(参考2_エネ使用量経年!AE193+参考2_エネ使用量経年!AE280),"")</f>
        <v/>
      </c>
      <c r="AF343" s="954" t="str">
        <f ca="1">IFERROR($H343*44/12*参考2_エネ使用量経年!$H193*(参考2_エネ使用量経年!AF193+参考2_エネ使用量経年!AF280),"")</f>
        <v/>
      </c>
      <c r="AG343" s="954" t="str">
        <f ca="1">IFERROR($I343*44/12*参考2_エネ使用量経年!$I193*(参考2_エネ使用量経年!AG193+参考2_エネ使用量経年!AG280),"")</f>
        <v/>
      </c>
      <c r="AH343" s="954" t="str">
        <f ca="1">IFERROR($J343*44/12*参考2_エネ使用量経年!$J193*(参考2_エネ使用量経年!AH193+参考2_エネ使用量経年!AH280),"")</f>
        <v/>
      </c>
      <c r="AI343" s="954" t="str">
        <f ca="1">IFERROR($K343*44/12*参考2_エネ使用量経年!$K193*(参考2_エネ使用量経年!AI193+参考2_エネ使用量経年!AI280),"")</f>
        <v/>
      </c>
      <c r="AJ343" s="954" t="str">
        <f ca="1">IFERROR($H343*44/12*参考2_エネ使用量経年!$H193*(参考2_エネ使用量経年!AJ193+参考2_エネ使用量経年!AJ280),"")</f>
        <v/>
      </c>
      <c r="AK343" s="954" t="str">
        <f ca="1">IFERROR($I343*44/12*参考2_エネ使用量経年!$I193*(参考2_エネ使用量経年!AK193+参考2_エネ使用量経年!AK280),"")</f>
        <v/>
      </c>
      <c r="AL343" s="954" t="str">
        <f ca="1">IFERROR($J343*44/12*参考2_エネ使用量経年!$J193*(参考2_エネ使用量経年!AL193+参考2_エネ使用量経年!AL280),"")</f>
        <v/>
      </c>
      <c r="AM343" s="954" t="str">
        <f ca="1">IFERROR($K343*44/12*参考2_エネ使用量経年!$K193*(参考2_エネ使用量経年!AM193+参考2_エネ使用量経年!AM280),"")</f>
        <v/>
      </c>
      <c r="AN343" s="954" t="str">
        <f ca="1">IFERROR($H343*44/12*参考2_エネ使用量経年!$H193*(参考2_エネ使用量経年!AN193+参考2_エネ使用量経年!AN280),"")</f>
        <v/>
      </c>
      <c r="AO343" s="954" t="str">
        <f ca="1">IFERROR($I343*44/12*参考2_エネ使用量経年!$I193*(参考2_エネ使用量経年!AO193+参考2_エネ使用量経年!AO280),"")</f>
        <v/>
      </c>
      <c r="AP343" s="954" t="str">
        <f ca="1">IFERROR($J343*44/12*参考2_エネ使用量経年!$J193*(参考2_エネ使用量経年!AP193+参考2_エネ使用量経年!AP280),"")</f>
        <v/>
      </c>
      <c r="AQ343" s="954" t="str">
        <f ca="1">IFERROR($K343*44/12*参考2_エネ使用量経年!$K193*(参考2_エネ使用量経年!AQ193+参考2_エネ使用量経年!AQ280),"")</f>
        <v/>
      </c>
      <c r="AR343" s="954" t="str">
        <f ca="1">IFERROR($H343*44/12*参考2_エネ使用量経年!$H193*(参考2_エネ使用量経年!AR193+参考2_エネ使用量経年!AR280),"")</f>
        <v/>
      </c>
      <c r="AS343" s="954" t="str">
        <f ca="1">IFERROR($I343*44/12*参考2_エネ使用量経年!$I193*(参考2_エネ使用量経年!AS193+参考2_エネ使用量経年!AS280),"")</f>
        <v/>
      </c>
      <c r="AT343" s="954" t="str">
        <f ca="1">IFERROR($J343*44/12*参考2_エネ使用量経年!$J193*(参考2_エネ使用量経年!AT193+参考2_エネ使用量経年!AT280),"")</f>
        <v/>
      </c>
      <c r="AU343" s="954" t="str">
        <f ca="1">IFERROR($K343*44/12*参考2_エネ使用量経年!$K193*(参考2_エネ使用量経年!AU193+参考2_エネ使用量経年!AU280),"")</f>
        <v/>
      </c>
      <c r="AV343" s="954" t="str">
        <f ca="1">IFERROR($H343*44/12*参考2_エネ使用量経年!$H193*(参考2_エネ使用量経年!AV193+参考2_エネ使用量経年!AV280),"")</f>
        <v/>
      </c>
      <c r="AW343" s="954" t="str">
        <f ca="1">IFERROR($I343*44/12*参考2_エネ使用量経年!$I193*(参考2_エネ使用量経年!AW193+参考2_エネ使用量経年!AW280),"")</f>
        <v/>
      </c>
      <c r="AX343" s="954" t="str">
        <f ca="1">IFERROR($J343*44/12*参考2_エネ使用量経年!$J193*(参考2_エネ使用量経年!AX193+参考2_エネ使用量経年!AX280),"")</f>
        <v/>
      </c>
      <c r="AY343" s="954" t="str">
        <f ca="1">IFERROR($K343*44/12*参考2_エネ使用量経年!$K193*(参考2_エネ使用量経年!AY193+参考2_エネ使用量経年!AY280),"")</f>
        <v/>
      </c>
      <c r="AZ343" s="954" t="str">
        <f ca="1">IFERROR($H343*44/12*参考2_エネ使用量経年!$H193*(参考2_エネ使用量経年!AZ193+参考2_エネ使用量経年!AZ280),"")</f>
        <v/>
      </c>
      <c r="BA343" s="954" t="str">
        <f ca="1">IFERROR($I343*44/12*参考2_エネ使用量経年!$I193*(参考2_エネ使用量経年!BA193+参考2_エネ使用量経年!BA280),"")</f>
        <v/>
      </c>
      <c r="BB343" s="954" t="str">
        <f ca="1">IFERROR($J343*44/12*参考2_エネ使用量経年!$J193*(参考2_エネ使用量経年!BB193+参考2_エネ使用量経年!BB280),"")</f>
        <v/>
      </c>
      <c r="BC343" s="954" t="str">
        <f ca="1">IFERROR($K343*44/12*参考2_エネ使用量経年!$K193*(参考2_エネ使用量経年!BC193+参考2_エネ使用量経年!BC280),"")</f>
        <v/>
      </c>
      <c r="BD343" s="954" t="str">
        <f ca="1">IFERROR($H343*44/12*参考2_エネ使用量経年!$H193*(参考2_エネ使用量経年!BD193+参考2_エネ使用量経年!BD280),"")</f>
        <v/>
      </c>
      <c r="BE343" s="954" t="str">
        <f ca="1">IFERROR($I343*44/12*参考2_エネ使用量経年!$I193*(参考2_エネ使用量経年!BE193+参考2_エネ使用量経年!BE280),"")</f>
        <v/>
      </c>
      <c r="BF343" s="954" t="str">
        <f ca="1">IFERROR($J343*44/12*参考2_エネ使用量経年!$J193*(参考2_エネ使用量経年!BF193+参考2_エネ使用量経年!BF280),"")</f>
        <v/>
      </c>
      <c r="BG343" s="954" t="str">
        <f ca="1">IFERROR($K343*44/12*参考2_エネ使用量経年!$K193*(参考2_エネ使用量経年!BG193+参考2_エネ使用量経年!BG280),"")</f>
        <v/>
      </c>
      <c r="BH343" s="954" t="str">
        <f ca="1">IFERROR($H343*44/12*参考2_エネ使用量経年!$H193*(参考2_エネ使用量経年!BH193+参考2_エネ使用量経年!BH280),"")</f>
        <v/>
      </c>
      <c r="BI343" s="954" t="str">
        <f ca="1">IFERROR($I343*44/12*参考2_エネ使用量経年!$I193*(参考2_エネ使用量経年!BI193+参考2_エネ使用量経年!BI280),"")</f>
        <v/>
      </c>
      <c r="BJ343" s="954" t="str">
        <f ca="1">IFERROR($J343*44/12*参考2_エネ使用量経年!$J193*(参考2_エネ使用量経年!BJ193+参考2_エネ使用量経年!BJ280),"")</f>
        <v/>
      </c>
      <c r="BK343" s="954" t="str">
        <f ca="1">IFERROR($K343*44/12*参考2_エネ使用量経年!$K193*(参考2_エネ使用量経年!BK193+参考2_エネ使用量経年!BK280),"")</f>
        <v/>
      </c>
      <c r="BL343" s="954" t="str">
        <f ca="1">IFERROR($H343*44/12*参考2_エネ使用量経年!$H193*(参考2_エネ使用量経年!BL193+参考2_エネ使用量経年!BL280),"")</f>
        <v/>
      </c>
      <c r="BM343" s="954" t="str">
        <f ca="1">IFERROR($I343*44/12*参考2_エネ使用量経年!$I193*(参考2_エネ使用量経年!BM193+参考2_エネ使用量経年!BM280),"")</f>
        <v/>
      </c>
      <c r="BN343" s="954" t="str">
        <f ca="1">IFERROR($J343*44/12*参考2_エネ使用量経年!$J193*(参考2_エネ使用量経年!BN193+参考2_エネ使用量経年!BN280),"")</f>
        <v/>
      </c>
      <c r="BO343" s="954" t="str">
        <f ca="1">IFERROR($K343*44/12*参考2_エネ使用量経年!$K193*(参考2_エネ使用量経年!BO193+参考2_エネ使用量経年!BO280),"")</f>
        <v/>
      </c>
    </row>
    <row r="344" spans="1:67" ht="20.100000000000001" customHeight="1">
      <c r="A344" s="952">
        <v>31</v>
      </c>
      <c r="B344" s="1870"/>
      <c r="C344" s="1872"/>
      <c r="D344" s="824" t="s">
        <v>4171</v>
      </c>
      <c r="E344" s="824"/>
      <c r="F344" s="825"/>
      <c r="G344" s="891" t="s">
        <v>4685</v>
      </c>
      <c r="H344" s="953">
        <f t="shared" ca="1" si="110"/>
        <v>1.09E-2</v>
      </c>
      <c r="I344" s="953">
        <f t="shared" ca="1" si="111"/>
        <v>1.09E-2</v>
      </c>
      <c r="J344" s="953">
        <f t="shared" ca="1" si="112"/>
        <v>1.09E-2</v>
      </c>
      <c r="K344" s="953">
        <f t="shared" ca="1" si="113"/>
        <v>1.09E-2</v>
      </c>
      <c r="L344" s="954">
        <f ca="1">IFERROR($H344*44/12*参考2_エネ使用量経年!$H194*(参考2_エネ使用量経年!L194+参考2_エネ使用量経年!L281),"")</f>
        <v>0</v>
      </c>
      <c r="M344" s="954">
        <f ca="1">IFERROR($I344*44/12*参考2_エネ使用量経年!$I194*(参考2_エネ使用量経年!M194+参考2_エネ使用量経年!M281),"")</f>
        <v>0</v>
      </c>
      <c r="N344" s="954">
        <f ca="1">IFERROR($J344*44/12*参考2_エネ使用量経年!$J194*(参考2_エネ使用量経年!N194+参考2_エネ使用量経年!N281),"")</f>
        <v>0</v>
      </c>
      <c r="O344" s="954">
        <f ca="1">IFERROR($K344*44/12*参考2_エネ使用量経年!$K194*(参考2_エネ使用量経年!O194+参考2_エネ使用量経年!O281),"")</f>
        <v>0</v>
      </c>
      <c r="P344" s="954">
        <f ca="1">IFERROR($H344*44/12*参考2_エネ使用量経年!$H194*(参考2_エネ使用量経年!P194+参考2_エネ使用量経年!P281),"")</f>
        <v>0</v>
      </c>
      <c r="Q344" s="954">
        <f ca="1">IFERROR($I344*44/12*参考2_エネ使用量経年!$I194*(参考2_エネ使用量経年!Q194+参考2_エネ使用量経年!Q281),"")</f>
        <v>0</v>
      </c>
      <c r="R344" s="954">
        <f ca="1">IFERROR($J344*44/12*参考2_エネ使用量経年!$J194*(参考2_エネ使用量経年!R194+参考2_エネ使用量経年!R281),"")</f>
        <v>0</v>
      </c>
      <c r="S344" s="954">
        <f ca="1">IFERROR($K344*44/12*参考2_エネ使用量経年!$K194*(参考2_エネ使用量経年!S194+参考2_エネ使用量経年!S281),"")</f>
        <v>0</v>
      </c>
      <c r="T344" s="954">
        <f ca="1">IFERROR($H344*44/12*参考2_エネ使用量経年!$H194*(参考2_エネ使用量経年!T194+参考2_エネ使用量経年!T281),"")</f>
        <v>0</v>
      </c>
      <c r="U344" s="954">
        <f ca="1">IFERROR($I344*44/12*参考2_エネ使用量経年!$I194*(参考2_エネ使用量経年!U194+参考2_エネ使用量経年!U281),"")</f>
        <v>0</v>
      </c>
      <c r="V344" s="954">
        <f ca="1">IFERROR($J344*44/12*参考2_エネ使用量経年!$J194*(参考2_エネ使用量経年!V194+参考2_エネ使用量経年!V281),"")</f>
        <v>0</v>
      </c>
      <c r="W344" s="954">
        <f ca="1">IFERROR($K344*44/12*参考2_エネ使用量経年!$K194*(参考2_エネ使用量経年!W194+参考2_エネ使用量経年!W281),"")</f>
        <v>0</v>
      </c>
      <c r="X344" s="954">
        <f ca="1">IFERROR($H344*44/12*参考2_エネ使用量経年!$H194*(参考2_エネ使用量経年!X194+参考2_エネ使用量経年!X281),"")</f>
        <v>0</v>
      </c>
      <c r="Y344" s="954">
        <f ca="1">IFERROR($I344*44/12*参考2_エネ使用量経年!$I194*(参考2_エネ使用量経年!Y194+参考2_エネ使用量経年!Y281),"")</f>
        <v>0</v>
      </c>
      <c r="Z344" s="954">
        <f ca="1">IFERROR($J344*44/12*参考2_エネ使用量経年!$J194*(参考2_エネ使用量経年!Z194+参考2_エネ使用量経年!Z281),"")</f>
        <v>0</v>
      </c>
      <c r="AA344" s="954">
        <f ca="1">IFERROR($K344*44/12*参考2_エネ使用量経年!$K194*(参考2_エネ使用量経年!AA194+参考2_エネ使用量経年!AA281),"")</f>
        <v>0</v>
      </c>
      <c r="AB344" s="954" t="str">
        <f ca="1">IFERROR($H344*44/12*参考2_エネ使用量経年!$H194*(参考2_エネ使用量経年!AB194+参考2_エネ使用量経年!AB281),"")</f>
        <v/>
      </c>
      <c r="AC344" s="954" t="str">
        <f ca="1">IFERROR($I344*44/12*参考2_エネ使用量経年!$I194*(参考2_エネ使用量経年!AC194+参考2_エネ使用量経年!AC281),"")</f>
        <v/>
      </c>
      <c r="AD344" s="954" t="str">
        <f ca="1">IFERROR($J344*44/12*参考2_エネ使用量経年!$J194*(参考2_エネ使用量経年!AD194+参考2_エネ使用量経年!AD281),"")</f>
        <v/>
      </c>
      <c r="AE344" s="954" t="str">
        <f ca="1">IFERROR($K344*44/12*参考2_エネ使用量経年!$K194*(参考2_エネ使用量経年!AE194+参考2_エネ使用量経年!AE281),"")</f>
        <v/>
      </c>
      <c r="AF344" s="954" t="str">
        <f ca="1">IFERROR($H344*44/12*参考2_エネ使用量経年!$H194*(参考2_エネ使用量経年!AF194+参考2_エネ使用量経年!AF281),"")</f>
        <v/>
      </c>
      <c r="AG344" s="954" t="str">
        <f ca="1">IFERROR($I344*44/12*参考2_エネ使用量経年!$I194*(参考2_エネ使用量経年!AG194+参考2_エネ使用量経年!AG281),"")</f>
        <v/>
      </c>
      <c r="AH344" s="954" t="str">
        <f ca="1">IFERROR($J344*44/12*参考2_エネ使用量経年!$J194*(参考2_エネ使用量経年!AH194+参考2_エネ使用量経年!AH281),"")</f>
        <v/>
      </c>
      <c r="AI344" s="954" t="str">
        <f ca="1">IFERROR($K344*44/12*参考2_エネ使用量経年!$K194*(参考2_エネ使用量経年!AI194+参考2_エネ使用量経年!AI281),"")</f>
        <v/>
      </c>
      <c r="AJ344" s="954" t="str">
        <f ca="1">IFERROR($H344*44/12*参考2_エネ使用量経年!$H194*(参考2_エネ使用量経年!AJ194+参考2_エネ使用量経年!AJ281),"")</f>
        <v/>
      </c>
      <c r="AK344" s="954" t="str">
        <f ca="1">IFERROR($I344*44/12*参考2_エネ使用量経年!$I194*(参考2_エネ使用量経年!AK194+参考2_エネ使用量経年!AK281),"")</f>
        <v/>
      </c>
      <c r="AL344" s="954" t="str">
        <f ca="1">IFERROR($J344*44/12*参考2_エネ使用量経年!$J194*(参考2_エネ使用量経年!AL194+参考2_エネ使用量経年!AL281),"")</f>
        <v/>
      </c>
      <c r="AM344" s="954" t="str">
        <f ca="1">IFERROR($K344*44/12*参考2_エネ使用量経年!$K194*(参考2_エネ使用量経年!AM194+参考2_エネ使用量経年!AM281),"")</f>
        <v/>
      </c>
      <c r="AN344" s="954" t="str">
        <f ca="1">IFERROR($H344*44/12*参考2_エネ使用量経年!$H194*(参考2_エネ使用量経年!AN194+参考2_エネ使用量経年!AN281),"")</f>
        <v/>
      </c>
      <c r="AO344" s="954" t="str">
        <f ca="1">IFERROR($I344*44/12*参考2_エネ使用量経年!$I194*(参考2_エネ使用量経年!AO194+参考2_エネ使用量経年!AO281),"")</f>
        <v/>
      </c>
      <c r="AP344" s="954" t="str">
        <f ca="1">IFERROR($J344*44/12*参考2_エネ使用量経年!$J194*(参考2_エネ使用量経年!AP194+参考2_エネ使用量経年!AP281),"")</f>
        <v/>
      </c>
      <c r="AQ344" s="954" t="str">
        <f ca="1">IFERROR($K344*44/12*参考2_エネ使用量経年!$K194*(参考2_エネ使用量経年!AQ194+参考2_エネ使用量経年!AQ281),"")</f>
        <v/>
      </c>
      <c r="AR344" s="954" t="str">
        <f ca="1">IFERROR($H344*44/12*参考2_エネ使用量経年!$H194*(参考2_エネ使用量経年!AR194+参考2_エネ使用量経年!AR281),"")</f>
        <v/>
      </c>
      <c r="AS344" s="954" t="str">
        <f ca="1">IFERROR($I344*44/12*参考2_エネ使用量経年!$I194*(参考2_エネ使用量経年!AS194+参考2_エネ使用量経年!AS281),"")</f>
        <v/>
      </c>
      <c r="AT344" s="954" t="str">
        <f ca="1">IFERROR($J344*44/12*参考2_エネ使用量経年!$J194*(参考2_エネ使用量経年!AT194+参考2_エネ使用量経年!AT281),"")</f>
        <v/>
      </c>
      <c r="AU344" s="954" t="str">
        <f ca="1">IFERROR($K344*44/12*参考2_エネ使用量経年!$K194*(参考2_エネ使用量経年!AU194+参考2_エネ使用量経年!AU281),"")</f>
        <v/>
      </c>
      <c r="AV344" s="954" t="str">
        <f ca="1">IFERROR($H344*44/12*参考2_エネ使用量経年!$H194*(参考2_エネ使用量経年!AV194+参考2_エネ使用量経年!AV281),"")</f>
        <v/>
      </c>
      <c r="AW344" s="954" t="str">
        <f ca="1">IFERROR($I344*44/12*参考2_エネ使用量経年!$I194*(参考2_エネ使用量経年!AW194+参考2_エネ使用量経年!AW281),"")</f>
        <v/>
      </c>
      <c r="AX344" s="954" t="str">
        <f ca="1">IFERROR($J344*44/12*参考2_エネ使用量経年!$J194*(参考2_エネ使用量経年!AX194+参考2_エネ使用量経年!AX281),"")</f>
        <v/>
      </c>
      <c r="AY344" s="954" t="str">
        <f ca="1">IFERROR($K344*44/12*参考2_エネ使用量経年!$K194*(参考2_エネ使用量経年!AY194+参考2_エネ使用量経年!AY281),"")</f>
        <v/>
      </c>
      <c r="AZ344" s="954" t="str">
        <f ca="1">IFERROR($H344*44/12*参考2_エネ使用量経年!$H194*(参考2_エネ使用量経年!AZ194+参考2_エネ使用量経年!AZ281),"")</f>
        <v/>
      </c>
      <c r="BA344" s="954" t="str">
        <f ca="1">IFERROR($I344*44/12*参考2_エネ使用量経年!$I194*(参考2_エネ使用量経年!BA194+参考2_エネ使用量経年!BA281),"")</f>
        <v/>
      </c>
      <c r="BB344" s="954" t="str">
        <f ca="1">IFERROR($J344*44/12*参考2_エネ使用量経年!$J194*(参考2_エネ使用量経年!BB194+参考2_エネ使用量経年!BB281),"")</f>
        <v/>
      </c>
      <c r="BC344" s="954" t="str">
        <f ca="1">IFERROR($K344*44/12*参考2_エネ使用量経年!$K194*(参考2_エネ使用量経年!BC194+参考2_エネ使用量経年!BC281),"")</f>
        <v/>
      </c>
      <c r="BD344" s="954" t="str">
        <f ca="1">IFERROR($H344*44/12*参考2_エネ使用量経年!$H194*(参考2_エネ使用量経年!BD194+参考2_エネ使用量経年!BD281),"")</f>
        <v/>
      </c>
      <c r="BE344" s="954" t="str">
        <f ca="1">IFERROR($I344*44/12*参考2_エネ使用量経年!$I194*(参考2_エネ使用量経年!BE194+参考2_エネ使用量経年!BE281),"")</f>
        <v/>
      </c>
      <c r="BF344" s="954" t="str">
        <f ca="1">IFERROR($J344*44/12*参考2_エネ使用量経年!$J194*(参考2_エネ使用量経年!BF194+参考2_エネ使用量経年!BF281),"")</f>
        <v/>
      </c>
      <c r="BG344" s="954" t="str">
        <f ca="1">IFERROR($K344*44/12*参考2_エネ使用量経年!$K194*(参考2_エネ使用量経年!BG194+参考2_エネ使用量経年!BG281),"")</f>
        <v/>
      </c>
      <c r="BH344" s="954" t="str">
        <f ca="1">IFERROR($H344*44/12*参考2_エネ使用量経年!$H194*(参考2_エネ使用量経年!BH194+参考2_エネ使用量経年!BH281),"")</f>
        <v/>
      </c>
      <c r="BI344" s="954" t="str">
        <f ca="1">IFERROR($I344*44/12*参考2_エネ使用量経年!$I194*(参考2_エネ使用量経年!BI194+参考2_エネ使用量経年!BI281),"")</f>
        <v/>
      </c>
      <c r="BJ344" s="954" t="str">
        <f ca="1">IFERROR($J344*44/12*参考2_エネ使用量経年!$J194*(参考2_エネ使用量経年!BJ194+参考2_エネ使用量経年!BJ281),"")</f>
        <v/>
      </c>
      <c r="BK344" s="954" t="str">
        <f ca="1">IFERROR($K344*44/12*参考2_エネ使用量経年!$K194*(参考2_エネ使用量経年!BK194+参考2_エネ使用量経年!BK281),"")</f>
        <v/>
      </c>
      <c r="BL344" s="954" t="str">
        <f ca="1">IFERROR($H344*44/12*参考2_エネ使用量経年!$H194*(参考2_エネ使用量経年!BL194+参考2_エネ使用量経年!BL281),"")</f>
        <v/>
      </c>
      <c r="BM344" s="954" t="str">
        <f ca="1">IFERROR($I344*44/12*参考2_エネ使用量経年!$I194*(参考2_エネ使用量経年!BM194+参考2_エネ使用量経年!BM281),"")</f>
        <v/>
      </c>
      <c r="BN344" s="954" t="str">
        <f ca="1">IFERROR($J344*44/12*参考2_エネ使用量経年!$J194*(参考2_エネ使用量経年!BN194+参考2_エネ使用量経年!BN281),"")</f>
        <v/>
      </c>
      <c r="BO344" s="954" t="str">
        <f ca="1">IFERROR($K344*44/12*参考2_エネ使用量経年!$K194*(参考2_エネ使用量経年!BO194+参考2_エネ使用量経年!BO281),"")</f>
        <v/>
      </c>
    </row>
    <row r="345" spans="1:67" ht="20.100000000000001" customHeight="1">
      <c r="A345" s="952">
        <v>32</v>
      </c>
      <c r="B345" s="1870"/>
      <c r="C345" s="1872"/>
      <c r="D345" s="824" t="s">
        <v>4172</v>
      </c>
      <c r="E345" s="824"/>
      <c r="F345" s="825"/>
      <c r="G345" s="891" t="s">
        <v>4685</v>
      </c>
      <c r="H345" s="953">
        <f t="shared" ca="1" si="110"/>
        <v>2.64E-2</v>
      </c>
      <c r="I345" s="953">
        <f t="shared" ca="1" si="111"/>
        <v>2.64E-2</v>
      </c>
      <c r="J345" s="953">
        <f t="shared" ca="1" si="112"/>
        <v>2.64E-2</v>
      </c>
      <c r="K345" s="953">
        <f t="shared" ca="1" si="113"/>
        <v>2.64E-2</v>
      </c>
      <c r="L345" s="954">
        <f ca="1">IFERROR($H345*44/12*参考2_エネ使用量経年!$H195*(参考2_エネ使用量経年!L195+参考2_エネ使用量経年!L282),"")</f>
        <v>0</v>
      </c>
      <c r="M345" s="954">
        <f ca="1">IFERROR($I345*44/12*参考2_エネ使用量経年!$I195*(参考2_エネ使用量経年!M195+参考2_エネ使用量経年!M282),"")</f>
        <v>0</v>
      </c>
      <c r="N345" s="954">
        <f ca="1">IFERROR($J345*44/12*参考2_エネ使用量経年!$J195*(参考2_エネ使用量経年!N195+参考2_エネ使用量経年!N282),"")</f>
        <v>0</v>
      </c>
      <c r="O345" s="954">
        <f ca="1">IFERROR($K345*44/12*参考2_エネ使用量経年!$K195*(参考2_エネ使用量経年!O195+参考2_エネ使用量経年!O282),"")</f>
        <v>0</v>
      </c>
      <c r="P345" s="954">
        <f ca="1">IFERROR($H345*44/12*参考2_エネ使用量経年!$H195*(参考2_エネ使用量経年!P195+参考2_エネ使用量経年!P282),"")</f>
        <v>0</v>
      </c>
      <c r="Q345" s="954">
        <f ca="1">IFERROR($I345*44/12*参考2_エネ使用量経年!$I195*(参考2_エネ使用量経年!Q195+参考2_エネ使用量経年!Q282),"")</f>
        <v>0</v>
      </c>
      <c r="R345" s="954">
        <f ca="1">IFERROR($J345*44/12*参考2_エネ使用量経年!$J195*(参考2_エネ使用量経年!R195+参考2_エネ使用量経年!R282),"")</f>
        <v>0</v>
      </c>
      <c r="S345" s="954">
        <f ca="1">IFERROR($K345*44/12*参考2_エネ使用量経年!$K195*(参考2_エネ使用量経年!S195+参考2_エネ使用量経年!S282),"")</f>
        <v>0</v>
      </c>
      <c r="T345" s="954">
        <f ca="1">IFERROR($H345*44/12*参考2_エネ使用量経年!$H195*(参考2_エネ使用量経年!T195+参考2_エネ使用量経年!T282),"")</f>
        <v>0</v>
      </c>
      <c r="U345" s="954">
        <f ca="1">IFERROR($I345*44/12*参考2_エネ使用量経年!$I195*(参考2_エネ使用量経年!U195+参考2_エネ使用量経年!U282),"")</f>
        <v>0</v>
      </c>
      <c r="V345" s="954">
        <f ca="1">IFERROR($J345*44/12*参考2_エネ使用量経年!$J195*(参考2_エネ使用量経年!V195+参考2_エネ使用量経年!V282),"")</f>
        <v>0</v>
      </c>
      <c r="W345" s="954">
        <f ca="1">IFERROR($K345*44/12*参考2_エネ使用量経年!$K195*(参考2_エネ使用量経年!W195+参考2_エネ使用量経年!W282),"")</f>
        <v>0</v>
      </c>
      <c r="X345" s="954">
        <f ca="1">IFERROR($H345*44/12*参考2_エネ使用量経年!$H195*(参考2_エネ使用量経年!X195+参考2_エネ使用量経年!X282),"")</f>
        <v>0</v>
      </c>
      <c r="Y345" s="954">
        <f ca="1">IFERROR($I345*44/12*参考2_エネ使用量経年!$I195*(参考2_エネ使用量経年!Y195+参考2_エネ使用量経年!Y282),"")</f>
        <v>0</v>
      </c>
      <c r="Z345" s="954">
        <f ca="1">IFERROR($J345*44/12*参考2_エネ使用量経年!$J195*(参考2_エネ使用量経年!Z195+参考2_エネ使用量経年!Z282),"")</f>
        <v>0</v>
      </c>
      <c r="AA345" s="954">
        <f ca="1">IFERROR($K345*44/12*参考2_エネ使用量経年!$K195*(参考2_エネ使用量経年!AA195+参考2_エネ使用量経年!AA282),"")</f>
        <v>0</v>
      </c>
      <c r="AB345" s="954" t="str">
        <f ca="1">IFERROR($H345*44/12*参考2_エネ使用量経年!$H195*(参考2_エネ使用量経年!AB195+参考2_エネ使用量経年!AB282),"")</f>
        <v/>
      </c>
      <c r="AC345" s="954" t="str">
        <f ca="1">IFERROR($I345*44/12*参考2_エネ使用量経年!$I195*(参考2_エネ使用量経年!AC195+参考2_エネ使用量経年!AC282),"")</f>
        <v/>
      </c>
      <c r="AD345" s="954" t="str">
        <f ca="1">IFERROR($J345*44/12*参考2_エネ使用量経年!$J195*(参考2_エネ使用量経年!AD195+参考2_エネ使用量経年!AD282),"")</f>
        <v/>
      </c>
      <c r="AE345" s="954" t="str">
        <f ca="1">IFERROR($K345*44/12*参考2_エネ使用量経年!$K195*(参考2_エネ使用量経年!AE195+参考2_エネ使用量経年!AE282),"")</f>
        <v/>
      </c>
      <c r="AF345" s="954" t="str">
        <f ca="1">IFERROR($H345*44/12*参考2_エネ使用量経年!$H195*(参考2_エネ使用量経年!AF195+参考2_エネ使用量経年!AF282),"")</f>
        <v/>
      </c>
      <c r="AG345" s="954" t="str">
        <f ca="1">IFERROR($I345*44/12*参考2_エネ使用量経年!$I195*(参考2_エネ使用量経年!AG195+参考2_エネ使用量経年!AG282),"")</f>
        <v/>
      </c>
      <c r="AH345" s="954" t="str">
        <f ca="1">IFERROR($J345*44/12*参考2_エネ使用量経年!$J195*(参考2_エネ使用量経年!AH195+参考2_エネ使用量経年!AH282),"")</f>
        <v/>
      </c>
      <c r="AI345" s="954" t="str">
        <f ca="1">IFERROR($K345*44/12*参考2_エネ使用量経年!$K195*(参考2_エネ使用量経年!AI195+参考2_エネ使用量経年!AI282),"")</f>
        <v/>
      </c>
      <c r="AJ345" s="954" t="str">
        <f ca="1">IFERROR($H345*44/12*参考2_エネ使用量経年!$H195*(参考2_エネ使用量経年!AJ195+参考2_エネ使用量経年!AJ282),"")</f>
        <v/>
      </c>
      <c r="AK345" s="954" t="str">
        <f ca="1">IFERROR($I345*44/12*参考2_エネ使用量経年!$I195*(参考2_エネ使用量経年!AK195+参考2_エネ使用量経年!AK282),"")</f>
        <v/>
      </c>
      <c r="AL345" s="954" t="str">
        <f ca="1">IFERROR($J345*44/12*参考2_エネ使用量経年!$J195*(参考2_エネ使用量経年!AL195+参考2_エネ使用量経年!AL282),"")</f>
        <v/>
      </c>
      <c r="AM345" s="954" t="str">
        <f ca="1">IFERROR($K345*44/12*参考2_エネ使用量経年!$K195*(参考2_エネ使用量経年!AM195+参考2_エネ使用量経年!AM282),"")</f>
        <v/>
      </c>
      <c r="AN345" s="954" t="str">
        <f ca="1">IFERROR($H345*44/12*参考2_エネ使用量経年!$H195*(参考2_エネ使用量経年!AN195+参考2_エネ使用量経年!AN282),"")</f>
        <v/>
      </c>
      <c r="AO345" s="954" t="str">
        <f ca="1">IFERROR($I345*44/12*参考2_エネ使用量経年!$I195*(参考2_エネ使用量経年!AO195+参考2_エネ使用量経年!AO282),"")</f>
        <v/>
      </c>
      <c r="AP345" s="954" t="str">
        <f ca="1">IFERROR($J345*44/12*参考2_エネ使用量経年!$J195*(参考2_エネ使用量経年!AP195+参考2_エネ使用量経年!AP282),"")</f>
        <v/>
      </c>
      <c r="AQ345" s="954" t="str">
        <f ca="1">IFERROR($K345*44/12*参考2_エネ使用量経年!$K195*(参考2_エネ使用量経年!AQ195+参考2_エネ使用量経年!AQ282),"")</f>
        <v/>
      </c>
      <c r="AR345" s="954" t="str">
        <f ca="1">IFERROR($H345*44/12*参考2_エネ使用量経年!$H195*(参考2_エネ使用量経年!AR195+参考2_エネ使用量経年!AR282),"")</f>
        <v/>
      </c>
      <c r="AS345" s="954" t="str">
        <f ca="1">IFERROR($I345*44/12*参考2_エネ使用量経年!$I195*(参考2_エネ使用量経年!AS195+参考2_エネ使用量経年!AS282),"")</f>
        <v/>
      </c>
      <c r="AT345" s="954" t="str">
        <f ca="1">IFERROR($J345*44/12*参考2_エネ使用量経年!$J195*(参考2_エネ使用量経年!AT195+参考2_エネ使用量経年!AT282),"")</f>
        <v/>
      </c>
      <c r="AU345" s="954" t="str">
        <f ca="1">IFERROR($K345*44/12*参考2_エネ使用量経年!$K195*(参考2_エネ使用量経年!AU195+参考2_エネ使用量経年!AU282),"")</f>
        <v/>
      </c>
      <c r="AV345" s="954" t="str">
        <f ca="1">IFERROR($H345*44/12*参考2_エネ使用量経年!$H195*(参考2_エネ使用量経年!AV195+参考2_エネ使用量経年!AV282),"")</f>
        <v/>
      </c>
      <c r="AW345" s="954" t="str">
        <f ca="1">IFERROR($I345*44/12*参考2_エネ使用量経年!$I195*(参考2_エネ使用量経年!AW195+参考2_エネ使用量経年!AW282),"")</f>
        <v/>
      </c>
      <c r="AX345" s="954" t="str">
        <f ca="1">IFERROR($J345*44/12*参考2_エネ使用量経年!$J195*(参考2_エネ使用量経年!AX195+参考2_エネ使用量経年!AX282),"")</f>
        <v/>
      </c>
      <c r="AY345" s="954" t="str">
        <f ca="1">IFERROR($K345*44/12*参考2_エネ使用量経年!$K195*(参考2_エネ使用量経年!AY195+参考2_エネ使用量経年!AY282),"")</f>
        <v/>
      </c>
      <c r="AZ345" s="954" t="str">
        <f ca="1">IFERROR($H345*44/12*参考2_エネ使用量経年!$H195*(参考2_エネ使用量経年!AZ195+参考2_エネ使用量経年!AZ282),"")</f>
        <v/>
      </c>
      <c r="BA345" s="954" t="str">
        <f ca="1">IFERROR($I345*44/12*参考2_エネ使用量経年!$I195*(参考2_エネ使用量経年!BA195+参考2_エネ使用量経年!BA282),"")</f>
        <v/>
      </c>
      <c r="BB345" s="954" t="str">
        <f ca="1">IFERROR($J345*44/12*参考2_エネ使用量経年!$J195*(参考2_エネ使用量経年!BB195+参考2_エネ使用量経年!BB282),"")</f>
        <v/>
      </c>
      <c r="BC345" s="954" t="str">
        <f ca="1">IFERROR($K345*44/12*参考2_エネ使用量経年!$K195*(参考2_エネ使用量経年!BC195+参考2_エネ使用量経年!BC282),"")</f>
        <v/>
      </c>
      <c r="BD345" s="954" t="str">
        <f ca="1">IFERROR($H345*44/12*参考2_エネ使用量経年!$H195*(参考2_エネ使用量経年!BD195+参考2_エネ使用量経年!BD282),"")</f>
        <v/>
      </c>
      <c r="BE345" s="954" t="str">
        <f ca="1">IFERROR($I345*44/12*参考2_エネ使用量経年!$I195*(参考2_エネ使用量経年!BE195+参考2_エネ使用量経年!BE282),"")</f>
        <v/>
      </c>
      <c r="BF345" s="954" t="str">
        <f ca="1">IFERROR($J345*44/12*参考2_エネ使用量経年!$J195*(参考2_エネ使用量経年!BF195+参考2_エネ使用量経年!BF282),"")</f>
        <v/>
      </c>
      <c r="BG345" s="954" t="str">
        <f ca="1">IFERROR($K345*44/12*参考2_エネ使用量経年!$K195*(参考2_エネ使用量経年!BG195+参考2_エネ使用量経年!BG282),"")</f>
        <v/>
      </c>
      <c r="BH345" s="954" t="str">
        <f ca="1">IFERROR($H345*44/12*参考2_エネ使用量経年!$H195*(参考2_エネ使用量経年!BH195+参考2_エネ使用量経年!BH282),"")</f>
        <v/>
      </c>
      <c r="BI345" s="954" t="str">
        <f ca="1">IFERROR($I345*44/12*参考2_エネ使用量経年!$I195*(参考2_エネ使用量経年!BI195+参考2_エネ使用量経年!BI282),"")</f>
        <v/>
      </c>
      <c r="BJ345" s="954" t="str">
        <f ca="1">IFERROR($J345*44/12*参考2_エネ使用量経年!$J195*(参考2_エネ使用量経年!BJ195+参考2_エネ使用量経年!BJ282),"")</f>
        <v/>
      </c>
      <c r="BK345" s="954" t="str">
        <f ca="1">IFERROR($K345*44/12*参考2_エネ使用量経年!$K195*(参考2_エネ使用量経年!BK195+参考2_エネ使用量経年!BK282),"")</f>
        <v/>
      </c>
      <c r="BL345" s="954" t="str">
        <f ca="1">IFERROR($H345*44/12*参考2_エネ使用量経年!$H195*(参考2_エネ使用量経年!BL195+参考2_エネ使用量経年!BL282),"")</f>
        <v/>
      </c>
      <c r="BM345" s="954" t="str">
        <f ca="1">IFERROR($I345*44/12*参考2_エネ使用量経年!$I195*(参考2_エネ使用量経年!BM195+参考2_エネ使用量経年!BM282),"")</f>
        <v/>
      </c>
      <c r="BN345" s="954" t="str">
        <f ca="1">IFERROR($J345*44/12*参考2_エネ使用量経年!$J195*(参考2_エネ使用量経年!BN195+参考2_エネ使用量経年!BN282),"")</f>
        <v/>
      </c>
      <c r="BO345" s="954" t="str">
        <f ca="1">IFERROR($K345*44/12*参考2_エネ使用量経年!$K195*(参考2_エネ使用量経年!BO195+参考2_エネ使用量経年!BO282),"")</f>
        <v/>
      </c>
    </row>
    <row r="346" spans="1:67" ht="20.100000000000001" customHeight="1">
      <c r="A346" s="952">
        <v>33</v>
      </c>
      <c r="B346" s="1870"/>
      <c r="C346" s="1872"/>
      <c r="D346" s="824" t="s">
        <v>4404</v>
      </c>
      <c r="E346" s="824"/>
      <c r="F346" s="825"/>
      <c r="G346" s="891" t="s">
        <v>4685</v>
      </c>
      <c r="H346" s="953">
        <f t="shared" ca="1" si="110"/>
        <v>2.64E-2</v>
      </c>
      <c r="I346" s="953">
        <f t="shared" ca="1" si="111"/>
        <v>2.64E-2</v>
      </c>
      <c r="J346" s="953">
        <f t="shared" ca="1" si="112"/>
        <v>2.64E-2</v>
      </c>
      <c r="K346" s="953">
        <f t="shared" ca="1" si="113"/>
        <v>2.64E-2</v>
      </c>
      <c r="L346" s="954">
        <f ca="1">IFERROR($H346*44/12*参考2_エネ使用量経年!$H196*(参考2_エネ使用量経年!L196+参考2_エネ使用量経年!L283),"")</f>
        <v>0</v>
      </c>
      <c r="M346" s="954">
        <f ca="1">IFERROR($I346*44/12*参考2_エネ使用量経年!$I196*(参考2_エネ使用量経年!M196+参考2_エネ使用量経年!M283),"")</f>
        <v>0</v>
      </c>
      <c r="N346" s="954">
        <f ca="1">IFERROR($J346*44/12*参考2_エネ使用量経年!$J196*(参考2_エネ使用量経年!N196+参考2_エネ使用量経年!N283),"")</f>
        <v>0</v>
      </c>
      <c r="O346" s="954">
        <f ca="1">IFERROR($K346*44/12*参考2_エネ使用量経年!$K196*(参考2_エネ使用量経年!O196+参考2_エネ使用量経年!O283),"")</f>
        <v>0</v>
      </c>
      <c r="P346" s="954">
        <f ca="1">IFERROR($H346*44/12*参考2_エネ使用量経年!$H196*(参考2_エネ使用量経年!P196+参考2_エネ使用量経年!P283),"")</f>
        <v>0</v>
      </c>
      <c r="Q346" s="954">
        <f ca="1">IFERROR($I346*44/12*参考2_エネ使用量経年!$I196*(参考2_エネ使用量経年!Q196+参考2_エネ使用量経年!Q283),"")</f>
        <v>0</v>
      </c>
      <c r="R346" s="954">
        <f ca="1">IFERROR($J346*44/12*参考2_エネ使用量経年!$J196*(参考2_エネ使用量経年!R196+参考2_エネ使用量経年!R283),"")</f>
        <v>0</v>
      </c>
      <c r="S346" s="954">
        <f ca="1">IFERROR($K346*44/12*参考2_エネ使用量経年!$K196*(参考2_エネ使用量経年!S196+参考2_エネ使用量経年!S283),"")</f>
        <v>0</v>
      </c>
      <c r="T346" s="954">
        <f ca="1">IFERROR($H346*44/12*参考2_エネ使用量経年!$H196*(参考2_エネ使用量経年!T196+参考2_エネ使用量経年!T283),"")</f>
        <v>0</v>
      </c>
      <c r="U346" s="954">
        <f ca="1">IFERROR($I346*44/12*参考2_エネ使用量経年!$I196*(参考2_エネ使用量経年!U196+参考2_エネ使用量経年!U283),"")</f>
        <v>0</v>
      </c>
      <c r="V346" s="954">
        <f ca="1">IFERROR($J346*44/12*参考2_エネ使用量経年!$J196*(参考2_エネ使用量経年!V196+参考2_エネ使用量経年!V283),"")</f>
        <v>0</v>
      </c>
      <c r="W346" s="954">
        <f ca="1">IFERROR($K346*44/12*参考2_エネ使用量経年!$K196*(参考2_エネ使用量経年!W196+参考2_エネ使用量経年!W283),"")</f>
        <v>0</v>
      </c>
      <c r="X346" s="954">
        <f ca="1">IFERROR($H346*44/12*参考2_エネ使用量経年!$H196*(参考2_エネ使用量経年!X196+参考2_エネ使用量経年!X283),"")</f>
        <v>0</v>
      </c>
      <c r="Y346" s="954">
        <f ca="1">IFERROR($I346*44/12*参考2_エネ使用量経年!$I196*(参考2_エネ使用量経年!Y196+参考2_エネ使用量経年!Y283),"")</f>
        <v>0</v>
      </c>
      <c r="Z346" s="954">
        <f ca="1">IFERROR($J346*44/12*参考2_エネ使用量経年!$J196*(参考2_エネ使用量経年!Z196+参考2_エネ使用量経年!Z283),"")</f>
        <v>0</v>
      </c>
      <c r="AA346" s="954">
        <f ca="1">IFERROR($K346*44/12*参考2_エネ使用量経年!$K196*(参考2_エネ使用量経年!AA196+参考2_エネ使用量経年!AA283),"")</f>
        <v>0</v>
      </c>
      <c r="AB346" s="954" t="str">
        <f ca="1">IFERROR($H346*44/12*参考2_エネ使用量経年!$H196*(参考2_エネ使用量経年!AB196+参考2_エネ使用量経年!AB283),"")</f>
        <v/>
      </c>
      <c r="AC346" s="954" t="str">
        <f ca="1">IFERROR($I346*44/12*参考2_エネ使用量経年!$I196*(参考2_エネ使用量経年!AC196+参考2_エネ使用量経年!AC283),"")</f>
        <v/>
      </c>
      <c r="AD346" s="954" t="str">
        <f ca="1">IFERROR($J346*44/12*参考2_エネ使用量経年!$J196*(参考2_エネ使用量経年!AD196+参考2_エネ使用量経年!AD283),"")</f>
        <v/>
      </c>
      <c r="AE346" s="954" t="str">
        <f ca="1">IFERROR($K346*44/12*参考2_エネ使用量経年!$K196*(参考2_エネ使用量経年!AE196+参考2_エネ使用量経年!AE283),"")</f>
        <v/>
      </c>
      <c r="AF346" s="954" t="str">
        <f ca="1">IFERROR($H346*44/12*参考2_エネ使用量経年!$H196*(参考2_エネ使用量経年!AF196+参考2_エネ使用量経年!AF283),"")</f>
        <v/>
      </c>
      <c r="AG346" s="954" t="str">
        <f ca="1">IFERROR($I346*44/12*参考2_エネ使用量経年!$I196*(参考2_エネ使用量経年!AG196+参考2_エネ使用量経年!AG283),"")</f>
        <v/>
      </c>
      <c r="AH346" s="954" t="str">
        <f ca="1">IFERROR($J346*44/12*参考2_エネ使用量経年!$J196*(参考2_エネ使用量経年!AH196+参考2_エネ使用量経年!AH283),"")</f>
        <v/>
      </c>
      <c r="AI346" s="954" t="str">
        <f ca="1">IFERROR($K346*44/12*参考2_エネ使用量経年!$K196*(参考2_エネ使用量経年!AI196+参考2_エネ使用量経年!AI283),"")</f>
        <v/>
      </c>
      <c r="AJ346" s="954" t="str">
        <f ca="1">IFERROR($H346*44/12*参考2_エネ使用量経年!$H196*(参考2_エネ使用量経年!AJ196+参考2_エネ使用量経年!AJ283),"")</f>
        <v/>
      </c>
      <c r="AK346" s="954" t="str">
        <f ca="1">IFERROR($I346*44/12*参考2_エネ使用量経年!$I196*(参考2_エネ使用量経年!AK196+参考2_エネ使用量経年!AK283),"")</f>
        <v/>
      </c>
      <c r="AL346" s="954" t="str">
        <f ca="1">IFERROR($J346*44/12*参考2_エネ使用量経年!$J196*(参考2_エネ使用量経年!AL196+参考2_エネ使用量経年!AL283),"")</f>
        <v/>
      </c>
      <c r="AM346" s="954" t="str">
        <f ca="1">IFERROR($K346*44/12*参考2_エネ使用量経年!$K196*(参考2_エネ使用量経年!AM196+参考2_エネ使用量経年!AM283),"")</f>
        <v/>
      </c>
      <c r="AN346" s="954" t="str">
        <f ca="1">IFERROR($H346*44/12*参考2_エネ使用量経年!$H196*(参考2_エネ使用量経年!AN196+参考2_エネ使用量経年!AN283),"")</f>
        <v/>
      </c>
      <c r="AO346" s="954" t="str">
        <f ca="1">IFERROR($I346*44/12*参考2_エネ使用量経年!$I196*(参考2_エネ使用量経年!AO196+参考2_エネ使用量経年!AO283),"")</f>
        <v/>
      </c>
      <c r="AP346" s="954" t="str">
        <f ca="1">IFERROR($J346*44/12*参考2_エネ使用量経年!$J196*(参考2_エネ使用量経年!AP196+参考2_エネ使用量経年!AP283),"")</f>
        <v/>
      </c>
      <c r="AQ346" s="954" t="str">
        <f ca="1">IFERROR($K346*44/12*参考2_エネ使用量経年!$K196*(参考2_エネ使用量経年!AQ196+参考2_エネ使用量経年!AQ283),"")</f>
        <v/>
      </c>
      <c r="AR346" s="954" t="str">
        <f ca="1">IFERROR($H346*44/12*参考2_エネ使用量経年!$H196*(参考2_エネ使用量経年!AR196+参考2_エネ使用量経年!AR283),"")</f>
        <v/>
      </c>
      <c r="AS346" s="954" t="str">
        <f ca="1">IFERROR($I346*44/12*参考2_エネ使用量経年!$I196*(参考2_エネ使用量経年!AS196+参考2_エネ使用量経年!AS283),"")</f>
        <v/>
      </c>
      <c r="AT346" s="954" t="str">
        <f ca="1">IFERROR($J346*44/12*参考2_エネ使用量経年!$J196*(参考2_エネ使用量経年!AT196+参考2_エネ使用量経年!AT283),"")</f>
        <v/>
      </c>
      <c r="AU346" s="954" t="str">
        <f ca="1">IFERROR($K346*44/12*参考2_エネ使用量経年!$K196*(参考2_エネ使用量経年!AU196+参考2_エネ使用量経年!AU283),"")</f>
        <v/>
      </c>
      <c r="AV346" s="954" t="str">
        <f ca="1">IFERROR($H346*44/12*参考2_エネ使用量経年!$H196*(参考2_エネ使用量経年!AV196+参考2_エネ使用量経年!AV283),"")</f>
        <v/>
      </c>
      <c r="AW346" s="954" t="str">
        <f ca="1">IFERROR($I346*44/12*参考2_エネ使用量経年!$I196*(参考2_エネ使用量経年!AW196+参考2_エネ使用量経年!AW283),"")</f>
        <v/>
      </c>
      <c r="AX346" s="954" t="str">
        <f ca="1">IFERROR($J346*44/12*参考2_エネ使用量経年!$J196*(参考2_エネ使用量経年!AX196+参考2_エネ使用量経年!AX283),"")</f>
        <v/>
      </c>
      <c r="AY346" s="954" t="str">
        <f ca="1">IFERROR($K346*44/12*参考2_エネ使用量経年!$K196*(参考2_エネ使用量経年!AY196+参考2_エネ使用量経年!AY283),"")</f>
        <v/>
      </c>
      <c r="AZ346" s="954" t="str">
        <f ca="1">IFERROR($H346*44/12*参考2_エネ使用量経年!$H196*(参考2_エネ使用量経年!AZ196+参考2_エネ使用量経年!AZ283),"")</f>
        <v/>
      </c>
      <c r="BA346" s="954" t="str">
        <f ca="1">IFERROR($I346*44/12*参考2_エネ使用量経年!$I196*(参考2_エネ使用量経年!BA196+参考2_エネ使用量経年!BA283),"")</f>
        <v/>
      </c>
      <c r="BB346" s="954" t="str">
        <f ca="1">IFERROR($J346*44/12*参考2_エネ使用量経年!$J196*(参考2_エネ使用量経年!BB196+参考2_エネ使用量経年!BB283),"")</f>
        <v/>
      </c>
      <c r="BC346" s="954" t="str">
        <f ca="1">IFERROR($K346*44/12*参考2_エネ使用量経年!$K196*(参考2_エネ使用量経年!BC196+参考2_エネ使用量経年!BC283),"")</f>
        <v/>
      </c>
      <c r="BD346" s="954" t="str">
        <f ca="1">IFERROR($H346*44/12*参考2_エネ使用量経年!$H196*(参考2_エネ使用量経年!BD196+参考2_エネ使用量経年!BD283),"")</f>
        <v/>
      </c>
      <c r="BE346" s="954" t="str">
        <f ca="1">IFERROR($I346*44/12*参考2_エネ使用量経年!$I196*(参考2_エネ使用量経年!BE196+参考2_エネ使用量経年!BE283),"")</f>
        <v/>
      </c>
      <c r="BF346" s="954" t="str">
        <f ca="1">IFERROR($J346*44/12*参考2_エネ使用量経年!$J196*(参考2_エネ使用量経年!BF196+参考2_エネ使用量経年!BF283),"")</f>
        <v/>
      </c>
      <c r="BG346" s="954" t="str">
        <f ca="1">IFERROR($K346*44/12*参考2_エネ使用量経年!$K196*(参考2_エネ使用量経年!BG196+参考2_エネ使用量経年!BG283),"")</f>
        <v/>
      </c>
      <c r="BH346" s="954" t="str">
        <f ca="1">IFERROR($H346*44/12*参考2_エネ使用量経年!$H196*(参考2_エネ使用量経年!BH196+参考2_エネ使用量経年!BH283),"")</f>
        <v/>
      </c>
      <c r="BI346" s="954" t="str">
        <f ca="1">IFERROR($I346*44/12*参考2_エネ使用量経年!$I196*(参考2_エネ使用量経年!BI196+参考2_エネ使用量経年!BI283),"")</f>
        <v/>
      </c>
      <c r="BJ346" s="954" t="str">
        <f ca="1">IFERROR($J346*44/12*参考2_エネ使用量経年!$J196*(参考2_エネ使用量経年!BJ196+参考2_エネ使用量経年!BJ283),"")</f>
        <v/>
      </c>
      <c r="BK346" s="954" t="str">
        <f ca="1">IFERROR($K346*44/12*参考2_エネ使用量経年!$K196*(参考2_エネ使用量経年!BK196+参考2_エネ使用量経年!BK283),"")</f>
        <v/>
      </c>
      <c r="BL346" s="954" t="str">
        <f ca="1">IFERROR($H346*44/12*参考2_エネ使用量経年!$H196*(参考2_エネ使用量経年!BL196+参考2_エネ使用量経年!BL283),"")</f>
        <v/>
      </c>
      <c r="BM346" s="954" t="str">
        <f ca="1">IFERROR($I346*44/12*参考2_エネ使用量経年!$I196*(参考2_エネ使用量経年!BM196+参考2_エネ使用量経年!BM283),"")</f>
        <v/>
      </c>
      <c r="BN346" s="954" t="str">
        <f ca="1">IFERROR($J346*44/12*参考2_エネ使用量経年!$J196*(参考2_エネ使用量経年!BN196+参考2_エネ使用量経年!BN283),"")</f>
        <v/>
      </c>
      <c r="BO346" s="954" t="str">
        <f ca="1">IFERROR($K346*44/12*参考2_エネ使用量経年!$K196*(参考2_エネ使用量経年!BO196+参考2_エネ使用量経年!BO283),"")</f>
        <v/>
      </c>
    </row>
    <row r="347" spans="1:67" ht="20.100000000000001" customHeight="1">
      <c r="A347" s="952">
        <v>34</v>
      </c>
      <c r="B347" s="1870"/>
      <c r="C347" s="1872"/>
      <c r="D347" s="824" t="s">
        <v>4174</v>
      </c>
      <c r="E347" s="824"/>
      <c r="F347" s="825"/>
      <c r="G347" s="891" t="s">
        <v>4685</v>
      </c>
      <c r="H347" s="953">
        <f t="shared" ca="1" si="110"/>
        <v>4.2000000000000003E-2</v>
      </c>
      <c r="I347" s="953">
        <f t="shared" ca="1" si="111"/>
        <v>4.2000000000000003E-2</v>
      </c>
      <c r="J347" s="953">
        <f t="shared" ca="1" si="112"/>
        <v>4.2000000000000003E-2</v>
      </c>
      <c r="K347" s="953">
        <f t="shared" ca="1" si="113"/>
        <v>4.2000000000000003E-2</v>
      </c>
      <c r="L347" s="954">
        <f ca="1">IFERROR($H347*44/12*参考2_エネ使用量経年!$H197*(参考2_エネ使用量経年!L197+参考2_エネ使用量経年!L284),"")</f>
        <v>0</v>
      </c>
      <c r="M347" s="954">
        <f ca="1">IFERROR($I347*44/12*参考2_エネ使用量経年!$I197*(参考2_エネ使用量経年!M197+参考2_エネ使用量経年!M284),"")</f>
        <v>0</v>
      </c>
      <c r="N347" s="954">
        <f ca="1">IFERROR($J347*44/12*参考2_エネ使用量経年!$J197*(参考2_エネ使用量経年!N197+参考2_エネ使用量経年!N284),"")</f>
        <v>0</v>
      </c>
      <c r="O347" s="954">
        <f ca="1">IFERROR($K347*44/12*参考2_エネ使用量経年!$K197*(参考2_エネ使用量経年!O197+参考2_エネ使用量経年!O284),"")</f>
        <v>0</v>
      </c>
      <c r="P347" s="954">
        <f ca="1">IFERROR($H347*44/12*参考2_エネ使用量経年!$H197*(参考2_エネ使用量経年!P197+参考2_エネ使用量経年!P284),"")</f>
        <v>0</v>
      </c>
      <c r="Q347" s="954">
        <f ca="1">IFERROR($I347*44/12*参考2_エネ使用量経年!$I197*(参考2_エネ使用量経年!Q197+参考2_エネ使用量経年!Q284),"")</f>
        <v>0</v>
      </c>
      <c r="R347" s="954">
        <f ca="1">IFERROR($J347*44/12*参考2_エネ使用量経年!$J197*(参考2_エネ使用量経年!R197+参考2_エネ使用量経年!R284),"")</f>
        <v>0</v>
      </c>
      <c r="S347" s="954">
        <f ca="1">IFERROR($K347*44/12*参考2_エネ使用量経年!$K197*(参考2_エネ使用量経年!S197+参考2_エネ使用量経年!S284),"")</f>
        <v>0</v>
      </c>
      <c r="T347" s="954">
        <f ca="1">IFERROR($H347*44/12*参考2_エネ使用量経年!$H197*(参考2_エネ使用量経年!T197+参考2_エネ使用量経年!T284),"")</f>
        <v>0</v>
      </c>
      <c r="U347" s="954">
        <f ca="1">IFERROR($I347*44/12*参考2_エネ使用量経年!$I197*(参考2_エネ使用量経年!U197+参考2_エネ使用量経年!U284),"")</f>
        <v>0</v>
      </c>
      <c r="V347" s="954">
        <f ca="1">IFERROR($J347*44/12*参考2_エネ使用量経年!$J197*(参考2_エネ使用量経年!V197+参考2_エネ使用量経年!V284),"")</f>
        <v>0</v>
      </c>
      <c r="W347" s="954">
        <f ca="1">IFERROR($K347*44/12*参考2_エネ使用量経年!$K197*(参考2_エネ使用量経年!W197+参考2_エネ使用量経年!W284),"")</f>
        <v>0</v>
      </c>
      <c r="X347" s="954">
        <f ca="1">IFERROR($H347*44/12*参考2_エネ使用量経年!$H197*(参考2_エネ使用量経年!X197+参考2_エネ使用量経年!X284),"")</f>
        <v>0</v>
      </c>
      <c r="Y347" s="954">
        <f ca="1">IFERROR($I347*44/12*参考2_エネ使用量経年!$I197*(参考2_エネ使用量経年!Y197+参考2_エネ使用量経年!Y284),"")</f>
        <v>0</v>
      </c>
      <c r="Z347" s="954">
        <f ca="1">IFERROR($J347*44/12*参考2_エネ使用量経年!$J197*(参考2_エネ使用量経年!Z197+参考2_エネ使用量経年!Z284),"")</f>
        <v>0</v>
      </c>
      <c r="AA347" s="954">
        <f ca="1">IFERROR($K347*44/12*参考2_エネ使用量経年!$K197*(参考2_エネ使用量経年!AA197+参考2_エネ使用量経年!AA284),"")</f>
        <v>0</v>
      </c>
      <c r="AB347" s="954" t="str">
        <f ca="1">IFERROR($H347*44/12*参考2_エネ使用量経年!$H197*(参考2_エネ使用量経年!AB197+参考2_エネ使用量経年!AB284),"")</f>
        <v/>
      </c>
      <c r="AC347" s="954" t="str">
        <f ca="1">IFERROR($I347*44/12*参考2_エネ使用量経年!$I197*(参考2_エネ使用量経年!AC197+参考2_エネ使用量経年!AC284),"")</f>
        <v/>
      </c>
      <c r="AD347" s="954" t="str">
        <f ca="1">IFERROR($J347*44/12*参考2_エネ使用量経年!$J197*(参考2_エネ使用量経年!AD197+参考2_エネ使用量経年!AD284),"")</f>
        <v/>
      </c>
      <c r="AE347" s="954" t="str">
        <f ca="1">IFERROR($K347*44/12*参考2_エネ使用量経年!$K197*(参考2_エネ使用量経年!AE197+参考2_エネ使用量経年!AE284),"")</f>
        <v/>
      </c>
      <c r="AF347" s="954" t="str">
        <f ca="1">IFERROR($H347*44/12*参考2_エネ使用量経年!$H197*(参考2_エネ使用量経年!AF197+参考2_エネ使用量経年!AF284),"")</f>
        <v/>
      </c>
      <c r="AG347" s="954" t="str">
        <f ca="1">IFERROR($I347*44/12*参考2_エネ使用量経年!$I197*(参考2_エネ使用量経年!AG197+参考2_エネ使用量経年!AG284),"")</f>
        <v/>
      </c>
      <c r="AH347" s="954" t="str">
        <f ca="1">IFERROR($J347*44/12*参考2_エネ使用量経年!$J197*(参考2_エネ使用量経年!AH197+参考2_エネ使用量経年!AH284),"")</f>
        <v/>
      </c>
      <c r="AI347" s="954" t="str">
        <f ca="1">IFERROR($K347*44/12*参考2_エネ使用量経年!$K197*(参考2_エネ使用量経年!AI197+参考2_エネ使用量経年!AI284),"")</f>
        <v/>
      </c>
      <c r="AJ347" s="954" t="str">
        <f ca="1">IFERROR($H347*44/12*参考2_エネ使用量経年!$H197*(参考2_エネ使用量経年!AJ197+参考2_エネ使用量経年!AJ284),"")</f>
        <v/>
      </c>
      <c r="AK347" s="954" t="str">
        <f ca="1">IFERROR($I347*44/12*参考2_エネ使用量経年!$I197*(参考2_エネ使用量経年!AK197+参考2_エネ使用量経年!AK284),"")</f>
        <v/>
      </c>
      <c r="AL347" s="954" t="str">
        <f ca="1">IFERROR($J347*44/12*参考2_エネ使用量経年!$J197*(参考2_エネ使用量経年!AL197+参考2_エネ使用量経年!AL284),"")</f>
        <v/>
      </c>
      <c r="AM347" s="954" t="str">
        <f ca="1">IFERROR($K347*44/12*参考2_エネ使用量経年!$K197*(参考2_エネ使用量経年!AM197+参考2_エネ使用量経年!AM284),"")</f>
        <v/>
      </c>
      <c r="AN347" s="954" t="str">
        <f ca="1">IFERROR($H347*44/12*参考2_エネ使用量経年!$H197*(参考2_エネ使用量経年!AN197+参考2_エネ使用量経年!AN284),"")</f>
        <v/>
      </c>
      <c r="AO347" s="954" t="str">
        <f ca="1">IFERROR($I347*44/12*参考2_エネ使用量経年!$I197*(参考2_エネ使用量経年!AO197+参考2_エネ使用量経年!AO284),"")</f>
        <v/>
      </c>
      <c r="AP347" s="954" t="str">
        <f ca="1">IFERROR($J347*44/12*参考2_エネ使用量経年!$J197*(参考2_エネ使用量経年!AP197+参考2_エネ使用量経年!AP284),"")</f>
        <v/>
      </c>
      <c r="AQ347" s="954" t="str">
        <f ca="1">IFERROR($K347*44/12*参考2_エネ使用量経年!$K197*(参考2_エネ使用量経年!AQ197+参考2_エネ使用量経年!AQ284),"")</f>
        <v/>
      </c>
      <c r="AR347" s="954" t="str">
        <f ca="1">IFERROR($H347*44/12*参考2_エネ使用量経年!$H197*(参考2_エネ使用量経年!AR197+参考2_エネ使用量経年!AR284),"")</f>
        <v/>
      </c>
      <c r="AS347" s="954" t="str">
        <f ca="1">IFERROR($I347*44/12*参考2_エネ使用量経年!$I197*(参考2_エネ使用量経年!AS197+参考2_エネ使用量経年!AS284),"")</f>
        <v/>
      </c>
      <c r="AT347" s="954" t="str">
        <f ca="1">IFERROR($J347*44/12*参考2_エネ使用量経年!$J197*(参考2_エネ使用量経年!AT197+参考2_エネ使用量経年!AT284),"")</f>
        <v/>
      </c>
      <c r="AU347" s="954" t="str">
        <f ca="1">IFERROR($K347*44/12*参考2_エネ使用量経年!$K197*(参考2_エネ使用量経年!AU197+参考2_エネ使用量経年!AU284),"")</f>
        <v/>
      </c>
      <c r="AV347" s="954" t="str">
        <f ca="1">IFERROR($H347*44/12*参考2_エネ使用量経年!$H197*(参考2_エネ使用量経年!AV197+参考2_エネ使用量経年!AV284),"")</f>
        <v/>
      </c>
      <c r="AW347" s="954" t="str">
        <f ca="1">IFERROR($I347*44/12*参考2_エネ使用量経年!$I197*(参考2_エネ使用量経年!AW197+参考2_エネ使用量経年!AW284),"")</f>
        <v/>
      </c>
      <c r="AX347" s="954" t="str">
        <f ca="1">IFERROR($J347*44/12*参考2_エネ使用量経年!$J197*(参考2_エネ使用量経年!AX197+参考2_エネ使用量経年!AX284),"")</f>
        <v/>
      </c>
      <c r="AY347" s="954" t="str">
        <f ca="1">IFERROR($K347*44/12*参考2_エネ使用量経年!$K197*(参考2_エネ使用量経年!AY197+参考2_エネ使用量経年!AY284),"")</f>
        <v/>
      </c>
      <c r="AZ347" s="954" t="str">
        <f ca="1">IFERROR($H347*44/12*参考2_エネ使用量経年!$H197*(参考2_エネ使用量経年!AZ197+参考2_エネ使用量経年!AZ284),"")</f>
        <v/>
      </c>
      <c r="BA347" s="954" t="str">
        <f ca="1">IFERROR($I347*44/12*参考2_エネ使用量経年!$I197*(参考2_エネ使用量経年!BA197+参考2_エネ使用量経年!BA284),"")</f>
        <v/>
      </c>
      <c r="BB347" s="954" t="str">
        <f ca="1">IFERROR($J347*44/12*参考2_エネ使用量経年!$J197*(参考2_エネ使用量経年!BB197+参考2_エネ使用量経年!BB284),"")</f>
        <v/>
      </c>
      <c r="BC347" s="954" t="str">
        <f ca="1">IFERROR($K347*44/12*参考2_エネ使用量経年!$K197*(参考2_エネ使用量経年!BC197+参考2_エネ使用量経年!BC284),"")</f>
        <v/>
      </c>
      <c r="BD347" s="954" t="str">
        <f ca="1">IFERROR($H347*44/12*参考2_エネ使用量経年!$H197*(参考2_エネ使用量経年!BD197+参考2_エネ使用量経年!BD284),"")</f>
        <v/>
      </c>
      <c r="BE347" s="954" t="str">
        <f ca="1">IFERROR($I347*44/12*参考2_エネ使用量経年!$I197*(参考2_エネ使用量経年!BE197+参考2_エネ使用量経年!BE284),"")</f>
        <v/>
      </c>
      <c r="BF347" s="954" t="str">
        <f ca="1">IFERROR($J347*44/12*参考2_エネ使用量経年!$J197*(参考2_エネ使用量経年!BF197+参考2_エネ使用量経年!BF284),"")</f>
        <v/>
      </c>
      <c r="BG347" s="954" t="str">
        <f ca="1">IFERROR($K347*44/12*参考2_エネ使用量経年!$K197*(参考2_エネ使用量経年!BG197+参考2_エネ使用量経年!BG284),"")</f>
        <v/>
      </c>
      <c r="BH347" s="954" t="str">
        <f ca="1">IFERROR($H347*44/12*参考2_エネ使用量経年!$H197*(参考2_エネ使用量経年!BH197+参考2_エネ使用量経年!BH284),"")</f>
        <v/>
      </c>
      <c r="BI347" s="954" t="str">
        <f ca="1">IFERROR($I347*44/12*参考2_エネ使用量経年!$I197*(参考2_エネ使用量経年!BI197+参考2_エネ使用量経年!BI284),"")</f>
        <v/>
      </c>
      <c r="BJ347" s="954" t="str">
        <f ca="1">IFERROR($J347*44/12*参考2_エネ使用量経年!$J197*(参考2_エネ使用量経年!BJ197+参考2_エネ使用量経年!BJ284),"")</f>
        <v/>
      </c>
      <c r="BK347" s="954" t="str">
        <f ca="1">IFERROR($K347*44/12*参考2_エネ使用量経年!$K197*(参考2_エネ使用量経年!BK197+参考2_エネ使用量経年!BK284),"")</f>
        <v/>
      </c>
      <c r="BL347" s="954" t="str">
        <f ca="1">IFERROR($H347*44/12*参考2_エネ使用量経年!$H197*(参考2_エネ使用量経年!BL197+参考2_エネ使用量経年!BL284),"")</f>
        <v/>
      </c>
      <c r="BM347" s="954" t="str">
        <f ca="1">IFERROR($I347*44/12*参考2_エネ使用量経年!$I197*(参考2_エネ使用量経年!BM197+参考2_エネ使用量経年!BM284),"")</f>
        <v/>
      </c>
      <c r="BN347" s="954" t="str">
        <f ca="1">IFERROR($J347*44/12*参考2_エネ使用量経年!$J197*(参考2_エネ使用量経年!BN197+参考2_エネ使用量経年!BN284),"")</f>
        <v/>
      </c>
      <c r="BO347" s="954" t="str">
        <f ca="1">IFERROR($K347*44/12*参考2_エネ使用量経年!$K197*(参考2_エネ使用量経年!BO197+参考2_エネ使用量経年!BO284),"")</f>
        <v/>
      </c>
    </row>
    <row r="348" spans="1:67" ht="20.100000000000001" customHeight="1">
      <c r="A348" s="952">
        <v>7</v>
      </c>
      <c r="B348" s="1871"/>
      <c r="C348" s="1872"/>
      <c r="D348" s="824" t="s">
        <v>4405</v>
      </c>
      <c r="E348" s="829"/>
      <c r="F348" s="825"/>
      <c r="G348" s="891" t="s">
        <v>4685</v>
      </c>
      <c r="H348" s="1034"/>
      <c r="I348" s="1034"/>
      <c r="J348" s="1034"/>
      <c r="K348" s="1034"/>
      <c r="L348" s="954">
        <f ca="1">SUM(SUMIFS(OFFSET(A1_集計2024,$A348,10,1,200),OFFSET(貼付け_2024実績,4,9,1,200),{"横浜*","川崎*","県域*","エネルギー管理指定工場等*"}))+SUM(SUMIFS(OFFSET(A1_集計2024,$A348,11,1,200),OFFSET(貼付け_2024実績,4,9,1,200),{"横浜*","川崎*","県域*","エネルギー管理指定工場等*"}))</f>
        <v>0</v>
      </c>
      <c r="M348" s="954">
        <f ca="1">SUM(SUMIFS(OFFSET(A1_集計2025,$A348,10,1,200),OFFSET(貼付け_2025実績,4,9,1,200),{"横浜*","川崎*","県域*","エネルギー管理指定工場等*"}))+SUM(SUMIFS(OFFSET(A1_集計2025,$A348,11,1,200),OFFSET(貼付け_2025実績,4,9,1,200),{"横浜*","川崎*","県域*","エネルギー管理指定工場等*"}))</f>
        <v>0</v>
      </c>
      <c r="N348" s="954">
        <f ca="1">SUM(SUMIFS(OFFSET(A1_集計2026,$A348,10,1,200),OFFSET(貼付け_2026実績,4,9,1,200),{"横浜*","川崎*","県域*","エネルギー管理指定工場等*"}))+SUM(SUMIFS(OFFSET(A1_集計2026,$A348,11,1,200),OFFSET(貼付け_2026実績,4,9,1,200),{"横浜*","川崎*","県域*","エネルギー管理指定工場等*"}))</f>
        <v>0</v>
      </c>
      <c r="O348" s="954">
        <f ca="1">SUM(SUMIFS(OFFSET(A1_集計2027,$A348,10,1,200),OFFSET(貼付け_2027実績,4,9,1,200),{"横浜*","川崎*","県域*","エネルギー管理指定工場等*"}))+SUM(SUMIFS(OFFSET(A1_集計2027,$A348,11,1,200),OFFSET(貼付け_2027実績,4,9,1,200),{"横浜*","川崎*","県域*","エネルギー管理指定工場等*"}))</f>
        <v>0</v>
      </c>
      <c r="P348" s="954">
        <f ca="1">SUM(SUMIFS(OFFSET(A1_集計2024,$A348,10,1,200),OFFSET(貼付け_2024実績,4,9,1,200),{"横浜*","川崎*"}))+SUM(SUMIFS(OFFSET(A1_集計2024,$A348,11,1,200),OFFSET(貼付け_2024実績,4,9,1,200),{"横浜*","川崎*"}))</f>
        <v>0</v>
      </c>
      <c r="Q348" s="954">
        <f ca="1">SUM(SUMIFS(OFFSET(A1_集計2025,$A348,10,1,200),OFFSET(貼付け_2025実績,4,9,1,200),{"横浜*","川崎*"}))+SUM(SUMIFS(OFFSET(A1_集計2025,$A348,11,1,200),OFFSET(貼付け_2025実績,4,9,1,200),{"横浜*","川崎*"}))</f>
        <v>0</v>
      </c>
      <c r="R348" s="954">
        <f ca="1">SUM(SUMIFS(OFFSET(A1_集計2026,$A348,10,1,200),OFFSET(貼付け_2026実績,4,9,1,200),{"横浜*","川崎*"}))+SUM(SUMIFS(OFFSET(A1_集計2026,$A348,11,1,200),OFFSET(貼付け_2026実績,4,9,1,200),{"横浜*","川崎*"}))</f>
        <v>0</v>
      </c>
      <c r="S348" s="954">
        <f ca="1">SUM(SUMIFS(OFFSET(A1_集計2027,$A348,10,1,200),OFFSET(貼付け_2027実績,4,9,1,200),{"横浜*","川崎*"}))+SUM(SUMIFS(OFFSET(A1_集計2027,$A348,11,1,200),OFFSET(貼付け_2027実績,4,9,1,200),{"横浜*","川崎*"}))</f>
        <v>0</v>
      </c>
      <c r="T348" s="954">
        <f ca="1">SUM(SUMIFS(OFFSET(A1_集計2024,$A348,10,1,200),OFFSET(貼付け_2024実績,4,9,1,200),{"県域*","エネルギー管理指定工場等*"}))+SUM(SUMIFS(OFFSET(A1_集計2024,$A348,11,1,200),OFFSET(貼付け_2024実績,4,9,1,200),{"県域*","エネルギー管理指定工場等*"}))</f>
        <v>0</v>
      </c>
      <c r="U348" s="954">
        <f ca="1">SUM(SUMIFS(OFFSET(A1_集計2025,$A348,10,1,200),OFFSET(貼付け_2025実績,4,9,1,200),{"県域*","エネルギー管理指定工場等*"}))+SUM(SUMIFS(OFFSET(A1_集計2025,$A348,11,1,200),OFFSET(貼付け_2025実績,4,9,1,200),{"県域*","エネルギー管理指定工場等*"}))</f>
        <v>0</v>
      </c>
      <c r="V348" s="954">
        <f ca="1">SUM(SUMIFS(OFFSET(A1_集計2026,$A348,10,1,200),OFFSET(貼付け_2026実績,4,9,1,200),{"県域*","エネルギー管理指定工場等*"}))+SUM(SUMIFS(OFFSET(A1_集計2026,$A348,11,1,200),OFFSET(貼付け_2026実績,4,9,1,200),{"県域*","エネルギー管理指定工場等*"}))</f>
        <v>0</v>
      </c>
      <c r="W348" s="954">
        <f ca="1">SUM(SUMIFS(OFFSET(A1_集計2027,$A348,10,1,200),OFFSET(貼付け_2027実績,4,9,1,200),{"県域*","エネルギー管理指定工場等*"}))+SUM(SUMIFS(OFFSET(A1_集計2027,$A348,11,1,200),OFFSET(貼付け_2027実績,4,9,1,200),{"県域*","エネルギー管理指定工場等*"}))</f>
        <v>0</v>
      </c>
      <c r="X348" s="954">
        <f ca="1">SUMIFS(OFFSET(A1_集計2024,$A348,10,1,200),OFFSET(貼付け_2024実績,4,9,1,200),"県域*")+SUMIFS(OFFSET(A1_集計2024,$A348,11,1,200),OFFSET(貼付け_2024実績,4,9,1,200),"県域*")</f>
        <v>0</v>
      </c>
      <c r="Y348" s="954">
        <f ca="1">SUMIFS(OFFSET(A1_集計2025,$A348,10,1,200),OFFSET(貼付け_2025実績,4,9,1,200),"県域*")+SUMIFS(OFFSET(A1_集計2025,$A348,11,1,200),OFFSET(貼付け_2025実績,4,9,1,200),"県域*")</f>
        <v>0</v>
      </c>
      <c r="Z348" s="954">
        <f ca="1">SUMIFS(OFFSET(A1_集計2026,$A348,10,1,200),OFFSET(貼付け_2026実績,4,9,1,200),"県域*")+SUMIFS(OFFSET(A1_集計2026,$A348,11,1,200),OFFSET(貼付け_2026実績,4,9,1,200),"県域*")</f>
        <v>0</v>
      </c>
      <c r="AA348" s="954">
        <f ca="1">SUMIFS(OFFSET(A1_集計2027,$A348,10,1,200),OFFSET(貼付け_2027実績,4,9,1,200),"県域*")+SUMIFS(OFFSET(A1_集計2027,$A348,11,1,200),OFFSET(貼付け_2027実績,4,9,1,200),"県域*")</f>
        <v>0</v>
      </c>
      <c r="AB348" s="954" t="str">
        <f t="shared" ref="AB348:BO348" ca="1" si="114">IFERROR(SUM(OFFSET(A1_集計2024,$A348,AB$1+1,1,2)),"")</f>
        <v/>
      </c>
      <c r="AC348" s="954" t="str">
        <f t="shared" ca="1" si="114"/>
        <v/>
      </c>
      <c r="AD348" s="954" t="str">
        <f t="shared" ca="1" si="114"/>
        <v/>
      </c>
      <c r="AE348" s="954" t="str">
        <f t="shared" ca="1" si="114"/>
        <v/>
      </c>
      <c r="AF348" s="954" t="str">
        <f t="shared" ca="1" si="114"/>
        <v/>
      </c>
      <c r="AG348" s="954" t="str">
        <f t="shared" ca="1" si="114"/>
        <v/>
      </c>
      <c r="AH348" s="954" t="str">
        <f t="shared" ca="1" si="114"/>
        <v/>
      </c>
      <c r="AI348" s="954" t="str">
        <f t="shared" ca="1" si="114"/>
        <v/>
      </c>
      <c r="AJ348" s="954" t="str">
        <f t="shared" ca="1" si="114"/>
        <v/>
      </c>
      <c r="AK348" s="954" t="str">
        <f t="shared" ca="1" si="114"/>
        <v/>
      </c>
      <c r="AL348" s="954" t="str">
        <f t="shared" ca="1" si="114"/>
        <v/>
      </c>
      <c r="AM348" s="954" t="str">
        <f t="shared" ca="1" si="114"/>
        <v/>
      </c>
      <c r="AN348" s="954" t="str">
        <f t="shared" ca="1" si="114"/>
        <v/>
      </c>
      <c r="AO348" s="954" t="str">
        <f t="shared" ca="1" si="114"/>
        <v/>
      </c>
      <c r="AP348" s="954" t="str">
        <f t="shared" ca="1" si="114"/>
        <v/>
      </c>
      <c r="AQ348" s="954" t="str">
        <f t="shared" ca="1" si="114"/>
        <v/>
      </c>
      <c r="AR348" s="954" t="str">
        <f t="shared" ca="1" si="114"/>
        <v/>
      </c>
      <c r="AS348" s="954" t="str">
        <f t="shared" ca="1" si="114"/>
        <v/>
      </c>
      <c r="AT348" s="954" t="str">
        <f t="shared" ca="1" si="114"/>
        <v/>
      </c>
      <c r="AU348" s="954" t="str">
        <f t="shared" ca="1" si="114"/>
        <v/>
      </c>
      <c r="AV348" s="954" t="str">
        <f t="shared" ca="1" si="114"/>
        <v/>
      </c>
      <c r="AW348" s="954" t="str">
        <f t="shared" ca="1" si="114"/>
        <v/>
      </c>
      <c r="AX348" s="954" t="str">
        <f t="shared" ca="1" si="114"/>
        <v/>
      </c>
      <c r="AY348" s="954" t="str">
        <f t="shared" ca="1" si="114"/>
        <v/>
      </c>
      <c r="AZ348" s="954" t="str">
        <f t="shared" ca="1" si="114"/>
        <v/>
      </c>
      <c r="BA348" s="954" t="str">
        <f t="shared" ca="1" si="114"/>
        <v/>
      </c>
      <c r="BB348" s="954" t="str">
        <f t="shared" ca="1" si="114"/>
        <v/>
      </c>
      <c r="BC348" s="954" t="str">
        <f t="shared" ca="1" si="114"/>
        <v/>
      </c>
      <c r="BD348" s="954" t="str">
        <f t="shared" ca="1" si="114"/>
        <v/>
      </c>
      <c r="BE348" s="954" t="str">
        <f t="shared" ca="1" si="114"/>
        <v/>
      </c>
      <c r="BF348" s="954" t="str">
        <f t="shared" ca="1" si="114"/>
        <v/>
      </c>
      <c r="BG348" s="954" t="str">
        <f t="shared" ca="1" si="114"/>
        <v/>
      </c>
      <c r="BH348" s="954" t="str">
        <f t="shared" ca="1" si="114"/>
        <v/>
      </c>
      <c r="BI348" s="954" t="str">
        <f t="shared" ca="1" si="114"/>
        <v/>
      </c>
      <c r="BJ348" s="954" t="str">
        <f t="shared" ca="1" si="114"/>
        <v/>
      </c>
      <c r="BK348" s="954" t="str">
        <f t="shared" ca="1" si="114"/>
        <v/>
      </c>
      <c r="BL348" s="954" t="str">
        <f t="shared" ca="1" si="114"/>
        <v/>
      </c>
      <c r="BM348" s="954" t="str">
        <f t="shared" ca="1" si="114"/>
        <v/>
      </c>
      <c r="BN348" s="954" t="str">
        <f t="shared" ca="1" si="114"/>
        <v/>
      </c>
      <c r="BO348" s="954" t="str">
        <f t="shared" ca="1" si="114"/>
        <v/>
      </c>
    </row>
    <row r="349" spans="1:67" ht="20.100000000000001" customHeight="1">
      <c r="A349" s="952">
        <v>36</v>
      </c>
      <c r="B349" s="1870"/>
      <c r="C349" s="1872"/>
      <c r="D349" s="824" t="s">
        <v>4248</v>
      </c>
      <c r="E349" s="831" t="str">
        <f ca="1">E36</f>
        <v/>
      </c>
      <c r="F349" s="825"/>
      <c r="G349" s="891" t="s">
        <v>4685</v>
      </c>
      <c r="H349" s="953">
        <f t="shared" ca="1" si="110"/>
        <v>0</v>
      </c>
      <c r="I349" s="953">
        <f t="shared" ca="1" si="111"/>
        <v>0</v>
      </c>
      <c r="J349" s="953">
        <f t="shared" ca="1" si="112"/>
        <v>0</v>
      </c>
      <c r="K349" s="953">
        <f t="shared" ca="1" si="113"/>
        <v>0</v>
      </c>
      <c r="L349" s="954">
        <f ca="1">IFERROR($H349*44/12*参考2_エネ使用量経年!$H199*(参考2_エネ使用量経年!L199+参考2_エネ使用量経年!L286),"")</f>
        <v>0</v>
      </c>
      <c r="M349" s="954">
        <f ca="1">IFERROR($I349*44/12*参考2_エネ使用量経年!$I199*(参考2_エネ使用量経年!M199+参考2_エネ使用量経年!M286),"")</f>
        <v>0</v>
      </c>
      <c r="N349" s="954">
        <f ca="1">IFERROR($J349*44/12*参考2_エネ使用量経年!$J199*(参考2_エネ使用量経年!N199+参考2_エネ使用量経年!N286),"")</f>
        <v>0</v>
      </c>
      <c r="O349" s="954">
        <f ca="1">IFERROR($K349*44/12*参考2_エネ使用量経年!$K199*(参考2_エネ使用量経年!O199+参考2_エネ使用量経年!O286),"")</f>
        <v>0</v>
      </c>
      <c r="P349" s="954">
        <f ca="1">IFERROR($H349*44/12*参考2_エネ使用量経年!$H199*(参考2_エネ使用量経年!P199+参考2_エネ使用量経年!P286),"")</f>
        <v>0</v>
      </c>
      <c r="Q349" s="954">
        <f ca="1">IFERROR($I349*44/12*参考2_エネ使用量経年!$I199*(参考2_エネ使用量経年!Q199+参考2_エネ使用量経年!Q286),"")</f>
        <v>0</v>
      </c>
      <c r="R349" s="954">
        <f ca="1">IFERROR($J349*44/12*参考2_エネ使用量経年!$J199*(参考2_エネ使用量経年!R199+参考2_エネ使用量経年!R286),"")</f>
        <v>0</v>
      </c>
      <c r="S349" s="954">
        <f ca="1">IFERROR($K349*44/12*参考2_エネ使用量経年!$K199*(参考2_エネ使用量経年!S199+参考2_エネ使用量経年!S286),"")</f>
        <v>0</v>
      </c>
      <c r="T349" s="954">
        <f ca="1">IFERROR($H349*44/12*参考2_エネ使用量経年!$H199*(参考2_エネ使用量経年!T199+参考2_エネ使用量経年!T286),"")</f>
        <v>0</v>
      </c>
      <c r="U349" s="954">
        <f ca="1">IFERROR($I349*44/12*参考2_エネ使用量経年!$I199*(参考2_エネ使用量経年!U199+参考2_エネ使用量経年!U286),"")</f>
        <v>0</v>
      </c>
      <c r="V349" s="954">
        <f ca="1">IFERROR($J349*44/12*参考2_エネ使用量経年!$J199*(参考2_エネ使用量経年!V199+参考2_エネ使用量経年!V286),"")</f>
        <v>0</v>
      </c>
      <c r="W349" s="954">
        <f ca="1">IFERROR($K349*44/12*参考2_エネ使用量経年!$K199*(参考2_エネ使用量経年!W199+参考2_エネ使用量経年!W286),"")</f>
        <v>0</v>
      </c>
      <c r="X349" s="954">
        <f ca="1">IFERROR($H349*44/12*参考2_エネ使用量経年!$H199*(参考2_エネ使用量経年!X199+参考2_エネ使用量経年!X286),"")</f>
        <v>0</v>
      </c>
      <c r="Y349" s="954">
        <f ca="1">IFERROR($I349*44/12*参考2_エネ使用量経年!$I199*(参考2_エネ使用量経年!Y199+参考2_エネ使用量経年!Y286),"")</f>
        <v>0</v>
      </c>
      <c r="Z349" s="954">
        <f ca="1">IFERROR($J349*44/12*参考2_エネ使用量経年!$J199*(参考2_エネ使用量経年!Z199+参考2_エネ使用量経年!Z286),"")</f>
        <v>0</v>
      </c>
      <c r="AA349" s="954">
        <f ca="1">IFERROR($K349*44/12*参考2_エネ使用量経年!$K199*(参考2_エネ使用量経年!AA199+参考2_エネ使用量経年!AA286),"")</f>
        <v>0</v>
      </c>
      <c r="AB349" s="954" t="str">
        <f ca="1">IFERROR($H349*44/12*参考2_エネ使用量経年!$H199*(参考2_エネ使用量経年!AB199+参考2_エネ使用量経年!AB286),"")</f>
        <v/>
      </c>
      <c r="AC349" s="954" t="str">
        <f ca="1">IFERROR($I349*44/12*参考2_エネ使用量経年!$I199*(参考2_エネ使用量経年!AC199+参考2_エネ使用量経年!AC286),"")</f>
        <v/>
      </c>
      <c r="AD349" s="954" t="str">
        <f ca="1">IFERROR($J349*44/12*参考2_エネ使用量経年!$J199*(参考2_エネ使用量経年!AD199+参考2_エネ使用量経年!AD286),"")</f>
        <v/>
      </c>
      <c r="AE349" s="954" t="str">
        <f ca="1">IFERROR($K349*44/12*参考2_エネ使用量経年!$K199*(参考2_エネ使用量経年!AE199+参考2_エネ使用量経年!AE286),"")</f>
        <v/>
      </c>
      <c r="AF349" s="954" t="str">
        <f ca="1">IFERROR($H349*44/12*参考2_エネ使用量経年!$H199*(参考2_エネ使用量経年!AF199+参考2_エネ使用量経年!AF286),"")</f>
        <v/>
      </c>
      <c r="AG349" s="954" t="str">
        <f ca="1">IFERROR($I349*44/12*参考2_エネ使用量経年!$I199*(参考2_エネ使用量経年!AG199+参考2_エネ使用量経年!AG286),"")</f>
        <v/>
      </c>
      <c r="AH349" s="954" t="str">
        <f ca="1">IFERROR($J349*44/12*参考2_エネ使用量経年!$J199*(参考2_エネ使用量経年!AH199+参考2_エネ使用量経年!AH286),"")</f>
        <v/>
      </c>
      <c r="AI349" s="954" t="str">
        <f ca="1">IFERROR($K349*44/12*参考2_エネ使用量経年!$K199*(参考2_エネ使用量経年!AI199+参考2_エネ使用量経年!AI286),"")</f>
        <v/>
      </c>
      <c r="AJ349" s="954" t="str">
        <f ca="1">IFERROR($H349*44/12*参考2_エネ使用量経年!$H199*(参考2_エネ使用量経年!AJ199+参考2_エネ使用量経年!AJ286),"")</f>
        <v/>
      </c>
      <c r="AK349" s="954" t="str">
        <f ca="1">IFERROR($I349*44/12*参考2_エネ使用量経年!$I199*(参考2_エネ使用量経年!AK199+参考2_エネ使用量経年!AK286),"")</f>
        <v/>
      </c>
      <c r="AL349" s="954" t="str">
        <f ca="1">IFERROR($J349*44/12*参考2_エネ使用量経年!$J199*(参考2_エネ使用量経年!AL199+参考2_エネ使用量経年!AL286),"")</f>
        <v/>
      </c>
      <c r="AM349" s="954" t="str">
        <f ca="1">IFERROR($K349*44/12*参考2_エネ使用量経年!$K199*(参考2_エネ使用量経年!AM199+参考2_エネ使用量経年!AM286),"")</f>
        <v/>
      </c>
      <c r="AN349" s="954" t="str">
        <f ca="1">IFERROR($H349*44/12*参考2_エネ使用量経年!$H199*(参考2_エネ使用量経年!AN199+参考2_エネ使用量経年!AN286),"")</f>
        <v/>
      </c>
      <c r="AO349" s="954" t="str">
        <f ca="1">IFERROR($I349*44/12*参考2_エネ使用量経年!$I199*(参考2_エネ使用量経年!AO199+参考2_エネ使用量経年!AO286),"")</f>
        <v/>
      </c>
      <c r="AP349" s="954" t="str">
        <f ca="1">IFERROR($J349*44/12*参考2_エネ使用量経年!$J199*(参考2_エネ使用量経年!AP199+参考2_エネ使用量経年!AP286),"")</f>
        <v/>
      </c>
      <c r="AQ349" s="954" t="str">
        <f ca="1">IFERROR($K349*44/12*参考2_エネ使用量経年!$K199*(参考2_エネ使用量経年!AQ199+参考2_エネ使用量経年!AQ286),"")</f>
        <v/>
      </c>
      <c r="AR349" s="954" t="str">
        <f ca="1">IFERROR($H349*44/12*参考2_エネ使用量経年!$H199*(参考2_エネ使用量経年!AR199+参考2_エネ使用量経年!AR286),"")</f>
        <v/>
      </c>
      <c r="AS349" s="954" t="str">
        <f ca="1">IFERROR($I349*44/12*参考2_エネ使用量経年!$I199*(参考2_エネ使用量経年!AS199+参考2_エネ使用量経年!AS286),"")</f>
        <v/>
      </c>
      <c r="AT349" s="954" t="str">
        <f ca="1">IFERROR($J349*44/12*参考2_エネ使用量経年!$J199*(参考2_エネ使用量経年!AT199+参考2_エネ使用量経年!AT286),"")</f>
        <v/>
      </c>
      <c r="AU349" s="954" t="str">
        <f ca="1">IFERROR($K349*44/12*参考2_エネ使用量経年!$K199*(参考2_エネ使用量経年!AU199+参考2_エネ使用量経年!AU286),"")</f>
        <v/>
      </c>
      <c r="AV349" s="954" t="str">
        <f ca="1">IFERROR($H349*44/12*参考2_エネ使用量経年!$H199*(参考2_エネ使用量経年!AV199+参考2_エネ使用量経年!AV286),"")</f>
        <v/>
      </c>
      <c r="AW349" s="954" t="str">
        <f ca="1">IFERROR($I349*44/12*参考2_エネ使用量経年!$I199*(参考2_エネ使用量経年!AW199+参考2_エネ使用量経年!AW286),"")</f>
        <v/>
      </c>
      <c r="AX349" s="954" t="str">
        <f ca="1">IFERROR($J349*44/12*参考2_エネ使用量経年!$J199*(参考2_エネ使用量経年!AX199+参考2_エネ使用量経年!AX286),"")</f>
        <v/>
      </c>
      <c r="AY349" s="954" t="str">
        <f ca="1">IFERROR($K349*44/12*参考2_エネ使用量経年!$K199*(参考2_エネ使用量経年!AY199+参考2_エネ使用量経年!AY286),"")</f>
        <v/>
      </c>
      <c r="AZ349" s="954" t="str">
        <f ca="1">IFERROR($H349*44/12*参考2_エネ使用量経年!$H199*(参考2_エネ使用量経年!AZ199+参考2_エネ使用量経年!AZ286),"")</f>
        <v/>
      </c>
      <c r="BA349" s="954" t="str">
        <f ca="1">IFERROR($I349*44/12*参考2_エネ使用量経年!$I199*(参考2_エネ使用量経年!BA199+参考2_エネ使用量経年!BA286),"")</f>
        <v/>
      </c>
      <c r="BB349" s="954" t="str">
        <f ca="1">IFERROR($J349*44/12*参考2_エネ使用量経年!$J199*(参考2_エネ使用量経年!BB199+参考2_エネ使用量経年!BB286),"")</f>
        <v/>
      </c>
      <c r="BC349" s="954" t="str">
        <f ca="1">IFERROR($K349*44/12*参考2_エネ使用量経年!$K199*(参考2_エネ使用量経年!BC199+参考2_エネ使用量経年!BC286),"")</f>
        <v/>
      </c>
      <c r="BD349" s="954" t="str">
        <f ca="1">IFERROR($H349*44/12*参考2_エネ使用量経年!$H199*(参考2_エネ使用量経年!BD199+参考2_エネ使用量経年!BD286),"")</f>
        <v/>
      </c>
      <c r="BE349" s="954" t="str">
        <f ca="1">IFERROR($I349*44/12*参考2_エネ使用量経年!$I199*(参考2_エネ使用量経年!BE199+参考2_エネ使用量経年!BE286),"")</f>
        <v/>
      </c>
      <c r="BF349" s="954" t="str">
        <f ca="1">IFERROR($J349*44/12*参考2_エネ使用量経年!$J199*(参考2_エネ使用量経年!BF199+参考2_エネ使用量経年!BF286),"")</f>
        <v/>
      </c>
      <c r="BG349" s="954" t="str">
        <f ca="1">IFERROR($K349*44/12*参考2_エネ使用量経年!$K199*(参考2_エネ使用量経年!BG199+参考2_エネ使用量経年!BG286),"")</f>
        <v/>
      </c>
      <c r="BH349" s="954" t="str">
        <f ca="1">IFERROR($H349*44/12*参考2_エネ使用量経年!$H199*(参考2_エネ使用量経年!BH199+参考2_エネ使用量経年!BH286),"")</f>
        <v/>
      </c>
      <c r="BI349" s="954" t="str">
        <f ca="1">IFERROR($I349*44/12*参考2_エネ使用量経年!$I199*(参考2_エネ使用量経年!BI199+参考2_エネ使用量経年!BI286),"")</f>
        <v/>
      </c>
      <c r="BJ349" s="954" t="str">
        <f ca="1">IFERROR($J349*44/12*参考2_エネ使用量経年!$J199*(参考2_エネ使用量経年!BJ199+参考2_エネ使用量経年!BJ286),"")</f>
        <v/>
      </c>
      <c r="BK349" s="954" t="str">
        <f ca="1">IFERROR($K349*44/12*参考2_エネ使用量経年!$K199*(参考2_エネ使用量経年!BK199+参考2_エネ使用量経年!BK286),"")</f>
        <v/>
      </c>
      <c r="BL349" s="954" t="str">
        <f ca="1">IFERROR($H349*44/12*参考2_エネ使用量経年!$H199*(参考2_エネ使用量経年!BL199+参考2_エネ使用量経年!BL286),"")</f>
        <v/>
      </c>
      <c r="BM349" s="954" t="str">
        <f ca="1">IFERROR($I349*44/12*参考2_エネ使用量経年!$I199*(参考2_エネ使用量経年!BM199+参考2_エネ使用量経年!BM286),"")</f>
        <v/>
      </c>
      <c r="BN349" s="954" t="str">
        <f ca="1">IFERROR($J349*44/12*参考2_エネ使用量経年!$J199*(参考2_エネ使用量経年!BN199+参考2_エネ使用量経年!BN286),"")</f>
        <v/>
      </c>
      <c r="BO349" s="954" t="str">
        <f ca="1">IFERROR($K349*44/12*参考2_エネ使用量経年!$K199*(参考2_エネ使用量経年!BO199+参考2_エネ使用量経年!BO286),"")</f>
        <v/>
      </c>
    </row>
    <row r="350" spans="1:67" ht="20.100000000000001" customHeight="1">
      <c r="A350" s="952">
        <v>37</v>
      </c>
      <c r="B350" s="1870"/>
      <c r="C350" s="1872" t="s">
        <v>4406</v>
      </c>
      <c r="D350" s="832" t="s">
        <v>4407</v>
      </c>
      <c r="E350" s="824"/>
      <c r="F350" s="825"/>
      <c r="G350" s="891" t="s">
        <v>4685</v>
      </c>
      <c r="H350" s="953">
        <f t="shared" ca="1" si="110"/>
        <v>0</v>
      </c>
      <c r="I350" s="953">
        <f t="shared" ca="1" si="111"/>
        <v>0</v>
      </c>
      <c r="J350" s="953">
        <f t="shared" ca="1" si="112"/>
        <v>0</v>
      </c>
      <c r="K350" s="953">
        <f t="shared" ca="1" si="113"/>
        <v>0</v>
      </c>
      <c r="L350" s="954">
        <f ca="1">IFERROR($H350*44/12*参考2_エネ使用量経年!$H200*(参考2_エネ使用量経年!L200+参考2_エネ使用量経年!L287),"")</f>
        <v>0</v>
      </c>
      <c r="M350" s="954">
        <f ca="1">IFERROR($I350*44/12*参考2_エネ使用量経年!$I200*(参考2_エネ使用量経年!M200+参考2_エネ使用量経年!M287),"")</f>
        <v>0</v>
      </c>
      <c r="N350" s="954">
        <f ca="1">IFERROR($J350*44/12*参考2_エネ使用量経年!$J200*(参考2_エネ使用量経年!N200+参考2_エネ使用量経年!N287),"")</f>
        <v>0</v>
      </c>
      <c r="O350" s="954">
        <f ca="1">IFERROR($K350*44/12*参考2_エネ使用量経年!$K200*(参考2_エネ使用量経年!O200+参考2_エネ使用量経年!O287),"")</f>
        <v>0</v>
      </c>
      <c r="P350" s="954">
        <f ca="1">IFERROR($H350*44/12*参考2_エネ使用量経年!$H200*(参考2_エネ使用量経年!P200+参考2_エネ使用量経年!P287),"")</f>
        <v>0</v>
      </c>
      <c r="Q350" s="954">
        <f ca="1">IFERROR($I350*44/12*参考2_エネ使用量経年!$I200*(参考2_エネ使用量経年!Q200+参考2_エネ使用量経年!Q287),"")</f>
        <v>0</v>
      </c>
      <c r="R350" s="954">
        <f ca="1">IFERROR($J350*44/12*参考2_エネ使用量経年!$J200*(参考2_エネ使用量経年!R200+参考2_エネ使用量経年!R287),"")</f>
        <v>0</v>
      </c>
      <c r="S350" s="954">
        <f ca="1">IFERROR($K350*44/12*参考2_エネ使用量経年!$K200*(参考2_エネ使用量経年!S200+参考2_エネ使用量経年!S287),"")</f>
        <v>0</v>
      </c>
      <c r="T350" s="954">
        <f ca="1">IFERROR($H350*44/12*参考2_エネ使用量経年!$H200*(参考2_エネ使用量経年!T200+参考2_エネ使用量経年!T287),"")</f>
        <v>0</v>
      </c>
      <c r="U350" s="954">
        <f ca="1">IFERROR($I350*44/12*参考2_エネ使用量経年!$I200*(参考2_エネ使用量経年!U200+参考2_エネ使用量経年!U287),"")</f>
        <v>0</v>
      </c>
      <c r="V350" s="954">
        <f ca="1">IFERROR($J350*44/12*参考2_エネ使用量経年!$J200*(参考2_エネ使用量経年!V200+参考2_エネ使用量経年!V287),"")</f>
        <v>0</v>
      </c>
      <c r="W350" s="954">
        <f ca="1">IFERROR($K350*44/12*参考2_エネ使用量経年!$K200*(参考2_エネ使用量経年!W200+参考2_エネ使用量経年!W287),"")</f>
        <v>0</v>
      </c>
      <c r="X350" s="954">
        <f ca="1">IFERROR($H350*44/12*参考2_エネ使用量経年!$H200*(参考2_エネ使用量経年!X200+参考2_エネ使用量経年!X287),"")</f>
        <v>0</v>
      </c>
      <c r="Y350" s="954">
        <f ca="1">IFERROR($I350*44/12*参考2_エネ使用量経年!$I200*(参考2_エネ使用量経年!Y200+参考2_エネ使用量経年!Y287),"")</f>
        <v>0</v>
      </c>
      <c r="Z350" s="954">
        <f ca="1">IFERROR($J350*44/12*参考2_エネ使用量経年!$J200*(参考2_エネ使用量経年!Z200+参考2_エネ使用量経年!Z287),"")</f>
        <v>0</v>
      </c>
      <c r="AA350" s="954">
        <f ca="1">IFERROR($K350*44/12*参考2_エネ使用量経年!$K200*(参考2_エネ使用量経年!AA200+参考2_エネ使用量経年!AA287),"")</f>
        <v>0</v>
      </c>
      <c r="AB350" s="954" t="str">
        <f ca="1">IFERROR($H350*44/12*参考2_エネ使用量経年!$H200*(参考2_エネ使用量経年!AB200+参考2_エネ使用量経年!AB287),"")</f>
        <v/>
      </c>
      <c r="AC350" s="954" t="str">
        <f ca="1">IFERROR($I350*44/12*参考2_エネ使用量経年!$I200*(参考2_エネ使用量経年!AC200+参考2_エネ使用量経年!AC287),"")</f>
        <v/>
      </c>
      <c r="AD350" s="954" t="str">
        <f ca="1">IFERROR($J350*44/12*参考2_エネ使用量経年!$J200*(参考2_エネ使用量経年!AD200+参考2_エネ使用量経年!AD287),"")</f>
        <v/>
      </c>
      <c r="AE350" s="954" t="str">
        <f ca="1">IFERROR($K350*44/12*参考2_エネ使用量経年!$K200*(参考2_エネ使用量経年!AE200+参考2_エネ使用量経年!AE287),"")</f>
        <v/>
      </c>
      <c r="AF350" s="954" t="str">
        <f ca="1">IFERROR($H350*44/12*参考2_エネ使用量経年!$H200*(参考2_エネ使用量経年!AF200+参考2_エネ使用量経年!AF287),"")</f>
        <v/>
      </c>
      <c r="AG350" s="954" t="str">
        <f ca="1">IFERROR($I350*44/12*参考2_エネ使用量経年!$I200*(参考2_エネ使用量経年!AG200+参考2_エネ使用量経年!AG287),"")</f>
        <v/>
      </c>
      <c r="AH350" s="954" t="str">
        <f ca="1">IFERROR($J350*44/12*参考2_エネ使用量経年!$J200*(参考2_エネ使用量経年!AH200+参考2_エネ使用量経年!AH287),"")</f>
        <v/>
      </c>
      <c r="AI350" s="954" t="str">
        <f ca="1">IFERROR($K350*44/12*参考2_エネ使用量経年!$K200*(参考2_エネ使用量経年!AI200+参考2_エネ使用量経年!AI287),"")</f>
        <v/>
      </c>
      <c r="AJ350" s="954" t="str">
        <f ca="1">IFERROR($H350*44/12*参考2_エネ使用量経年!$H200*(参考2_エネ使用量経年!AJ200+参考2_エネ使用量経年!AJ287),"")</f>
        <v/>
      </c>
      <c r="AK350" s="954" t="str">
        <f ca="1">IFERROR($I350*44/12*参考2_エネ使用量経年!$I200*(参考2_エネ使用量経年!AK200+参考2_エネ使用量経年!AK287),"")</f>
        <v/>
      </c>
      <c r="AL350" s="954" t="str">
        <f ca="1">IFERROR($J350*44/12*参考2_エネ使用量経年!$J200*(参考2_エネ使用量経年!AL200+参考2_エネ使用量経年!AL287),"")</f>
        <v/>
      </c>
      <c r="AM350" s="954" t="str">
        <f ca="1">IFERROR($K350*44/12*参考2_エネ使用量経年!$K200*(参考2_エネ使用量経年!AM200+参考2_エネ使用量経年!AM287),"")</f>
        <v/>
      </c>
      <c r="AN350" s="954" t="str">
        <f ca="1">IFERROR($H350*44/12*参考2_エネ使用量経年!$H200*(参考2_エネ使用量経年!AN200+参考2_エネ使用量経年!AN287),"")</f>
        <v/>
      </c>
      <c r="AO350" s="954" t="str">
        <f ca="1">IFERROR($I350*44/12*参考2_エネ使用量経年!$I200*(参考2_エネ使用量経年!AO200+参考2_エネ使用量経年!AO287),"")</f>
        <v/>
      </c>
      <c r="AP350" s="954" t="str">
        <f ca="1">IFERROR($J350*44/12*参考2_エネ使用量経年!$J200*(参考2_エネ使用量経年!AP200+参考2_エネ使用量経年!AP287),"")</f>
        <v/>
      </c>
      <c r="AQ350" s="954" t="str">
        <f ca="1">IFERROR($K350*44/12*参考2_エネ使用量経年!$K200*(参考2_エネ使用量経年!AQ200+参考2_エネ使用量経年!AQ287),"")</f>
        <v/>
      </c>
      <c r="AR350" s="954" t="str">
        <f ca="1">IFERROR($H350*44/12*参考2_エネ使用量経年!$H200*(参考2_エネ使用量経年!AR200+参考2_エネ使用量経年!AR287),"")</f>
        <v/>
      </c>
      <c r="AS350" s="954" t="str">
        <f ca="1">IFERROR($I350*44/12*参考2_エネ使用量経年!$I200*(参考2_エネ使用量経年!AS200+参考2_エネ使用量経年!AS287),"")</f>
        <v/>
      </c>
      <c r="AT350" s="954" t="str">
        <f ca="1">IFERROR($J350*44/12*参考2_エネ使用量経年!$J200*(参考2_エネ使用量経年!AT200+参考2_エネ使用量経年!AT287),"")</f>
        <v/>
      </c>
      <c r="AU350" s="954" t="str">
        <f ca="1">IFERROR($K350*44/12*参考2_エネ使用量経年!$K200*(参考2_エネ使用量経年!AU200+参考2_エネ使用量経年!AU287),"")</f>
        <v/>
      </c>
      <c r="AV350" s="954" t="str">
        <f ca="1">IFERROR($H350*44/12*参考2_エネ使用量経年!$H200*(参考2_エネ使用量経年!AV200+参考2_エネ使用量経年!AV287),"")</f>
        <v/>
      </c>
      <c r="AW350" s="954" t="str">
        <f ca="1">IFERROR($I350*44/12*参考2_エネ使用量経年!$I200*(参考2_エネ使用量経年!AW200+参考2_エネ使用量経年!AW287),"")</f>
        <v/>
      </c>
      <c r="AX350" s="954" t="str">
        <f ca="1">IFERROR($J350*44/12*参考2_エネ使用量経年!$J200*(参考2_エネ使用量経年!AX200+参考2_エネ使用量経年!AX287),"")</f>
        <v/>
      </c>
      <c r="AY350" s="954" t="str">
        <f ca="1">IFERROR($K350*44/12*参考2_エネ使用量経年!$K200*(参考2_エネ使用量経年!AY200+参考2_エネ使用量経年!AY287),"")</f>
        <v/>
      </c>
      <c r="AZ350" s="954" t="str">
        <f ca="1">IFERROR($H350*44/12*参考2_エネ使用量経年!$H200*(参考2_エネ使用量経年!AZ200+参考2_エネ使用量経年!AZ287),"")</f>
        <v/>
      </c>
      <c r="BA350" s="954" t="str">
        <f ca="1">IFERROR($I350*44/12*参考2_エネ使用量経年!$I200*(参考2_エネ使用量経年!BA200+参考2_エネ使用量経年!BA287),"")</f>
        <v/>
      </c>
      <c r="BB350" s="954" t="str">
        <f ca="1">IFERROR($J350*44/12*参考2_エネ使用量経年!$J200*(参考2_エネ使用量経年!BB200+参考2_エネ使用量経年!BB287),"")</f>
        <v/>
      </c>
      <c r="BC350" s="954" t="str">
        <f ca="1">IFERROR($K350*44/12*参考2_エネ使用量経年!$K200*(参考2_エネ使用量経年!BC200+参考2_エネ使用量経年!BC287),"")</f>
        <v/>
      </c>
      <c r="BD350" s="954" t="str">
        <f ca="1">IFERROR($H350*44/12*参考2_エネ使用量経年!$H200*(参考2_エネ使用量経年!BD200+参考2_エネ使用量経年!BD287),"")</f>
        <v/>
      </c>
      <c r="BE350" s="954" t="str">
        <f ca="1">IFERROR($I350*44/12*参考2_エネ使用量経年!$I200*(参考2_エネ使用量経年!BE200+参考2_エネ使用量経年!BE287),"")</f>
        <v/>
      </c>
      <c r="BF350" s="954" t="str">
        <f ca="1">IFERROR($J350*44/12*参考2_エネ使用量経年!$J200*(参考2_エネ使用量経年!BF200+参考2_エネ使用量経年!BF287),"")</f>
        <v/>
      </c>
      <c r="BG350" s="954" t="str">
        <f ca="1">IFERROR($K350*44/12*参考2_エネ使用量経年!$K200*(参考2_エネ使用量経年!BG200+参考2_エネ使用量経年!BG287),"")</f>
        <v/>
      </c>
      <c r="BH350" s="954" t="str">
        <f ca="1">IFERROR($H350*44/12*参考2_エネ使用量経年!$H200*(参考2_エネ使用量経年!BH200+参考2_エネ使用量経年!BH287),"")</f>
        <v/>
      </c>
      <c r="BI350" s="954" t="str">
        <f ca="1">IFERROR($I350*44/12*参考2_エネ使用量経年!$I200*(参考2_エネ使用量経年!BI200+参考2_エネ使用量経年!BI287),"")</f>
        <v/>
      </c>
      <c r="BJ350" s="954" t="str">
        <f ca="1">IFERROR($J350*44/12*参考2_エネ使用量経年!$J200*(参考2_エネ使用量経年!BJ200+参考2_エネ使用量経年!BJ287),"")</f>
        <v/>
      </c>
      <c r="BK350" s="954" t="str">
        <f ca="1">IFERROR($K350*44/12*参考2_エネ使用量経年!$K200*(参考2_エネ使用量経年!BK200+参考2_エネ使用量経年!BK287),"")</f>
        <v/>
      </c>
      <c r="BL350" s="954" t="str">
        <f ca="1">IFERROR($H350*44/12*参考2_エネ使用量経年!$H200*(参考2_エネ使用量経年!BL200+参考2_エネ使用量経年!BL287),"")</f>
        <v/>
      </c>
      <c r="BM350" s="954" t="str">
        <f ca="1">IFERROR($I350*44/12*参考2_エネ使用量経年!$I200*(参考2_エネ使用量経年!BM200+参考2_エネ使用量経年!BM287),"")</f>
        <v/>
      </c>
      <c r="BN350" s="954" t="str">
        <f ca="1">IFERROR($J350*44/12*参考2_エネ使用量経年!$J200*(参考2_エネ使用量経年!BN200+参考2_エネ使用量経年!BN287),"")</f>
        <v/>
      </c>
      <c r="BO350" s="954" t="str">
        <f ca="1">IFERROR($K350*44/12*参考2_エネ使用量経年!$K200*(参考2_エネ使用量経年!BO200+参考2_エネ使用量経年!BO287),"")</f>
        <v/>
      </c>
    </row>
    <row r="351" spans="1:67" ht="20.100000000000001" customHeight="1">
      <c r="A351" s="952">
        <v>38</v>
      </c>
      <c r="B351" s="1870"/>
      <c r="C351" s="1872"/>
      <c r="D351" s="832" t="s">
        <v>4408</v>
      </c>
      <c r="E351" s="824"/>
      <c r="F351" s="825"/>
      <c r="G351" s="891" t="s">
        <v>4685</v>
      </c>
      <c r="H351" s="953">
        <f t="shared" ca="1" si="110"/>
        <v>0</v>
      </c>
      <c r="I351" s="953">
        <f t="shared" ca="1" si="111"/>
        <v>0</v>
      </c>
      <c r="J351" s="953">
        <f t="shared" ca="1" si="112"/>
        <v>0</v>
      </c>
      <c r="K351" s="953">
        <f t="shared" ca="1" si="113"/>
        <v>0</v>
      </c>
      <c r="L351" s="954">
        <f ca="1">IFERROR($H351*44/12*参考2_エネ使用量経年!$H201*(参考2_エネ使用量経年!L201+参考2_エネ使用量経年!L288),"")</f>
        <v>0</v>
      </c>
      <c r="M351" s="954">
        <f ca="1">IFERROR($I351*44/12*参考2_エネ使用量経年!$I201*(参考2_エネ使用量経年!M201+参考2_エネ使用量経年!M288),"")</f>
        <v>0</v>
      </c>
      <c r="N351" s="954">
        <f ca="1">IFERROR($J351*44/12*参考2_エネ使用量経年!$J201*(参考2_エネ使用量経年!N201+参考2_エネ使用量経年!N288),"")</f>
        <v>0</v>
      </c>
      <c r="O351" s="954">
        <f ca="1">IFERROR($K351*44/12*参考2_エネ使用量経年!$K201*(参考2_エネ使用量経年!O201+参考2_エネ使用量経年!O288),"")</f>
        <v>0</v>
      </c>
      <c r="P351" s="954">
        <f ca="1">IFERROR($H351*44/12*参考2_エネ使用量経年!$H201*(参考2_エネ使用量経年!P201+参考2_エネ使用量経年!P288),"")</f>
        <v>0</v>
      </c>
      <c r="Q351" s="954">
        <f ca="1">IFERROR($I351*44/12*参考2_エネ使用量経年!$I201*(参考2_エネ使用量経年!Q201+参考2_エネ使用量経年!Q288),"")</f>
        <v>0</v>
      </c>
      <c r="R351" s="954">
        <f ca="1">IFERROR($J351*44/12*参考2_エネ使用量経年!$J201*(参考2_エネ使用量経年!R201+参考2_エネ使用量経年!R288),"")</f>
        <v>0</v>
      </c>
      <c r="S351" s="954">
        <f ca="1">IFERROR($K351*44/12*参考2_エネ使用量経年!$K201*(参考2_エネ使用量経年!S201+参考2_エネ使用量経年!S288),"")</f>
        <v>0</v>
      </c>
      <c r="T351" s="954">
        <f ca="1">IFERROR($H351*44/12*参考2_エネ使用量経年!$H201*(参考2_エネ使用量経年!T201+参考2_エネ使用量経年!T288),"")</f>
        <v>0</v>
      </c>
      <c r="U351" s="954">
        <f ca="1">IFERROR($I351*44/12*参考2_エネ使用量経年!$I201*(参考2_エネ使用量経年!U201+参考2_エネ使用量経年!U288),"")</f>
        <v>0</v>
      </c>
      <c r="V351" s="954">
        <f ca="1">IFERROR($J351*44/12*参考2_エネ使用量経年!$J201*(参考2_エネ使用量経年!V201+参考2_エネ使用量経年!V288),"")</f>
        <v>0</v>
      </c>
      <c r="W351" s="954">
        <f ca="1">IFERROR($K351*44/12*参考2_エネ使用量経年!$K201*(参考2_エネ使用量経年!W201+参考2_エネ使用量経年!W288),"")</f>
        <v>0</v>
      </c>
      <c r="X351" s="954">
        <f ca="1">IFERROR($H351*44/12*参考2_エネ使用量経年!$H201*(参考2_エネ使用量経年!X201+参考2_エネ使用量経年!X288),"")</f>
        <v>0</v>
      </c>
      <c r="Y351" s="954">
        <f ca="1">IFERROR($I351*44/12*参考2_エネ使用量経年!$I201*(参考2_エネ使用量経年!Y201+参考2_エネ使用量経年!Y288),"")</f>
        <v>0</v>
      </c>
      <c r="Z351" s="954">
        <f ca="1">IFERROR($J351*44/12*参考2_エネ使用量経年!$J201*(参考2_エネ使用量経年!Z201+参考2_エネ使用量経年!Z288),"")</f>
        <v>0</v>
      </c>
      <c r="AA351" s="954">
        <f ca="1">IFERROR($K351*44/12*参考2_エネ使用量経年!$K201*(参考2_エネ使用量経年!AA201+参考2_エネ使用量経年!AA288),"")</f>
        <v>0</v>
      </c>
      <c r="AB351" s="954" t="str">
        <f ca="1">IFERROR($H351*44/12*参考2_エネ使用量経年!$H201*(参考2_エネ使用量経年!AB201+参考2_エネ使用量経年!AB288),"")</f>
        <v/>
      </c>
      <c r="AC351" s="954" t="str">
        <f ca="1">IFERROR($I351*44/12*参考2_エネ使用量経年!$I201*(参考2_エネ使用量経年!AC201+参考2_エネ使用量経年!AC288),"")</f>
        <v/>
      </c>
      <c r="AD351" s="954" t="str">
        <f ca="1">IFERROR($J351*44/12*参考2_エネ使用量経年!$J201*(参考2_エネ使用量経年!AD201+参考2_エネ使用量経年!AD288),"")</f>
        <v/>
      </c>
      <c r="AE351" s="954" t="str">
        <f ca="1">IFERROR($K351*44/12*参考2_エネ使用量経年!$K201*(参考2_エネ使用量経年!AE201+参考2_エネ使用量経年!AE288),"")</f>
        <v/>
      </c>
      <c r="AF351" s="954" t="str">
        <f ca="1">IFERROR($H351*44/12*参考2_エネ使用量経年!$H201*(参考2_エネ使用量経年!AF201+参考2_エネ使用量経年!AF288),"")</f>
        <v/>
      </c>
      <c r="AG351" s="954" t="str">
        <f ca="1">IFERROR($I351*44/12*参考2_エネ使用量経年!$I201*(参考2_エネ使用量経年!AG201+参考2_エネ使用量経年!AG288),"")</f>
        <v/>
      </c>
      <c r="AH351" s="954" t="str">
        <f ca="1">IFERROR($J351*44/12*参考2_エネ使用量経年!$J201*(参考2_エネ使用量経年!AH201+参考2_エネ使用量経年!AH288),"")</f>
        <v/>
      </c>
      <c r="AI351" s="954" t="str">
        <f ca="1">IFERROR($K351*44/12*参考2_エネ使用量経年!$K201*(参考2_エネ使用量経年!AI201+参考2_エネ使用量経年!AI288),"")</f>
        <v/>
      </c>
      <c r="AJ351" s="954" t="str">
        <f ca="1">IFERROR($H351*44/12*参考2_エネ使用量経年!$H201*(参考2_エネ使用量経年!AJ201+参考2_エネ使用量経年!AJ288),"")</f>
        <v/>
      </c>
      <c r="AK351" s="954" t="str">
        <f ca="1">IFERROR($I351*44/12*参考2_エネ使用量経年!$I201*(参考2_エネ使用量経年!AK201+参考2_エネ使用量経年!AK288),"")</f>
        <v/>
      </c>
      <c r="AL351" s="954" t="str">
        <f ca="1">IFERROR($J351*44/12*参考2_エネ使用量経年!$J201*(参考2_エネ使用量経年!AL201+参考2_エネ使用量経年!AL288),"")</f>
        <v/>
      </c>
      <c r="AM351" s="954" t="str">
        <f ca="1">IFERROR($K351*44/12*参考2_エネ使用量経年!$K201*(参考2_エネ使用量経年!AM201+参考2_エネ使用量経年!AM288),"")</f>
        <v/>
      </c>
      <c r="AN351" s="954" t="str">
        <f ca="1">IFERROR($H351*44/12*参考2_エネ使用量経年!$H201*(参考2_エネ使用量経年!AN201+参考2_エネ使用量経年!AN288),"")</f>
        <v/>
      </c>
      <c r="AO351" s="954" t="str">
        <f ca="1">IFERROR($I351*44/12*参考2_エネ使用量経年!$I201*(参考2_エネ使用量経年!AO201+参考2_エネ使用量経年!AO288),"")</f>
        <v/>
      </c>
      <c r="AP351" s="954" t="str">
        <f ca="1">IFERROR($J351*44/12*参考2_エネ使用量経年!$J201*(参考2_エネ使用量経年!AP201+参考2_エネ使用量経年!AP288),"")</f>
        <v/>
      </c>
      <c r="AQ351" s="954" t="str">
        <f ca="1">IFERROR($K351*44/12*参考2_エネ使用量経年!$K201*(参考2_エネ使用量経年!AQ201+参考2_エネ使用量経年!AQ288),"")</f>
        <v/>
      </c>
      <c r="AR351" s="954" t="str">
        <f ca="1">IFERROR($H351*44/12*参考2_エネ使用量経年!$H201*(参考2_エネ使用量経年!AR201+参考2_エネ使用量経年!AR288),"")</f>
        <v/>
      </c>
      <c r="AS351" s="954" t="str">
        <f ca="1">IFERROR($I351*44/12*参考2_エネ使用量経年!$I201*(参考2_エネ使用量経年!AS201+参考2_エネ使用量経年!AS288),"")</f>
        <v/>
      </c>
      <c r="AT351" s="954" t="str">
        <f ca="1">IFERROR($J351*44/12*参考2_エネ使用量経年!$J201*(参考2_エネ使用量経年!AT201+参考2_エネ使用量経年!AT288),"")</f>
        <v/>
      </c>
      <c r="AU351" s="954" t="str">
        <f ca="1">IFERROR($K351*44/12*参考2_エネ使用量経年!$K201*(参考2_エネ使用量経年!AU201+参考2_エネ使用量経年!AU288),"")</f>
        <v/>
      </c>
      <c r="AV351" s="954" t="str">
        <f ca="1">IFERROR($H351*44/12*参考2_エネ使用量経年!$H201*(参考2_エネ使用量経年!AV201+参考2_エネ使用量経年!AV288),"")</f>
        <v/>
      </c>
      <c r="AW351" s="954" t="str">
        <f ca="1">IFERROR($I351*44/12*参考2_エネ使用量経年!$I201*(参考2_エネ使用量経年!AW201+参考2_エネ使用量経年!AW288),"")</f>
        <v/>
      </c>
      <c r="AX351" s="954" t="str">
        <f ca="1">IFERROR($J351*44/12*参考2_エネ使用量経年!$J201*(参考2_エネ使用量経年!AX201+参考2_エネ使用量経年!AX288),"")</f>
        <v/>
      </c>
      <c r="AY351" s="954" t="str">
        <f ca="1">IFERROR($K351*44/12*参考2_エネ使用量経年!$K201*(参考2_エネ使用量経年!AY201+参考2_エネ使用量経年!AY288),"")</f>
        <v/>
      </c>
      <c r="AZ351" s="954" t="str">
        <f ca="1">IFERROR($H351*44/12*参考2_エネ使用量経年!$H201*(参考2_エネ使用量経年!AZ201+参考2_エネ使用量経年!AZ288),"")</f>
        <v/>
      </c>
      <c r="BA351" s="954" t="str">
        <f ca="1">IFERROR($I351*44/12*参考2_エネ使用量経年!$I201*(参考2_エネ使用量経年!BA201+参考2_エネ使用量経年!BA288),"")</f>
        <v/>
      </c>
      <c r="BB351" s="954" t="str">
        <f ca="1">IFERROR($J351*44/12*参考2_エネ使用量経年!$J201*(参考2_エネ使用量経年!BB201+参考2_エネ使用量経年!BB288),"")</f>
        <v/>
      </c>
      <c r="BC351" s="954" t="str">
        <f ca="1">IFERROR($K351*44/12*参考2_エネ使用量経年!$K201*(参考2_エネ使用量経年!BC201+参考2_エネ使用量経年!BC288),"")</f>
        <v/>
      </c>
      <c r="BD351" s="954" t="str">
        <f ca="1">IFERROR($H351*44/12*参考2_エネ使用量経年!$H201*(参考2_エネ使用量経年!BD201+参考2_エネ使用量経年!BD288),"")</f>
        <v/>
      </c>
      <c r="BE351" s="954" t="str">
        <f ca="1">IFERROR($I351*44/12*参考2_エネ使用量経年!$I201*(参考2_エネ使用量経年!BE201+参考2_エネ使用量経年!BE288),"")</f>
        <v/>
      </c>
      <c r="BF351" s="954" t="str">
        <f ca="1">IFERROR($J351*44/12*参考2_エネ使用量経年!$J201*(参考2_エネ使用量経年!BF201+参考2_エネ使用量経年!BF288),"")</f>
        <v/>
      </c>
      <c r="BG351" s="954" t="str">
        <f ca="1">IFERROR($K351*44/12*参考2_エネ使用量経年!$K201*(参考2_エネ使用量経年!BG201+参考2_エネ使用量経年!BG288),"")</f>
        <v/>
      </c>
      <c r="BH351" s="954" t="str">
        <f ca="1">IFERROR($H351*44/12*参考2_エネ使用量経年!$H201*(参考2_エネ使用量経年!BH201+参考2_エネ使用量経年!BH288),"")</f>
        <v/>
      </c>
      <c r="BI351" s="954" t="str">
        <f ca="1">IFERROR($I351*44/12*参考2_エネ使用量経年!$I201*(参考2_エネ使用量経年!BI201+参考2_エネ使用量経年!BI288),"")</f>
        <v/>
      </c>
      <c r="BJ351" s="954" t="str">
        <f ca="1">IFERROR($J351*44/12*参考2_エネ使用量経年!$J201*(参考2_エネ使用量経年!BJ201+参考2_エネ使用量経年!BJ288),"")</f>
        <v/>
      </c>
      <c r="BK351" s="954" t="str">
        <f ca="1">IFERROR($K351*44/12*参考2_エネ使用量経年!$K201*(参考2_エネ使用量経年!BK201+参考2_エネ使用量経年!BK288),"")</f>
        <v/>
      </c>
      <c r="BL351" s="954" t="str">
        <f ca="1">IFERROR($H351*44/12*参考2_エネ使用量経年!$H201*(参考2_エネ使用量経年!BL201+参考2_エネ使用量経年!BL288),"")</f>
        <v/>
      </c>
      <c r="BM351" s="954" t="str">
        <f ca="1">IFERROR($I351*44/12*参考2_エネ使用量経年!$I201*(参考2_エネ使用量経年!BM201+参考2_エネ使用量経年!BM288),"")</f>
        <v/>
      </c>
      <c r="BN351" s="954" t="str">
        <f ca="1">IFERROR($J351*44/12*参考2_エネ使用量経年!$J201*(参考2_エネ使用量経年!BN201+参考2_エネ使用量経年!BN288),"")</f>
        <v/>
      </c>
      <c r="BO351" s="954" t="str">
        <f ca="1">IFERROR($K351*44/12*参考2_エネ使用量経年!$K201*(参考2_エネ使用量経年!BO201+参考2_エネ使用量経年!BO288),"")</f>
        <v/>
      </c>
    </row>
    <row r="352" spans="1:67" ht="20.100000000000001" customHeight="1">
      <c r="A352" s="952">
        <v>39</v>
      </c>
      <c r="B352" s="1870"/>
      <c r="C352" s="1872"/>
      <c r="D352" s="832" t="s">
        <v>4409</v>
      </c>
      <c r="E352" s="818"/>
      <c r="F352" s="825"/>
      <c r="G352" s="891" t="s">
        <v>4685</v>
      </c>
      <c r="H352" s="953">
        <f t="shared" ca="1" si="110"/>
        <v>0</v>
      </c>
      <c r="I352" s="953">
        <f t="shared" ca="1" si="111"/>
        <v>0</v>
      </c>
      <c r="J352" s="953">
        <f t="shared" ca="1" si="112"/>
        <v>0</v>
      </c>
      <c r="K352" s="953">
        <f t="shared" ca="1" si="113"/>
        <v>0</v>
      </c>
      <c r="L352" s="954">
        <f ca="1">IFERROR($H352*44/12*参考2_エネ使用量経年!$H202*(参考2_エネ使用量経年!L202+参考2_エネ使用量経年!L289),"")</f>
        <v>0</v>
      </c>
      <c r="M352" s="954">
        <f ca="1">IFERROR($I352*44/12*参考2_エネ使用量経年!$I202*(参考2_エネ使用量経年!M202+参考2_エネ使用量経年!M289),"")</f>
        <v>0</v>
      </c>
      <c r="N352" s="954">
        <f ca="1">IFERROR($J352*44/12*参考2_エネ使用量経年!$J202*(参考2_エネ使用量経年!N202+参考2_エネ使用量経年!N289),"")</f>
        <v>0</v>
      </c>
      <c r="O352" s="954">
        <f ca="1">IFERROR($K352*44/12*参考2_エネ使用量経年!$K202*(参考2_エネ使用量経年!O202+参考2_エネ使用量経年!O289),"")</f>
        <v>0</v>
      </c>
      <c r="P352" s="954">
        <f ca="1">IFERROR($H352*44/12*参考2_エネ使用量経年!$H202*(参考2_エネ使用量経年!P202+参考2_エネ使用量経年!P289),"")</f>
        <v>0</v>
      </c>
      <c r="Q352" s="954">
        <f ca="1">IFERROR($I352*44/12*参考2_エネ使用量経年!$I202*(参考2_エネ使用量経年!Q202+参考2_エネ使用量経年!Q289),"")</f>
        <v>0</v>
      </c>
      <c r="R352" s="954">
        <f ca="1">IFERROR($J352*44/12*参考2_エネ使用量経年!$J202*(参考2_エネ使用量経年!R202+参考2_エネ使用量経年!R289),"")</f>
        <v>0</v>
      </c>
      <c r="S352" s="954">
        <f ca="1">IFERROR($K352*44/12*参考2_エネ使用量経年!$K202*(参考2_エネ使用量経年!S202+参考2_エネ使用量経年!S289),"")</f>
        <v>0</v>
      </c>
      <c r="T352" s="954">
        <f ca="1">IFERROR($H352*44/12*参考2_エネ使用量経年!$H202*(参考2_エネ使用量経年!T202+参考2_エネ使用量経年!T289),"")</f>
        <v>0</v>
      </c>
      <c r="U352" s="954">
        <f ca="1">IFERROR($I352*44/12*参考2_エネ使用量経年!$I202*(参考2_エネ使用量経年!U202+参考2_エネ使用量経年!U289),"")</f>
        <v>0</v>
      </c>
      <c r="V352" s="954">
        <f ca="1">IFERROR($J352*44/12*参考2_エネ使用量経年!$J202*(参考2_エネ使用量経年!V202+参考2_エネ使用量経年!V289),"")</f>
        <v>0</v>
      </c>
      <c r="W352" s="954">
        <f ca="1">IFERROR($K352*44/12*参考2_エネ使用量経年!$K202*(参考2_エネ使用量経年!W202+参考2_エネ使用量経年!W289),"")</f>
        <v>0</v>
      </c>
      <c r="X352" s="954">
        <f ca="1">IFERROR($H352*44/12*参考2_エネ使用量経年!$H202*(参考2_エネ使用量経年!X202+参考2_エネ使用量経年!X289),"")</f>
        <v>0</v>
      </c>
      <c r="Y352" s="954">
        <f ca="1">IFERROR($I352*44/12*参考2_エネ使用量経年!$I202*(参考2_エネ使用量経年!Y202+参考2_エネ使用量経年!Y289),"")</f>
        <v>0</v>
      </c>
      <c r="Z352" s="954">
        <f ca="1">IFERROR($J352*44/12*参考2_エネ使用量経年!$J202*(参考2_エネ使用量経年!Z202+参考2_エネ使用量経年!Z289),"")</f>
        <v>0</v>
      </c>
      <c r="AA352" s="954">
        <f ca="1">IFERROR($K352*44/12*参考2_エネ使用量経年!$K202*(参考2_エネ使用量経年!AA202+参考2_エネ使用量経年!AA289),"")</f>
        <v>0</v>
      </c>
      <c r="AB352" s="954" t="str">
        <f ca="1">IFERROR($H352*44/12*参考2_エネ使用量経年!$H202*(参考2_エネ使用量経年!AB202+参考2_エネ使用量経年!AB289),"")</f>
        <v/>
      </c>
      <c r="AC352" s="954" t="str">
        <f ca="1">IFERROR($I352*44/12*参考2_エネ使用量経年!$I202*(参考2_エネ使用量経年!AC202+参考2_エネ使用量経年!AC289),"")</f>
        <v/>
      </c>
      <c r="AD352" s="954" t="str">
        <f ca="1">IFERROR($J352*44/12*参考2_エネ使用量経年!$J202*(参考2_エネ使用量経年!AD202+参考2_エネ使用量経年!AD289),"")</f>
        <v/>
      </c>
      <c r="AE352" s="954" t="str">
        <f ca="1">IFERROR($K352*44/12*参考2_エネ使用量経年!$K202*(参考2_エネ使用量経年!AE202+参考2_エネ使用量経年!AE289),"")</f>
        <v/>
      </c>
      <c r="AF352" s="954" t="str">
        <f ca="1">IFERROR($H352*44/12*参考2_エネ使用量経年!$H202*(参考2_エネ使用量経年!AF202+参考2_エネ使用量経年!AF289),"")</f>
        <v/>
      </c>
      <c r="AG352" s="954" t="str">
        <f ca="1">IFERROR($I352*44/12*参考2_エネ使用量経年!$I202*(参考2_エネ使用量経年!AG202+参考2_エネ使用量経年!AG289),"")</f>
        <v/>
      </c>
      <c r="AH352" s="954" t="str">
        <f ca="1">IFERROR($J352*44/12*参考2_エネ使用量経年!$J202*(参考2_エネ使用量経年!AH202+参考2_エネ使用量経年!AH289),"")</f>
        <v/>
      </c>
      <c r="AI352" s="954" t="str">
        <f ca="1">IFERROR($K352*44/12*参考2_エネ使用量経年!$K202*(参考2_エネ使用量経年!AI202+参考2_エネ使用量経年!AI289),"")</f>
        <v/>
      </c>
      <c r="AJ352" s="954" t="str">
        <f ca="1">IFERROR($H352*44/12*参考2_エネ使用量経年!$H202*(参考2_エネ使用量経年!AJ202+参考2_エネ使用量経年!AJ289),"")</f>
        <v/>
      </c>
      <c r="AK352" s="954" t="str">
        <f ca="1">IFERROR($I352*44/12*参考2_エネ使用量経年!$I202*(参考2_エネ使用量経年!AK202+参考2_エネ使用量経年!AK289),"")</f>
        <v/>
      </c>
      <c r="AL352" s="954" t="str">
        <f ca="1">IFERROR($J352*44/12*参考2_エネ使用量経年!$J202*(参考2_エネ使用量経年!AL202+参考2_エネ使用量経年!AL289),"")</f>
        <v/>
      </c>
      <c r="AM352" s="954" t="str">
        <f ca="1">IFERROR($K352*44/12*参考2_エネ使用量経年!$K202*(参考2_エネ使用量経年!AM202+参考2_エネ使用量経年!AM289),"")</f>
        <v/>
      </c>
      <c r="AN352" s="954" t="str">
        <f ca="1">IFERROR($H352*44/12*参考2_エネ使用量経年!$H202*(参考2_エネ使用量経年!AN202+参考2_エネ使用量経年!AN289),"")</f>
        <v/>
      </c>
      <c r="AO352" s="954" t="str">
        <f ca="1">IFERROR($I352*44/12*参考2_エネ使用量経年!$I202*(参考2_エネ使用量経年!AO202+参考2_エネ使用量経年!AO289),"")</f>
        <v/>
      </c>
      <c r="AP352" s="954" t="str">
        <f ca="1">IFERROR($J352*44/12*参考2_エネ使用量経年!$J202*(参考2_エネ使用量経年!AP202+参考2_エネ使用量経年!AP289),"")</f>
        <v/>
      </c>
      <c r="AQ352" s="954" t="str">
        <f ca="1">IFERROR($K352*44/12*参考2_エネ使用量経年!$K202*(参考2_エネ使用量経年!AQ202+参考2_エネ使用量経年!AQ289),"")</f>
        <v/>
      </c>
      <c r="AR352" s="954" t="str">
        <f ca="1">IFERROR($H352*44/12*参考2_エネ使用量経年!$H202*(参考2_エネ使用量経年!AR202+参考2_エネ使用量経年!AR289),"")</f>
        <v/>
      </c>
      <c r="AS352" s="954" t="str">
        <f ca="1">IFERROR($I352*44/12*参考2_エネ使用量経年!$I202*(参考2_エネ使用量経年!AS202+参考2_エネ使用量経年!AS289),"")</f>
        <v/>
      </c>
      <c r="AT352" s="954" t="str">
        <f ca="1">IFERROR($J352*44/12*参考2_エネ使用量経年!$J202*(参考2_エネ使用量経年!AT202+参考2_エネ使用量経年!AT289),"")</f>
        <v/>
      </c>
      <c r="AU352" s="954" t="str">
        <f ca="1">IFERROR($K352*44/12*参考2_エネ使用量経年!$K202*(参考2_エネ使用量経年!AU202+参考2_エネ使用量経年!AU289),"")</f>
        <v/>
      </c>
      <c r="AV352" s="954" t="str">
        <f ca="1">IFERROR($H352*44/12*参考2_エネ使用量経年!$H202*(参考2_エネ使用量経年!AV202+参考2_エネ使用量経年!AV289),"")</f>
        <v/>
      </c>
      <c r="AW352" s="954" t="str">
        <f ca="1">IFERROR($I352*44/12*参考2_エネ使用量経年!$I202*(参考2_エネ使用量経年!AW202+参考2_エネ使用量経年!AW289),"")</f>
        <v/>
      </c>
      <c r="AX352" s="954" t="str">
        <f ca="1">IFERROR($J352*44/12*参考2_エネ使用量経年!$J202*(参考2_エネ使用量経年!AX202+参考2_エネ使用量経年!AX289),"")</f>
        <v/>
      </c>
      <c r="AY352" s="954" t="str">
        <f ca="1">IFERROR($K352*44/12*参考2_エネ使用量経年!$K202*(参考2_エネ使用量経年!AY202+参考2_エネ使用量経年!AY289),"")</f>
        <v/>
      </c>
      <c r="AZ352" s="954" t="str">
        <f ca="1">IFERROR($H352*44/12*参考2_エネ使用量経年!$H202*(参考2_エネ使用量経年!AZ202+参考2_エネ使用量経年!AZ289),"")</f>
        <v/>
      </c>
      <c r="BA352" s="954" t="str">
        <f ca="1">IFERROR($I352*44/12*参考2_エネ使用量経年!$I202*(参考2_エネ使用量経年!BA202+参考2_エネ使用量経年!BA289),"")</f>
        <v/>
      </c>
      <c r="BB352" s="954" t="str">
        <f ca="1">IFERROR($J352*44/12*参考2_エネ使用量経年!$J202*(参考2_エネ使用量経年!BB202+参考2_エネ使用量経年!BB289),"")</f>
        <v/>
      </c>
      <c r="BC352" s="954" t="str">
        <f ca="1">IFERROR($K352*44/12*参考2_エネ使用量経年!$K202*(参考2_エネ使用量経年!BC202+参考2_エネ使用量経年!BC289),"")</f>
        <v/>
      </c>
      <c r="BD352" s="954" t="str">
        <f ca="1">IFERROR($H352*44/12*参考2_エネ使用量経年!$H202*(参考2_エネ使用量経年!BD202+参考2_エネ使用量経年!BD289),"")</f>
        <v/>
      </c>
      <c r="BE352" s="954" t="str">
        <f ca="1">IFERROR($I352*44/12*参考2_エネ使用量経年!$I202*(参考2_エネ使用量経年!BE202+参考2_エネ使用量経年!BE289),"")</f>
        <v/>
      </c>
      <c r="BF352" s="954" t="str">
        <f ca="1">IFERROR($J352*44/12*参考2_エネ使用量経年!$J202*(参考2_エネ使用量経年!BF202+参考2_エネ使用量経年!BF289),"")</f>
        <v/>
      </c>
      <c r="BG352" s="954" t="str">
        <f ca="1">IFERROR($K352*44/12*参考2_エネ使用量経年!$K202*(参考2_エネ使用量経年!BG202+参考2_エネ使用量経年!BG289),"")</f>
        <v/>
      </c>
      <c r="BH352" s="954" t="str">
        <f ca="1">IFERROR($H352*44/12*参考2_エネ使用量経年!$H202*(参考2_エネ使用量経年!BH202+参考2_エネ使用量経年!BH289),"")</f>
        <v/>
      </c>
      <c r="BI352" s="954" t="str">
        <f ca="1">IFERROR($I352*44/12*参考2_エネ使用量経年!$I202*(参考2_エネ使用量経年!BI202+参考2_エネ使用量経年!BI289),"")</f>
        <v/>
      </c>
      <c r="BJ352" s="954" t="str">
        <f ca="1">IFERROR($J352*44/12*参考2_エネ使用量経年!$J202*(参考2_エネ使用量経年!BJ202+参考2_エネ使用量経年!BJ289),"")</f>
        <v/>
      </c>
      <c r="BK352" s="954" t="str">
        <f ca="1">IFERROR($K352*44/12*参考2_エネ使用量経年!$K202*(参考2_エネ使用量経年!BK202+参考2_エネ使用量経年!BK289),"")</f>
        <v/>
      </c>
      <c r="BL352" s="954" t="str">
        <f ca="1">IFERROR($H352*44/12*参考2_エネ使用量経年!$H202*(参考2_エネ使用量経年!BL202+参考2_エネ使用量経年!BL289),"")</f>
        <v/>
      </c>
      <c r="BM352" s="954" t="str">
        <f ca="1">IFERROR($I352*44/12*参考2_エネ使用量経年!$I202*(参考2_エネ使用量経年!BM202+参考2_エネ使用量経年!BM289),"")</f>
        <v/>
      </c>
      <c r="BN352" s="954" t="str">
        <f ca="1">IFERROR($J352*44/12*参考2_エネ使用量経年!$J202*(参考2_エネ使用量経年!BN202+参考2_エネ使用量経年!BN289),"")</f>
        <v/>
      </c>
      <c r="BO352" s="954" t="str">
        <f ca="1">IFERROR($K352*44/12*参考2_エネ使用量経年!$K202*(参考2_エネ使用量経年!BO202+参考2_エネ使用量経年!BO289),"")</f>
        <v/>
      </c>
    </row>
    <row r="353" spans="1:68" ht="20.100000000000001" customHeight="1">
      <c r="A353" s="952">
        <v>40</v>
      </c>
      <c r="B353" s="1870"/>
      <c r="C353" s="1872"/>
      <c r="D353" s="824" t="s">
        <v>4179</v>
      </c>
      <c r="E353" s="824"/>
      <c r="F353" s="825"/>
      <c r="G353" s="891" t="s">
        <v>4685</v>
      </c>
      <c r="H353" s="953">
        <f t="shared" ca="1" si="110"/>
        <v>0</v>
      </c>
      <c r="I353" s="953">
        <f t="shared" ca="1" si="111"/>
        <v>0</v>
      </c>
      <c r="J353" s="953">
        <f t="shared" ca="1" si="112"/>
        <v>0</v>
      </c>
      <c r="K353" s="953">
        <f t="shared" ca="1" si="113"/>
        <v>0</v>
      </c>
      <c r="L353" s="954">
        <f ca="1">IFERROR($H353*44/12*参考2_エネ使用量経年!$H203*(参考2_エネ使用量経年!L203+参考2_エネ使用量経年!L290),"")</f>
        <v>0</v>
      </c>
      <c r="M353" s="954">
        <f ca="1">IFERROR($I353*44/12*参考2_エネ使用量経年!$I203*(参考2_エネ使用量経年!M203+参考2_エネ使用量経年!M290),"")</f>
        <v>0</v>
      </c>
      <c r="N353" s="954">
        <f ca="1">IFERROR($J353*44/12*参考2_エネ使用量経年!$J203*(参考2_エネ使用量経年!N203+参考2_エネ使用量経年!N290),"")</f>
        <v>0</v>
      </c>
      <c r="O353" s="954">
        <f ca="1">IFERROR($K353*44/12*参考2_エネ使用量経年!$K203*(参考2_エネ使用量経年!O203+参考2_エネ使用量経年!O290),"")</f>
        <v>0</v>
      </c>
      <c r="P353" s="954">
        <f ca="1">IFERROR($H353*44/12*参考2_エネ使用量経年!$H203*(参考2_エネ使用量経年!P203+参考2_エネ使用量経年!P290),"")</f>
        <v>0</v>
      </c>
      <c r="Q353" s="954">
        <f ca="1">IFERROR($I353*44/12*参考2_エネ使用量経年!$I203*(参考2_エネ使用量経年!Q203+参考2_エネ使用量経年!Q290),"")</f>
        <v>0</v>
      </c>
      <c r="R353" s="954">
        <f ca="1">IFERROR($J353*44/12*参考2_エネ使用量経年!$J203*(参考2_エネ使用量経年!R203+参考2_エネ使用量経年!R290),"")</f>
        <v>0</v>
      </c>
      <c r="S353" s="954">
        <f ca="1">IFERROR($K353*44/12*参考2_エネ使用量経年!$K203*(参考2_エネ使用量経年!S203+参考2_エネ使用量経年!S290),"")</f>
        <v>0</v>
      </c>
      <c r="T353" s="954">
        <f ca="1">IFERROR($H353*44/12*参考2_エネ使用量経年!$H203*(参考2_エネ使用量経年!T203+参考2_エネ使用量経年!T290),"")</f>
        <v>0</v>
      </c>
      <c r="U353" s="954">
        <f ca="1">IFERROR($I353*44/12*参考2_エネ使用量経年!$I203*(参考2_エネ使用量経年!U203+参考2_エネ使用量経年!U290),"")</f>
        <v>0</v>
      </c>
      <c r="V353" s="954">
        <f ca="1">IFERROR($J353*44/12*参考2_エネ使用量経年!$J203*(参考2_エネ使用量経年!V203+参考2_エネ使用量経年!V290),"")</f>
        <v>0</v>
      </c>
      <c r="W353" s="954">
        <f ca="1">IFERROR($K353*44/12*参考2_エネ使用量経年!$K203*(参考2_エネ使用量経年!W203+参考2_エネ使用量経年!W290),"")</f>
        <v>0</v>
      </c>
      <c r="X353" s="954">
        <f ca="1">IFERROR($H353*44/12*参考2_エネ使用量経年!$H203*(参考2_エネ使用量経年!X203+参考2_エネ使用量経年!X290),"")</f>
        <v>0</v>
      </c>
      <c r="Y353" s="954">
        <f ca="1">IFERROR($I353*44/12*参考2_エネ使用量経年!$I203*(参考2_エネ使用量経年!Y203+参考2_エネ使用量経年!Y290),"")</f>
        <v>0</v>
      </c>
      <c r="Z353" s="954">
        <f ca="1">IFERROR($J353*44/12*参考2_エネ使用量経年!$J203*(参考2_エネ使用量経年!Z203+参考2_エネ使用量経年!Z290),"")</f>
        <v>0</v>
      </c>
      <c r="AA353" s="954">
        <f ca="1">IFERROR($K353*44/12*参考2_エネ使用量経年!$K203*(参考2_エネ使用量経年!AA203+参考2_エネ使用量経年!AA290),"")</f>
        <v>0</v>
      </c>
      <c r="AB353" s="954" t="str">
        <f ca="1">IFERROR($H353*44/12*参考2_エネ使用量経年!$H203*(参考2_エネ使用量経年!AB203+参考2_エネ使用量経年!AB290),"")</f>
        <v/>
      </c>
      <c r="AC353" s="954" t="str">
        <f ca="1">IFERROR($I353*44/12*参考2_エネ使用量経年!$I203*(参考2_エネ使用量経年!AC203+参考2_エネ使用量経年!AC290),"")</f>
        <v/>
      </c>
      <c r="AD353" s="954" t="str">
        <f ca="1">IFERROR($J353*44/12*参考2_エネ使用量経年!$J203*(参考2_エネ使用量経年!AD203+参考2_エネ使用量経年!AD290),"")</f>
        <v/>
      </c>
      <c r="AE353" s="954" t="str">
        <f ca="1">IFERROR($K353*44/12*参考2_エネ使用量経年!$K203*(参考2_エネ使用量経年!AE203+参考2_エネ使用量経年!AE290),"")</f>
        <v/>
      </c>
      <c r="AF353" s="954" t="str">
        <f ca="1">IFERROR($H353*44/12*参考2_エネ使用量経年!$H203*(参考2_エネ使用量経年!AF203+参考2_エネ使用量経年!AF290),"")</f>
        <v/>
      </c>
      <c r="AG353" s="954" t="str">
        <f ca="1">IFERROR($I353*44/12*参考2_エネ使用量経年!$I203*(参考2_エネ使用量経年!AG203+参考2_エネ使用量経年!AG290),"")</f>
        <v/>
      </c>
      <c r="AH353" s="954" t="str">
        <f ca="1">IFERROR($J353*44/12*参考2_エネ使用量経年!$J203*(参考2_エネ使用量経年!AH203+参考2_エネ使用量経年!AH290),"")</f>
        <v/>
      </c>
      <c r="AI353" s="954" t="str">
        <f ca="1">IFERROR($K353*44/12*参考2_エネ使用量経年!$K203*(参考2_エネ使用量経年!AI203+参考2_エネ使用量経年!AI290),"")</f>
        <v/>
      </c>
      <c r="AJ353" s="954" t="str">
        <f ca="1">IFERROR($H353*44/12*参考2_エネ使用量経年!$H203*(参考2_エネ使用量経年!AJ203+参考2_エネ使用量経年!AJ290),"")</f>
        <v/>
      </c>
      <c r="AK353" s="954" t="str">
        <f ca="1">IFERROR($I353*44/12*参考2_エネ使用量経年!$I203*(参考2_エネ使用量経年!AK203+参考2_エネ使用量経年!AK290),"")</f>
        <v/>
      </c>
      <c r="AL353" s="954" t="str">
        <f ca="1">IFERROR($J353*44/12*参考2_エネ使用量経年!$J203*(参考2_エネ使用量経年!AL203+参考2_エネ使用量経年!AL290),"")</f>
        <v/>
      </c>
      <c r="AM353" s="954" t="str">
        <f ca="1">IFERROR($K353*44/12*参考2_エネ使用量経年!$K203*(参考2_エネ使用量経年!AM203+参考2_エネ使用量経年!AM290),"")</f>
        <v/>
      </c>
      <c r="AN353" s="954" t="str">
        <f ca="1">IFERROR($H353*44/12*参考2_エネ使用量経年!$H203*(参考2_エネ使用量経年!AN203+参考2_エネ使用量経年!AN290),"")</f>
        <v/>
      </c>
      <c r="AO353" s="954" t="str">
        <f ca="1">IFERROR($I353*44/12*参考2_エネ使用量経年!$I203*(参考2_エネ使用量経年!AO203+参考2_エネ使用量経年!AO290),"")</f>
        <v/>
      </c>
      <c r="AP353" s="954" t="str">
        <f ca="1">IFERROR($J353*44/12*参考2_エネ使用量経年!$J203*(参考2_エネ使用量経年!AP203+参考2_エネ使用量経年!AP290),"")</f>
        <v/>
      </c>
      <c r="AQ353" s="954" t="str">
        <f ca="1">IFERROR($K353*44/12*参考2_エネ使用量経年!$K203*(参考2_エネ使用量経年!AQ203+参考2_エネ使用量経年!AQ290),"")</f>
        <v/>
      </c>
      <c r="AR353" s="954" t="str">
        <f ca="1">IFERROR($H353*44/12*参考2_エネ使用量経年!$H203*(参考2_エネ使用量経年!AR203+参考2_エネ使用量経年!AR290),"")</f>
        <v/>
      </c>
      <c r="AS353" s="954" t="str">
        <f ca="1">IFERROR($I353*44/12*参考2_エネ使用量経年!$I203*(参考2_エネ使用量経年!AS203+参考2_エネ使用量経年!AS290),"")</f>
        <v/>
      </c>
      <c r="AT353" s="954" t="str">
        <f ca="1">IFERROR($J353*44/12*参考2_エネ使用量経年!$J203*(参考2_エネ使用量経年!AT203+参考2_エネ使用量経年!AT290),"")</f>
        <v/>
      </c>
      <c r="AU353" s="954" t="str">
        <f ca="1">IFERROR($K353*44/12*参考2_エネ使用量経年!$K203*(参考2_エネ使用量経年!AU203+参考2_エネ使用量経年!AU290),"")</f>
        <v/>
      </c>
      <c r="AV353" s="954" t="str">
        <f ca="1">IFERROR($H353*44/12*参考2_エネ使用量経年!$H203*(参考2_エネ使用量経年!AV203+参考2_エネ使用量経年!AV290),"")</f>
        <v/>
      </c>
      <c r="AW353" s="954" t="str">
        <f ca="1">IFERROR($I353*44/12*参考2_エネ使用量経年!$I203*(参考2_エネ使用量経年!AW203+参考2_エネ使用量経年!AW290),"")</f>
        <v/>
      </c>
      <c r="AX353" s="954" t="str">
        <f ca="1">IFERROR($J353*44/12*参考2_エネ使用量経年!$J203*(参考2_エネ使用量経年!AX203+参考2_エネ使用量経年!AX290),"")</f>
        <v/>
      </c>
      <c r="AY353" s="954" t="str">
        <f ca="1">IFERROR($K353*44/12*参考2_エネ使用量経年!$K203*(参考2_エネ使用量経年!AY203+参考2_エネ使用量経年!AY290),"")</f>
        <v/>
      </c>
      <c r="AZ353" s="954" t="str">
        <f ca="1">IFERROR($H353*44/12*参考2_エネ使用量経年!$H203*(参考2_エネ使用量経年!AZ203+参考2_エネ使用量経年!AZ290),"")</f>
        <v/>
      </c>
      <c r="BA353" s="954" t="str">
        <f ca="1">IFERROR($I353*44/12*参考2_エネ使用量経年!$I203*(参考2_エネ使用量経年!BA203+参考2_エネ使用量経年!BA290),"")</f>
        <v/>
      </c>
      <c r="BB353" s="954" t="str">
        <f ca="1">IFERROR($J353*44/12*参考2_エネ使用量経年!$J203*(参考2_エネ使用量経年!BB203+参考2_エネ使用量経年!BB290),"")</f>
        <v/>
      </c>
      <c r="BC353" s="954" t="str">
        <f ca="1">IFERROR($K353*44/12*参考2_エネ使用量経年!$K203*(参考2_エネ使用量経年!BC203+参考2_エネ使用量経年!BC290),"")</f>
        <v/>
      </c>
      <c r="BD353" s="954" t="str">
        <f ca="1">IFERROR($H353*44/12*参考2_エネ使用量経年!$H203*(参考2_エネ使用量経年!BD203+参考2_エネ使用量経年!BD290),"")</f>
        <v/>
      </c>
      <c r="BE353" s="954" t="str">
        <f ca="1">IFERROR($I353*44/12*参考2_エネ使用量経年!$I203*(参考2_エネ使用量経年!BE203+参考2_エネ使用量経年!BE290),"")</f>
        <v/>
      </c>
      <c r="BF353" s="954" t="str">
        <f ca="1">IFERROR($J353*44/12*参考2_エネ使用量経年!$J203*(参考2_エネ使用量経年!BF203+参考2_エネ使用量経年!BF290),"")</f>
        <v/>
      </c>
      <c r="BG353" s="954" t="str">
        <f ca="1">IFERROR($K353*44/12*参考2_エネ使用量経年!$K203*(参考2_エネ使用量経年!BG203+参考2_エネ使用量経年!BG290),"")</f>
        <v/>
      </c>
      <c r="BH353" s="954" t="str">
        <f ca="1">IFERROR($H353*44/12*参考2_エネ使用量経年!$H203*(参考2_エネ使用量経年!BH203+参考2_エネ使用量経年!BH290),"")</f>
        <v/>
      </c>
      <c r="BI353" s="954" t="str">
        <f ca="1">IFERROR($I353*44/12*参考2_エネ使用量経年!$I203*(参考2_エネ使用量経年!BI203+参考2_エネ使用量経年!BI290),"")</f>
        <v/>
      </c>
      <c r="BJ353" s="954" t="str">
        <f ca="1">IFERROR($J353*44/12*参考2_エネ使用量経年!$J203*(参考2_エネ使用量経年!BJ203+参考2_エネ使用量経年!BJ290),"")</f>
        <v/>
      </c>
      <c r="BK353" s="954" t="str">
        <f ca="1">IFERROR($K353*44/12*参考2_エネ使用量経年!$K203*(参考2_エネ使用量経年!BK203+参考2_エネ使用量経年!BK290),"")</f>
        <v/>
      </c>
      <c r="BL353" s="954" t="str">
        <f ca="1">IFERROR($H353*44/12*参考2_エネ使用量経年!$H203*(参考2_エネ使用量経年!BL203+参考2_エネ使用量経年!BL290),"")</f>
        <v/>
      </c>
      <c r="BM353" s="954" t="str">
        <f ca="1">IFERROR($I353*44/12*参考2_エネ使用量経年!$I203*(参考2_エネ使用量経年!BM203+参考2_エネ使用量経年!BM290),"")</f>
        <v/>
      </c>
      <c r="BN353" s="954" t="str">
        <f ca="1">IFERROR($J353*44/12*参考2_エネ使用量経年!$J203*(参考2_エネ使用量経年!BN203+参考2_エネ使用量経年!BN290),"")</f>
        <v/>
      </c>
      <c r="BO353" s="954" t="str">
        <f ca="1">IFERROR($K353*44/12*参考2_エネ使用量経年!$K203*(参考2_エネ使用量経年!BO203+参考2_エネ使用量経年!BO290),"")</f>
        <v/>
      </c>
    </row>
    <row r="354" spans="1:68" ht="20.100000000000001" customHeight="1">
      <c r="A354" s="952">
        <v>41</v>
      </c>
      <c r="B354" s="1870"/>
      <c r="C354" s="1872"/>
      <c r="D354" s="824" t="s">
        <v>4180</v>
      </c>
      <c r="E354" s="824"/>
      <c r="F354" s="825"/>
      <c r="G354" s="891" t="s">
        <v>4685</v>
      </c>
      <c r="H354" s="953">
        <f t="shared" ca="1" si="110"/>
        <v>0</v>
      </c>
      <c r="I354" s="953">
        <f t="shared" ca="1" si="111"/>
        <v>0</v>
      </c>
      <c r="J354" s="953">
        <f t="shared" ca="1" si="112"/>
        <v>0</v>
      </c>
      <c r="K354" s="953">
        <f t="shared" ca="1" si="113"/>
        <v>0</v>
      </c>
      <c r="L354" s="954">
        <f ca="1">IFERROR($H354*44/12*参考2_エネ使用量経年!$H204*(参考2_エネ使用量経年!L204+参考2_エネ使用量経年!L291),"")</f>
        <v>0</v>
      </c>
      <c r="M354" s="954">
        <f ca="1">IFERROR($I354*44/12*参考2_エネ使用量経年!$I204*(参考2_エネ使用量経年!M204+参考2_エネ使用量経年!M291),"")</f>
        <v>0</v>
      </c>
      <c r="N354" s="954">
        <f ca="1">IFERROR($J354*44/12*参考2_エネ使用量経年!$J204*(参考2_エネ使用量経年!N204+参考2_エネ使用量経年!N291),"")</f>
        <v>0</v>
      </c>
      <c r="O354" s="954">
        <f ca="1">IFERROR($K354*44/12*参考2_エネ使用量経年!$K204*(参考2_エネ使用量経年!O204+参考2_エネ使用量経年!O291),"")</f>
        <v>0</v>
      </c>
      <c r="P354" s="954">
        <f ca="1">IFERROR($H354*44/12*参考2_エネ使用量経年!$H204*(参考2_エネ使用量経年!P204+参考2_エネ使用量経年!P291),"")</f>
        <v>0</v>
      </c>
      <c r="Q354" s="954">
        <f ca="1">IFERROR($I354*44/12*参考2_エネ使用量経年!$I204*(参考2_エネ使用量経年!Q204+参考2_エネ使用量経年!Q291),"")</f>
        <v>0</v>
      </c>
      <c r="R354" s="954">
        <f ca="1">IFERROR($J354*44/12*参考2_エネ使用量経年!$J204*(参考2_エネ使用量経年!R204+参考2_エネ使用量経年!R291),"")</f>
        <v>0</v>
      </c>
      <c r="S354" s="954">
        <f ca="1">IFERROR($K354*44/12*参考2_エネ使用量経年!$K204*(参考2_エネ使用量経年!S204+参考2_エネ使用量経年!S291),"")</f>
        <v>0</v>
      </c>
      <c r="T354" s="954">
        <f ca="1">IFERROR($H354*44/12*参考2_エネ使用量経年!$H204*(参考2_エネ使用量経年!T204+参考2_エネ使用量経年!T291),"")</f>
        <v>0</v>
      </c>
      <c r="U354" s="954">
        <f ca="1">IFERROR($I354*44/12*参考2_エネ使用量経年!$I204*(参考2_エネ使用量経年!U204+参考2_エネ使用量経年!U291),"")</f>
        <v>0</v>
      </c>
      <c r="V354" s="954">
        <f ca="1">IFERROR($J354*44/12*参考2_エネ使用量経年!$J204*(参考2_エネ使用量経年!V204+参考2_エネ使用量経年!V291),"")</f>
        <v>0</v>
      </c>
      <c r="W354" s="954">
        <f ca="1">IFERROR($K354*44/12*参考2_エネ使用量経年!$K204*(参考2_エネ使用量経年!W204+参考2_エネ使用量経年!W291),"")</f>
        <v>0</v>
      </c>
      <c r="X354" s="954">
        <f ca="1">IFERROR($H354*44/12*参考2_エネ使用量経年!$H204*(参考2_エネ使用量経年!X204+参考2_エネ使用量経年!X291),"")</f>
        <v>0</v>
      </c>
      <c r="Y354" s="954">
        <f ca="1">IFERROR($I354*44/12*参考2_エネ使用量経年!$I204*(参考2_エネ使用量経年!Y204+参考2_エネ使用量経年!Y291),"")</f>
        <v>0</v>
      </c>
      <c r="Z354" s="954">
        <f ca="1">IFERROR($J354*44/12*参考2_エネ使用量経年!$J204*(参考2_エネ使用量経年!Z204+参考2_エネ使用量経年!Z291),"")</f>
        <v>0</v>
      </c>
      <c r="AA354" s="954">
        <f ca="1">IFERROR($K354*44/12*参考2_エネ使用量経年!$K204*(参考2_エネ使用量経年!AA204+参考2_エネ使用量経年!AA291),"")</f>
        <v>0</v>
      </c>
      <c r="AB354" s="954" t="str">
        <f ca="1">IFERROR($H354*44/12*参考2_エネ使用量経年!$H204*(参考2_エネ使用量経年!AB204+参考2_エネ使用量経年!AB291),"")</f>
        <v/>
      </c>
      <c r="AC354" s="954" t="str">
        <f ca="1">IFERROR($I354*44/12*参考2_エネ使用量経年!$I204*(参考2_エネ使用量経年!AC204+参考2_エネ使用量経年!AC291),"")</f>
        <v/>
      </c>
      <c r="AD354" s="954" t="str">
        <f ca="1">IFERROR($J354*44/12*参考2_エネ使用量経年!$J204*(参考2_エネ使用量経年!AD204+参考2_エネ使用量経年!AD291),"")</f>
        <v/>
      </c>
      <c r="AE354" s="954" t="str">
        <f ca="1">IFERROR($K354*44/12*参考2_エネ使用量経年!$K204*(参考2_エネ使用量経年!AE204+参考2_エネ使用量経年!AE291),"")</f>
        <v/>
      </c>
      <c r="AF354" s="954" t="str">
        <f ca="1">IFERROR($H354*44/12*参考2_エネ使用量経年!$H204*(参考2_エネ使用量経年!AF204+参考2_エネ使用量経年!AF291),"")</f>
        <v/>
      </c>
      <c r="AG354" s="954" t="str">
        <f ca="1">IFERROR($I354*44/12*参考2_エネ使用量経年!$I204*(参考2_エネ使用量経年!AG204+参考2_エネ使用量経年!AG291),"")</f>
        <v/>
      </c>
      <c r="AH354" s="954" t="str">
        <f ca="1">IFERROR($J354*44/12*参考2_エネ使用量経年!$J204*(参考2_エネ使用量経年!AH204+参考2_エネ使用量経年!AH291),"")</f>
        <v/>
      </c>
      <c r="AI354" s="954" t="str">
        <f ca="1">IFERROR($K354*44/12*参考2_エネ使用量経年!$K204*(参考2_エネ使用量経年!AI204+参考2_エネ使用量経年!AI291),"")</f>
        <v/>
      </c>
      <c r="AJ354" s="954" t="str">
        <f ca="1">IFERROR($H354*44/12*参考2_エネ使用量経年!$H204*(参考2_エネ使用量経年!AJ204+参考2_エネ使用量経年!AJ291),"")</f>
        <v/>
      </c>
      <c r="AK354" s="954" t="str">
        <f ca="1">IFERROR($I354*44/12*参考2_エネ使用量経年!$I204*(参考2_エネ使用量経年!AK204+参考2_エネ使用量経年!AK291),"")</f>
        <v/>
      </c>
      <c r="AL354" s="954" t="str">
        <f ca="1">IFERROR($J354*44/12*参考2_エネ使用量経年!$J204*(参考2_エネ使用量経年!AL204+参考2_エネ使用量経年!AL291),"")</f>
        <v/>
      </c>
      <c r="AM354" s="954" t="str">
        <f ca="1">IFERROR($K354*44/12*参考2_エネ使用量経年!$K204*(参考2_エネ使用量経年!AM204+参考2_エネ使用量経年!AM291),"")</f>
        <v/>
      </c>
      <c r="AN354" s="954" t="str">
        <f ca="1">IFERROR($H354*44/12*参考2_エネ使用量経年!$H204*(参考2_エネ使用量経年!AN204+参考2_エネ使用量経年!AN291),"")</f>
        <v/>
      </c>
      <c r="AO354" s="954" t="str">
        <f ca="1">IFERROR($I354*44/12*参考2_エネ使用量経年!$I204*(参考2_エネ使用量経年!AO204+参考2_エネ使用量経年!AO291),"")</f>
        <v/>
      </c>
      <c r="AP354" s="954" t="str">
        <f ca="1">IFERROR($J354*44/12*参考2_エネ使用量経年!$J204*(参考2_エネ使用量経年!AP204+参考2_エネ使用量経年!AP291),"")</f>
        <v/>
      </c>
      <c r="AQ354" s="954" t="str">
        <f ca="1">IFERROR($K354*44/12*参考2_エネ使用量経年!$K204*(参考2_エネ使用量経年!AQ204+参考2_エネ使用量経年!AQ291),"")</f>
        <v/>
      </c>
      <c r="AR354" s="954" t="str">
        <f ca="1">IFERROR($H354*44/12*参考2_エネ使用量経年!$H204*(参考2_エネ使用量経年!AR204+参考2_エネ使用量経年!AR291),"")</f>
        <v/>
      </c>
      <c r="AS354" s="954" t="str">
        <f ca="1">IFERROR($I354*44/12*参考2_エネ使用量経年!$I204*(参考2_エネ使用量経年!AS204+参考2_エネ使用量経年!AS291),"")</f>
        <v/>
      </c>
      <c r="AT354" s="954" t="str">
        <f ca="1">IFERROR($J354*44/12*参考2_エネ使用量経年!$J204*(参考2_エネ使用量経年!AT204+参考2_エネ使用量経年!AT291),"")</f>
        <v/>
      </c>
      <c r="AU354" s="954" t="str">
        <f ca="1">IFERROR($K354*44/12*参考2_エネ使用量経年!$K204*(参考2_エネ使用量経年!AU204+参考2_エネ使用量経年!AU291),"")</f>
        <v/>
      </c>
      <c r="AV354" s="954" t="str">
        <f ca="1">IFERROR($H354*44/12*参考2_エネ使用量経年!$H204*(参考2_エネ使用量経年!AV204+参考2_エネ使用量経年!AV291),"")</f>
        <v/>
      </c>
      <c r="AW354" s="954" t="str">
        <f ca="1">IFERROR($I354*44/12*参考2_エネ使用量経年!$I204*(参考2_エネ使用量経年!AW204+参考2_エネ使用量経年!AW291),"")</f>
        <v/>
      </c>
      <c r="AX354" s="954" t="str">
        <f ca="1">IFERROR($J354*44/12*参考2_エネ使用量経年!$J204*(参考2_エネ使用量経年!AX204+参考2_エネ使用量経年!AX291),"")</f>
        <v/>
      </c>
      <c r="AY354" s="954" t="str">
        <f ca="1">IFERROR($K354*44/12*参考2_エネ使用量経年!$K204*(参考2_エネ使用量経年!AY204+参考2_エネ使用量経年!AY291),"")</f>
        <v/>
      </c>
      <c r="AZ354" s="954" t="str">
        <f ca="1">IFERROR($H354*44/12*参考2_エネ使用量経年!$H204*(参考2_エネ使用量経年!AZ204+参考2_エネ使用量経年!AZ291),"")</f>
        <v/>
      </c>
      <c r="BA354" s="954" t="str">
        <f ca="1">IFERROR($I354*44/12*参考2_エネ使用量経年!$I204*(参考2_エネ使用量経年!BA204+参考2_エネ使用量経年!BA291),"")</f>
        <v/>
      </c>
      <c r="BB354" s="954" t="str">
        <f ca="1">IFERROR($J354*44/12*参考2_エネ使用量経年!$J204*(参考2_エネ使用量経年!BB204+参考2_エネ使用量経年!BB291),"")</f>
        <v/>
      </c>
      <c r="BC354" s="954" t="str">
        <f ca="1">IFERROR($K354*44/12*参考2_エネ使用量経年!$K204*(参考2_エネ使用量経年!BC204+参考2_エネ使用量経年!BC291),"")</f>
        <v/>
      </c>
      <c r="BD354" s="954" t="str">
        <f ca="1">IFERROR($H354*44/12*参考2_エネ使用量経年!$H204*(参考2_エネ使用量経年!BD204+参考2_エネ使用量経年!BD291),"")</f>
        <v/>
      </c>
      <c r="BE354" s="954" t="str">
        <f ca="1">IFERROR($I354*44/12*参考2_エネ使用量経年!$I204*(参考2_エネ使用量経年!BE204+参考2_エネ使用量経年!BE291),"")</f>
        <v/>
      </c>
      <c r="BF354" s="954" t="str">
        <f ca="1">IFERROR($J354*44/12*参考2_エネ使用量経年!$J204*(参考2_エネ使用量経年!BF204+参考2_エネ使用量経年!BF291),"")</f>
        <v/>
      </c>
      <c r="BG354" s="954" t="str">
        <f ca="1">IFERROR($K354*44/12*参考2_エネ使用量経年!$K204*(参考2_エネ使用量経年!BG204+参考2_エネ使用量経年!BG291),"")</f>
        <v/>
      </c>
      <c r="BH354" s="954" t="str">
        <f ca="1">IFERROR($H354*44/12*参考2_エネ使用量経年!$H204*(参考2_エネ使用量経年!BH204+参考2_エネ使用量経年!BH291),"")</f>
        <v/>
      </c>
      <c r="BI354" s="954" t="str">
        <f ca="1">IFERROR($I354*44/12*参考2_エネ使用量経年!$I204*(参考2_エネ使用量経年!BI204+参考2_エネ使用量経年!BI291),"")</f>
        <v/>
      </c>
      <c r="BJ354" s="954" t="str">
        <f ca="1">IFERROR($J354*44/12*参考2_エネ使用量経年!$J204*(参考2_エネ使用量経年!BJ204+参考2_エネ使用量経年!BJ291),"")</f>
        <v/>
      </c>
      <c r="BK354" s="954" t="str">
        <f ca="1">IFERROR($K354*44/12*参考2_エネ使用量経年!$K204*(参考2_エネ使用量経年!BK204+参考2_エネ使用量経年!BK291),"")</f>
        <v/>
      </c>
      <c r="BL354" s="954" t="str">
        <f ca="1">IFERROR($H354*44/12*参考2_エネ使用量経年!$H204*(参考2_エネ使用量経年!BL204+参考2_エネ使用量経年!BL291),"")</f>
        <v/>
      </c>
      <c r="BM354" s="954" t="str">
        <f ca="1">IFERROR($I354*44/12*参考2_エネ使用量経年!$I204*(参考2_エネ使用量経年!BM204+参考2_エネ使用量経年!BM291),"")</f>
        <v/>
      </c>
      <c r="BN354" s="954" t="str">
        <f ca="1">IFERROR($J354*44/12*参考2_エネ使用量経年!$J204*(参考2_エネ使用量経年!BN204+参考2_エネ使用量経年!BN291),"")</f>
        <v/>
      </c>
      <c r="BO354" s="954" t="str">
        <f ca="1">IFERROR($K354*44/12*参考2_エネ使用量経年!$K204*(参考2_エネ使用量経年!BO204+参考2_エネ使用量経年!BO291),"")</f>
        <v/>
      </c>
    </row>
    <row r="355" spans="1:68" ht="20.100000000000001" customHeight="1">
      <c r="A355" s="952">
        <v>42</v>
      </c>
      <c r="B355" s="1870"/>
      <c r="C355" s="1872"/>
      <c r="D355" s="824" t="s">
        <v>4181</v>
      </c>
      <c r="E355" s="824"/>
      <c r="F355" s="825"/>
      <c r="G355" s="891" t="s">
        <v>4685</v>
      </c>
      <c r="H355" s="953">
        <f t="shared" ca="1" si="110"/>
        <v>0</v>
      </c>
      <c r="I355" s="953">
        <f t="shared" ca="1" si="111"/>
        <v>0</v>
      </c>
      <c r="J355" s="953">
        <f t="shared" ca="1" si="112"/>
        <v>0</v>
      </c>
      <c r="K355" s="953">
        <f t="shared" ca="1" si="113"/>
        <v>0</v>
      </c>
      <c r="L355" s="954">
        <f ca="1">IFERROR($H355*44/12*参考2_エネ使用量経年!$H205*(参考2_エネ使用量経年!L205+参考2_エネ使用量経年!L292),"")</f>
        <v>0</v>
      </c>
      <c r="M355" s="954">
        <f ca="1">IFERROR($I355*44/12*参考2_エネ使用量経年!$I205*(参考2_エネ使用量経年!M205+参考2_エネ使用量経年!M292),"")</f>
        <v>0</v>
      </c>
      <c r="N355" s="954">
        <f ca="1">IFERROR($J355*44/12*参考2_エネ使用量経年!$J205*(参考2_エネ使用量経年!N205+参考2_エネ使用量経年!N292),"")</f>
        <v>0</v>
      </c>
      <c r="O355" s="954">
        <f ca="1">IFERROR($K355*44/12*参考2_エネ使用量経年!$K205*(参考2_エネ使用量経年!O205+参考2_エネ使用量経年!O292),"")</f>
        <v>0</v>
      </c>
      <c r="P355" s="954">
        <f ca="1">IFERROR($H355*44/12*参考2_エネ使用量経年!$H205*(参考2_エネ使用量経年!P205+参考2_エネ使用量経年!P292),"")</f>
        <v>0</v>
      </c>
      <c r="Q355" s="954">
        <f ca="1">IFERROR($I355*44/12*参考2_エネ使用量経年!$I205*(参考2_エネ使用量経年!Q205+参考2_エネ使用量経年!Q292),"")</f>
        <v>0</v>
      </c>
      <c r="R355" s="954">
        <f ca="1">IFERROR($J355*44/12*参考2_エネ使用量経年!$J205*(参考2_エネ使用量経年!R205+参考2_エネ使用量経年!R292),"")</f>
        <v>0</v>
      </c>
      <c r="S355" s="954">
        <f ca="1">IFERROR($K355*44/12*参考2_エネ使用量経年!$K205*(参考2_エネ使用量経年!S205+参考2_エネ使用量経年!S292),"")</f>
        <v>0</v>
      </c>
      <c r="T355" s="954">
        <f ca="1">IFERROR($H355*44/12*参考2_エネ使用量経年!$H205*(参考2_エネ使用量経年!T205+参考2_エネ使用量経年!T292),"")</f>
        <v>0</v>
      </c>
      <c r="U355" s="954">
        <f ca="1">IFERROR($I355*44/12*参考2_エネ使用量経年!$I205*(参考2_エネ使用量経年!U205+参考2_エネ使用量経年!U292),"")</f>
        <v>0</v>
      </c>
      <c r="V355" s="954">
        <f ca="1">IFERROR($J355*44/12*参考2_エネ使用量経年!$J205*(参考2_エネ使用量経年!V205+参考2_エネ使用量経年!V292),"")</f>
        <v>0</v>
      </c>
      <c r="W355" s="954">
        <f ca="1">IFERROR($K355*44/12*参考2_エネ使用量経年!$K205*(参考2_エネ使用量経年!W205+参考2_エネ使用量経年!W292),"")</f>
        <v>0</v>
      </c>
      <c r="X355" s="954">
        <f ca="1">IFERROR($H355*44/12*参考2_エネ使用量経年!$H205*(参考2_エネ使用量経年!X205+参考2_エネ使用量経年!X292),"")</f>
        <v>0</v>
      </c>
      <c r="Y355" s="954">
        <f ca="1">IFERROR($I355*44/12*参考2_エネ使用量経年!$I205*(参考2_エネ使用量経年!Y205+参考2_エネ使用量経年!Y292),"")</f>
        <v>0</v>
      </c>
      <c r="Z355" s="954">
        <f ca="1">IFERROR($J355*44/12*参考2_エネ使用量経年!$J205*(参考2_エネ使用量経年!Z205+参考2_エネ使用量経年!Z292),"")</f>
        <v>0</v>
      </c>
      <c r="AA355" s="954">
        <f ca="1">IFERROR($K355*44/12*参考2_エネ使用量経年!$K205*(参考2_エネ使用量経年!AA205+参考2_エネ使用量経年!AA292),"")</f>
        <v>0</v>
      </c>
      <c r="AB355" s="954" t="str">
        <f ca="1">IFERROR($H355*44/12*参考2_エネ使用量経年!$H205*(参考2_エネ使用量経年!AB205+参考2_エネ使用量経年!AB292),"")</f>
        <v/>
      </c>
      <c r="AC355" s="954" t="str">
        <f ca="1">IFERROR($I355*44/12*参考2_エネ使用量経年!$I205*(参考2_エネ使用量経年!AC205+参考2_エネ使用量経年!AC292),"")</f>
        <v/>
      </c>
      <c r="AD355" s="954" t="str">
        <f ca="1">IFERROR($J355*44/12*参考2_エネ使用量経年!$J205*(参考2_エネ使用量経年!AD205+参考2_エネ使用量経年!AD292),"")</f>
        <v/>
      </c>
      <c r="AE355" s="954" t="str">
        <f ca="1">IFERROR($K355*44/12*参考2_エネ使用量経年!$K205*(参考2_エネ使用量経年!AE205+参考2_エネ使用量経年!AE292),"")</f>
        <v/>
      </c>
      <c r="AF355" s="954" t="str">
        <f ca="1">IFERROR($H355*44/12*参考2_エネ使用量経年!$H205*(参考2_エネ使用量経年!AF205+参考2_エネ使用量経年!AF292),"")</f>
        <v/>
      </c>
      <c r="AG355" s="954" t="str">
        <f ca="1">IFERROR($I355*44/12*参考2_エネ使用量経年!$I205*(参考2_エネ使用量経年!AG205+参考2_エネ使用量経年!AG292),"")</f>
        <v/>
      </c>
      <c r="AH355" s="954" t="str">
        <f ca="1">IFERROR($J355*44/12*参考2_エネ使用量経年!$J205*(参考2_エネ使用量経年!AH205+参考2_エネ使用量経年!AH292),"")</f>
        <v/>
      </c>
      <c r="AI355" s="954" t="str">
        <f ca="1">IFERROR($K355*44/12*参考2_エネ使用量経年!$K205*(参考2_エネ使用量経年!AI205+参考2_エネ使用量経年!AI292),"")</f>
        <v/>
      </c>
      <c r="AJ355" s="954" t="str">
        <f ca="1">IFERROR($H355*44/12*参考2_エネ使用量経年!$H205*(参考2_エネ使用量経年!AJ205+参考2_エネ使用量経年!AJ292),"")</f>
        <v/>
      </c>
      <c r="AK355" s="954" t="str">
        <f ca="1">IFERROR($I355*44/12*参考2_エネ使用量経年!$I205*(参考2_エネ使用量経年!AK205+参考2_エネ使用量経年!AK292),"")</f>
        <v/>
      </c>
      <c r="AL355" s="954" t="str">
        <f ca="1">IFERROR($J355*44/12*参考2_エネ使用量経年!$J205*(参考2_エネ使用量経年!AL205+参考2_エネ使用量経年!AL292),"")</f>
        <v/>
      </c>
      <c r="AM355" s="954" t="str">
        <f ca="1">IFERROR($K355*44/12*参考2_エネ使用量経年!$K205*(参考2_エネ使用量経年!AM205+参考2_エネ使用量経年!AM292),"")</f>
        <v/>
      </c>
      <c r="AN355" s="954" t="str">
        <f ca="1">IFERROR($H355*44/12*参考2_エネ使用量経年!$H205*(参考2_エネ使用量経年!AN205+参考2_エネ使用量経年!AN292),"")</f>
        <v/>
      </c>
      <c r="AO355" s="954" t="str">
        <f ca="1">IFERROR($I355*44/12*参考2_エネ使用量経年!$I205*(参考2_エネ使用量経年!AO205+参考2_エネ使用量経年!AO292),"")</f>
        <v/>
      </c>
      <c r="AP355" s="954" t="str">
        <f ca="1">IFERROR($J355*44/12*参考2_エネ使用量経年!$J205*(参考2_エネ使用量経年!AP205+参考2_エネ使用量経年!AP292),"")</f>
        <v/>
      </c>
      <c r="AQ355" s="954" t="str">
        <f ca="1">IFERROR($K355*44/12*参考2_エネ使用量経年!$K205*(参考2_エネ使用量経年!AQ205+参考2_エネ使用量経年!AQ292),"")</f>
        <v/>
      </c>
      <c r="AR355" s="954" t="str">
        <f ca="1">IFERROR($H355*44/12*参考2_エネ使用量経年!$H205*(参考2_エネ使用量経年!AR205+参考2_エネ使用量経年!AR292),"")</f>
        <v/>
      </c>
      <c r="AS355" s="954" t="str">
        <f ca="1">IFERROR($I355*44/12*参考2_エネ使用量経年!$I205*(参考2_エネ使用量経年!AS205+参考2_エネ使用量経年!AS292),"")</f>
        <v/>
      </c>
      <c r="AT355" s="954" t="str">
        <f ca="1">IFERROR($J355*44/12*参考2_エネ使用量経年!$J205*(参考2_エネ使用量経年!AT205+参考2_エネ使用量経年!AT292),"")</f>
        <v/>
      </c>
      <c r="AU355" s="954" t="str">
        <f ca="1">IFERROR($K355*44/12*参考2_エネ使用量経年!$K205*(参考2_エネ使用量経年!AU205+参考2_エネ使用量経年!AU292),"")</f>
        <v/>
      </c>
      <c r="AV355" s="954" t="str">
        <f ca="1">IFERROR($H355*44/12*参考2_エネ使用量経年!$H205*(参考2_エネ使用量経年!AV205+参考2_エネ使用量経年!AV292),"")</f>
        <v/>
      </c>
      <c r="AW355" s="954" t="str">
        <f ca="1">IFERROR($I355*44/12*参考2_エネ使用量経年!$I205*(参考2_エネ使用量経年!AW205+参考2_エネ使用量経年!AW292),"")</f>
        <v/>
      </c>
      <c r="AX355" s="954" t="str">
        <f ca="1">IFERROR($J355*44/12*参考2_エネ使用量経年!$J205*(参考2_エネ使用量経年!AX205+参考2_エネ使用量経年!AX292),"")</f>
        <v/>
      </c>
      <c r="AY355" s="954" t="str">
        <f ca="1">IFERROR($K355*44/12*参考2_エネ使用量経年!$K205*(参考2_エネ使用量経年!AY205+参考2_エネ使用量経年!AY292),"")</f>
        <v/>
      </c>
      <c r="AZ355" s="954" t="str">
        <f ca="1">IFERROR($H355*44/12*参考2_エネ使用量経年!$H205*(参考2_エネ使用量経年!AZ205+参考2_エネ使用量経年!AZ292),"")</f>
        <v/>
      </c>
      <c r="BA355" s="954" t="str">
        <f ca="1">IFERROR($I355*44/12*参考2_エネ使用量経年!$I205*(参考2_エネ使用量経年!BA205+参考2_エネ使用量経年!BA292),"")</f>
        <v/>
      </c>
      <c r="BB355" s="954" t="str">
        <f ca="1">IFERROR($J355*44/12*参考2_エネ使用量経年!$J205*(参考2_エネ使用量経年!BB205+参考2_エネ使用量経年!BB292),"")</f>
        <v/>
      </c>
      <c r="BC355" s="954" t="str">
        <f ca="1">IFERROR($K355*44/12*参考2_エネ使用量経年!$K205*(参考2_エネ使用量経年!BC205+参考2_エネ使用量経年!BC292),"")</f>
        <v/>
      </c>
      <c r="BD355" s="954" t="str">
        <f ca="1">IFERROR($H355*44/12*参考2_エネ使用量経年!$H205*(参考2_エネ使用量経年!BD205+参考2_エネ使用量経年!BD292),"")</f>
        <v/>
      </c>
      <c r="BE355" s="954" t="str">
        <f ca="1">IFERROR($I355*44/12*参考2_エネ使用量経年!$I205*(参考2_エネ使用量経年!BE205+参考2_エネ使用量経年!BE292),"")</f>
        <v/>
      </c>
      <c r="BF355" s="954" t="str">
        <f ca="1">IFERROR($J355*44/12*参考2_エネ使用量経年!$J205*(参考2_エネ使用量経年!BF205+参考2_エネ使用量経年!BF292),"")</f>
        <v/>
      </c>
      <c r="BG355" s="954" t="str">
        <f ca="1">IFERROR($K355*44/12*参考2_エネ使用量経年!$K205*(参考2_エネ使用量経年!BG205+参考2_エネ使用量経年!BG292),"")</f>
        <v/>
      </c>
      <c r="BH355" s="954" t="str">
        <f ca="1">IFERROR($H355*44/12*参考2_エネ使用量経年!$H205*(参考2_エネ使用量経年!BH205+参考2_エネ使用量経年!BH292),"")</f>
        <v/>
      </c>
      <c r="BI355" s="954" t="str">
        <f ca="1">IFERROR($I355*44/12*参考2_エネ使用量経年!$I205*(参考2_エネ使用量経年!BI205+参考2_エネ使用量経年!BI292),"")</f>
        <v/>
      </c>
      <c r="BJ355" s="954" t="str">
        <f ca="1">IFERROR($J355*44/12*参考2_エネ使用量経年!$J205*(参考2_エネ使用量経年!BJ205+参考2_エネ使用量経年!BJ292),"")</f>
        <v/>
      </c>
      <c r="BK355" s="954" t="str">
        <f ca="1">IFERROR($K355*44/12*参考2_エネ使用量経年!$K205*(参考2_エネ使用量経年!BK205+参考2_エネ使用量経年!BK292),"")</f>
        <v/>
      </c>
      <c r="BL355" s="954" t="str">
        <f ca="1">IFERROR($H355*44/12*参考2_エネ使用量経年!$H205*(参考2_エネ使用量経年!BL205+参考2_エネ使用量経年!BL292),"")</f>
        <v/>
      </c>
      <c r="BM355" s="954" t="str">
        <f ca="1">IFERROR($I355*44/12*参考2_エネ使用量経年!$I205*(参考2_エネ使用量経年!BM205+参考2_エネ使用量経年!BM292),"")</f>
        <v/>
      </c>
      <c r="BN355" s="954" t="str">
        <f ca="1">IFERROR($J355*44/12*参考2_エネ使用量経年!$J205*(参考2_エネ使用量経年!BN205+参考2_エネ使用量経年!BN292),"")</f>
        <v/>
      </c>
      <c r="BO355" s="954" t="str">
        <f ca="1">IFERROR($K355*44/12*参考2_エネ使用量経年!$K205*(参考2_エネ使用量経年!BO205+参考2_エネ使用量経年!BO292),"")</f>
        <v/>
      </c>
    </row>
    <row r="356" spans="1:68" ht="20.100000000000001" customHeight="1">
      <c r="A356" s="952">
        <v>43</v>
      </c>
      <c r="B356" s="1870"/>
      <c r="C356" s="1872"/>
      <c r="D356" s="824" t="s">
        <v>4410</v>
      </c>
      <c r="E356" s="831" t="str">
        <f ca="1">E43</f>
        <v/>
      </c>
      <c r="F356" s="833"/>
      <c r="G356" s="891" t="s">
        <v>4685</v>
      </c>
      <c r="H356" s="953">
        <f t="shared" ca="1" si="110"/>
        <v>0</v>
      </c>
      <c r="I356" s="953">
        <f t="shared" ca="1" si="111"/>
        <v>0</v>
      </c>
      <c r="J356" s="953">
        <f t="shared" ca="1" si="112"/>
        <v>0</v>
      </c>
      <c r="K356" s="953">
        <f t="shared" ca="1" si="113"/>
        <v>0</v>
      </c>
      <c r="L356" s="954">
        <f ca="1">IFERROR($H356*44/12*参考2_エネ使用量経年!$H206*(参考2_エネ使用量経年!L206+参考2_エネ使用量経年!L293),"")</f>
        <v>0</v>
      </c>
      <c r="M356" s="954">
        <f ca="1">IFERROR($I356*44/12*参考2_エネ使用量経年!$I206*(参考2_エネ使用量経年!M206+参考2_エネ使用量経年!M293),"")</f>
        <v>0</v>
      </c>
      <c r="N356" s="954">
        <f ca="1">IFERROR($J356*44/12*参考2_エネ使用量経年!$J206*(参考2_エネ使用量経年!N206+参考2_エネ使用量経年!N293),"")</f>
        <v>0</v>
      </c>
      <c r="O356" s="954">
        <f ca="1">IFERROR($K356*44/12*参考2_エネ使用量経年!$K206*(参考2_エネ使用量経年!O206+参考2_エネ使用量経年!O293),"")</f>
        <v>0</v>
      </c>
      <c r="P356" s="954">
        <f ca="1">IFERROR($H356*44/12*参考2_エネ使用量経年!$H206*(参考2_エネ使用量経年!P206+参考2_エネ使用量経年!P293),"")</f>
        <v>0</v>
      </c>
      <c r="Q356" s="954">
        <f ca="1">IFERROR($I356*44/12*参考2_エネ使用量経年!$I206*(参考2_エネ使用量経年!Q206+参考2_エネ使用量経年!Q293),"")</f>
        <v>0</v>
      </c>
      <c r="R356" s="954">
        <f ca="1">IFERROR($J356*44/12*参考2_エネ使用量経年!$J206*(参考2_エネ使用量経年!R206+参考2_エネ使用量経年!R293),"")</f>
        <v>0</v>
      </c>
      <c r="S356" s="954">
        <f ca="1">IFERROR($K356*44/12*参考2_エネ使用量経年!$K206*(参考2_エネ使用量経年!S206+参考2_エネ使用量経年!S293),"")</f>
        <v>0</v>
      </c>
      <c r="T356" s="954">
        <f ca="1">IFERROR($H356*44/12*参考2_エネ使用量経年!$H206*(参考2_エネ使用量経年!T206+参考2_エネ使用量経年!T293),"")</f>
        <v>0</v>
      </c>
      <c r="U356" s="954">
        <f ca="1">IFERROR($I356*44/12*参考2_エネ使用量経年!$I206*(参考2_エネ使用量経年!U206+参考2_エネ使用量経年!U293),"")</f>
        <v>0</v>
      </c>
      <c r="V356" s="954">
        <f ca="1">IFERROR($J356*44/12*参考2_エネ使用量経年!$J206*(参考2_エネ使用量経年!V206+参考2_エネ使用量経年!V293),"")</f>
        <v>0</v>
      </c>
      <c r="W356" s="954">
        <f ca="1">IFERROR($K356*44/12*参考2_エネ使用量経年!$K206*(参考2_エネ使用量経年!W206+参考2_エネ使用量経年!W293),"")</f>
        <v>0</v>
      </c>
      <c r="X356" s="954">
        <f ca="1">IFERROR($H356*44/12*参考2_エネ使用量経年!$H206*(参考2_エネ使用量経年!X206+参考2_エネ使用量経年!X293),"")</f>
        <v>0</v>
      </c>
      <c r="Y356" s="954">
        <f ca="1">IFERROR($I356*44/12*参考2_エネ使用量経年!$I206*(参考2_エネ使用量経年!Y206+参考2_エネ使用量経年!Y293),"")</f>
        <v>0</v>
      </c>
      <c r="Z356" s="954">
        <f ca="1">IFERROR($J356*44/12*参考2_エネ使用量経年!$J206*(参考2_エネ使用量経年!Z206+参考2_エネ使用量経年!Z293),"")</f>
        <v>0</v>
      </c>
      <c r="AA356" s="954">
        <f ca="1">IFERROR($K356*44/12*参考2_エネ使用量経年!$K206*(参考2_エネ使用量経年!AA206+参考2_エネ使用量経年!AA293),"")</f>
        <v>0</v>
      </c>
      <c r="AB356" s="954" t="str">
        <f ca="1">IFERROR($H356*44/12*参考2_エネ使用量経年!$H206*(参考2_エネ使用量経年!AB206+参考2_エネ使用量経年!AB293),"")</f>
        <v/>
      </c>
      <c r="AC356" s="954" t="str">
        <f ca="1">IFERROR($I356*44/12*参考2_エネ使用量経年!$I206*(参考2_エネ使用量経年!AC206+参考2_エネ使用量経年!AC293),"")</f>
        <v/>
      </c>
      <c r="AD356" s="954" t="str">
        <f ca="1">IFERROR($J356*44/12*参考2_エネ使用量経年!$J206*(参考2_エネ使用量経年!AD206+参考2_エネ使用量経年!AD293),"")</f>
        <v/>
      </c>
      <c r="AE356" s="954" t="str">
        <f ca="1">IFERROR($K356*44/12*参考2_エネ使用量経年!$K206*(参考2_エネ使用量経年!AE206+参考2_エネ使用量経年!AE293),"")</f>
        <v/>
      </c>
      <c r="AF356" s="954" t="str">
        <f ca="1">IFERROR($H356*44/12*参考2_エネ使用量経年!$H206*(参考2_エネ使用量経年!AF206+参考2_エネ使用量経年!AF293),"")</f>
        <v/>
      </c>
      <c r="AG356" s="954" t="str">
        <f ca="1">IFERROR($I356*44/12*参考2_エネ使用量経年!$I206*(参考2_エネ使用量経年!AG206+参考2_エネ使用量経年!AG293),"")</f>
        <v/>
      </c>
      <c r="AH356" s="954" t="str">
        <f ca="1">IFERROR($J356*44/12*参考2_エネ使用量経年!$J206*(参考2_エネ使用量経年!AH206+参考2_エネ使用量経年!AH293),"")</f>
        <v/>
      </c>
      <c r="AI356" s="954" t="str">
        <f ca="1">IFERROR($K356*44/12*参考2_エネ使用量経年!$K206*(参考2_エネ使用量経年!AI206+参考2_エネ使用量経年!AI293),"")</f>
        <v/>
      </c>
      <c r="AJ356" s="954" t="str">
        <f ca="1">IFERROR($H356*44/12*参考2_エネ使用量経年!$H206*(参考2_エネ使用量経年!AJ206+参考2_エネ使用量経年!AJ293),"")</f>
        <v/>
      </c>
      <c r="AK356" s="954" t="str">
        <f ca="1">IFERROR($I356*44/12*参考2_エネ使用量経年!$I206*(参考2_エネ使用量経年!AK206+参考2_エネ使用量経年!AK293),"")</f>
        <v/>
      </c>
      <c r="AL356" s="954" t="str">
        <f ca="1">IFERROR($J356*44/12*参考2_エネ使用量経年!$J206*(参考2_エネ使用量経年!AL206+参考2_エネ使用量経年!AL293),"")</f>
        <v/>
      </c>
      <c r="AM356" s="954" t="str">
        <f ca="1">IFERROR($K356*44/12*参考2_エネ使用量経年!$K206*(参考2_エネ使用量経年!AM206+参考2_エネ使用量経年!AM293),"")</f>
        <v/>
      </c>
      <c r="AN356" s="954" t="str">
        <f ca="1">IFERROR($H356*44/12*参考2_エネ使用量経年!$H206*(参考2_エネ使用量経年!AN206+参考2_エネ使用量経年!AN293),"")</f>
        <v/>
      </c>
      <c r="AO356" s="954" t="str">
        <f ca="1">IFERROR($I356*44/12*参考2_エネ使用量経年!$I206*(参考2_エネ使用量経年!AO206+参考2_エネ使用量経年!AO293),"")</f>
        <v/>
      </c>
      <c r="AP356" s="954" t="str">
        <f ca="1">IFERROR($J356*44/12*参考2_エネ使用量経年!$J206*(参考2_エネ使用量経年!AP206+参考2_エネ使用量経年!AP293),"")</f>
        <v/>
      </c>
      <c r="AQ356" s="954" t="str">
        <f ca="1">IFERROR($K356*44/12*参考2_エネ使用量経年!$K206*(参考2_エネ使用量経年!AQ206+参考2_エネ使用量経年!AQ293),"")</f>
        <v/>
      </c>
      <c r="AR356" s="954" t="str">
        <f ca="1">IFERROR($H356*44/12*参考2_エネ使用量経年!$H206*(参考2_エネ使用量経年!AR206+参考2_エネ使用量経年!AR293),"")</f>
        <v/>
      </c>
      <c r="AS356" s="954" t="str">
        <f ca="1">IFERROR($I356*44/12*参考2_エネ使用量経年!$I206*(参考2_エネ使用量経年!AS206+参考2_エネ使用量経年!AS293),"")</f>
        <v/>
      </c>
      <c r="AT356" s="954" t="str">
        <f ca="1">IFERROR($J356*44/12*参考2_エネ使用量経年!$J206*(参考2_エネ使用量経年!AT206+参考2_エネ使用量経年!AT293),"")</f>
        <v/>
      </c>
      <c r="AU356" s="954" t="str">
        <f ca="1">IFERROR($K356*44/12*参考2_エネ使用量経年!$K206*(参考2_エネ使用量経年!AU206+参考2_エネ使用量経年!AU293),"")</f>
        <v/>
      </c>
      <c r="AV356" s="954" t="str">
        <f ca="1">IFERROR($H356*44/12*参考2_エネ使用量経年!$H206*(参考2_エネ使用量経年!AV206+参考2_エネ使用量経年!AV293),"")</f>
        <v/>
      </c>
      <c r="AW356" s="954" t="str">
        <f ca="1">IFERROR($I356*44/12*参考2_エネ使用量経年!$I206*(参考2_エネ使用量経年!AW206+参考2_エネ使用量経年!AW293),"")</f>
        <v/>
      </c>
      <c r="AX356" s="954" t="str">
        <f ca="1">IFERROR($J356*44/12*参考2_エネ使用量経年!$J206*(参考2_エネ使用量経年!AX206+参考2_エネ使用量経年!AX293),"")</f>
        <v/>
      </c>
      <c r="AY356" s="954" t="str">
        <f ca="1">IFERROR($K356*44/12*参考2_エネ使用量経年!$K206*(参考2_エネ使用量経年!AY206+参考2_エネ使用量経年!AY293),"")</f>
        <v/>
      </c>
      <c r="AZ356" s="954" t="str">
        <f ca="1">IFERROR($H356*44/12*参考2_エネ使用量経年!$H206*(参考2_エネ使用量経年!AZ206+参考2_エネ使用量経年!AZ293),"")</f>
        <v/>
      </c>
      <c r="BA356" s="954" t="str">
        <f ca="1">IFERROR($I356*44/12*参考2_エネ使用量経年!$I206*(参考2_エネ使用量経年!BA206+参考2_エネ使用量経年!BA293),"")</f>
        <v/>
      </c>
      <c r="BB356" s="954" t="str">
        <f ca="1">IFERROR($J356*44/12*参考2_エネ使用量経年!$J206*(参考2_エネ使用量経年!BB206+参考2_エネ使用量経年!BB293),"")</f>
        <v/>
      </c>
      <c r="BC356" s="954" t="str">
        <f ca="1">IFERROR($K356*44/12*参考2_エネ使用量経年!$K206*(参考2_エネ使用量経年!BC206+参考2_エネ使用量経年!BC293),"")</f>
        <v/>
      </c>
      <c r="BD356" s="954" t="str">
        <f ca="1">IFERROR($H356*44/12*参考2_エネ使用量経年!$H206*(参考2_エネ使用量経年!BD206+参考2_エネ使用量経年!BD293),"")</f>
        <v/>
      </c>
      <c r="BE356" s="954" t="str">
        <f ca="1">IFERROR($I356*44/12*参考2_エネ使用量経年!$I206*(参考2_エネ使用量経年!BE206+参考2_エネ使用量経年!BE293),"")</f>
        <v/>
      </c>
      <c r="BF356" s="954" t="str">
        <f ca="1">IFERROR($J356*44/12*参考2_エネ使用量経年!$J206*(参考2_エネ使用量経年!BF206+参考2_エネ使用量経年!BF293),"")</f>
        <v/>
      </c>
      <c r="BG356" s="954" t="str">
        <f ca="1">IFERROR($K356*44/12*参考2_エネ使用量経年!$K206*(参考2_エネ使用量経年!BG206+参考2_エネ使用量経年!BG293),"")</f>
        <v/>
      </c>
      <c r="BH356" s="954" t="str">
        <f ca="1">IFERROR($H356*44/12*参考2_エネ使用量経年!$H206*(参考2_エネ使用量経年!BH206+参考2_エネ使用量経年!BH293),"")</f>
        <v/>
      </c>
      <c r="BI356" s="954" t="str">
        <f ca="1">IFERROR($I356*44/12*参考2_エネ使用量経年!$I206*(参考2_エネ使用量経年!BI206+参考2_エネ使用量経年!BI293),"")</f>
        <v/>
      </c>
      <c r="BJ356" s="954" t="str">
        <f ca="1">IFERROR($J356*44/12*参考2_エネ使用量経年!$J206*(参考2_エネ使用量経年!BJ206+参考2_エネ使用量経年!BJ293),"")</f>
        <v/>
      </c>
      <c r="BK356" s="954" t="str">
        <f ca="1">IFERROR($K356*44/12*参考2_エネ使用量経年!$K206*(参考2_エネ使用量経年!BK206+参考2_エネ使用量経年!BK293),"")</f>
        <v/>
      </c>
      <c r="BL356" s="954" t="str">
        <f ca="1">IFERROR($H356*44/12*参考2_エネ使用量経年!$H206*(参考2_エネ使用量経年!BL206+参考2_エネ使用量経年!BL293),"")</f>
        <v/>
      </c>
      <c r="BM356" s="954" t="str">
        <f ca="1">IFERROR($I356*44/12*参考2_エネ使用量経年!$I206*(参考2_エネ使用量経年!BM206+参考2_エネ使用量経年!BM293),"")</f>
        <v/>
      </c>
      <c r="BN356" s="954" t="str">
        <f ca="1">IFERROR($J356*44/12*参考2_エネ使用量経年!$J206*(参考2_エネ使用量経年!BN206+参考2_エネ使用量経年!BN293),"")</f>
        <v/>
      </c>
      <c r="BO356" s="954" t="str">
        <f ca="1">IFERROR($K356*44/12*参考2_エネ使用量経年!$K206*(参考2_エネ使用量経年!BO206+参考2_エネ使用量経年!BO293),"")</f>
        <v/>
      </c>
    </row>
    <row r="357" spans="1:68" ht="20.100000000000001" customHeight="1">
      <c r="A357" s="952">
        <v>44</v>
      </c>
      <c r="B357" s="1870"/>
      <c r="C357" s="1872"/>
      <c r="D357" s="832" t="s">
        <v>4183</v>
      </c>
      <c r="E357" s="824"/>
      <c r="F357" s="825"/>
      <c r="G357" s="891" t="s">
        <v>4685</v>
      </c>
      <c r="H357" s="953">
        <f t="shared" ca="1" si="110"/>
        <v>1.6199999999999999E-2</v>
      </c>
      <c r="I357" s="953">
        <f t="shared" ca="1" si="111"/>
        <v>1.6199999999999999E-2</v>
      </c>
      <c r="J357" s="953">
        <f t="shared" ca="1" si="112"/>
        <v>1.6199999999999999E-2</v>
      </c>
      <c r="K357" s="953">
        <f t="shared" ca="1" si="113"/>
        <v>1.6199999999999999E-2</v>
      </c>
      <c r="L357" s="954">
        <f ca="1">IFERROR($H357*44/12*参考2_エネ使用量経年!$H207*(参考2_エネ使用量経年!L207+参考2_エネ使用量経年!L294),"")</f>
        <v>0</v>
      </c>
      <c r="M357" s="954">
        <f ca="1">IFERROR($I357*44/12*参考2_エネ使用量経年!$I207*(参考2_エネ使用量経年!M207+参考2_エネ使用量経年!M294),"")</f>
        <v>0</v>
      </c>
      <c r="N357" s="954">
        <f ca="1">IFERROR($J357*44/12*参考2_エネ使用量経年!$J207*(参考2_エネ使用量経年!N207+参考2_エネ使用量経年!N294),"")</f>
        <v>0</v>
      </c>
      <c r="O357" s="954">
        <f ca="1">IFERROR($K357*44/12*参考2_エネ使用量経年!$K207*(参考2_エネ使用量経年!O207+参考2_エネ使用量経年!O294),"")</f>
        <v>0</v>
      </c>
      <c r="P357" s="954">
        <f ca="1">IFERROR($H357*44/12*参考2_エネ使用量経年!$H207*(参考2_エネ使用量経年!P207+参考2_エネ使用量経年!P294),"")</f>
        <v>0</v>
      </c>
      <c r="Q357" s="954">
        <f ca="1">IFERROR($I357*44/12*参考2_エネ使用量経年!$I207*(参考2_エネ使用量経年!Q207+参考2_エネ使用量経年!Q294),"")</f>
        <v>0</v>
      </c>
      <c r="R357" s="954">
        <f ca="1">IFERROR($J357*44/12*参考2_エネ使用量経年!$J207*(参考2_エネ使用量経年!R207+参考2_エネ使用量経年!R294),"")</f>
        <v>0</v>
      </c>
      <c r="S357" s="954">
        <f ca="1">IFERROR($K357*44/12*参考2_エネ使用量経年!$K207*(参考2_エネ使用量経年!S207+参考2_エネ使用量経年!S294),"")</f>
        <v>0</v>
      </c>
      <c r="T357" s="954">
        <f ca="1">IFERROR($H357*44/12*参考2_エネ使用量経年!$H207*(参考2_エネ使用量経年!T207+参考2_エネ使用量経年!T294),"")</f>
        <v>0</v>
      </c>
      <c r="U357" s="954">
        <f ca="1">IFERROR($I357*44/12*参考2_エネ使用量経年!$I207*(参考2_エネ使用量経年!U207+参考2_エネ使用量経年!U294),"")</f>
        <v>0</v>
      </c>
      <c r="V357" s="954">
        <f ca="1">IFERROR($J357*44/12*参考2_エネ使用量経年!$J207*(参考2_エネ使用量経年!V207+参考2_エネ使用量経年!V294),"")</f>
        <v>0</v>
      </c>
      <c r="W357" s="954">
        <f ca="1">IFERROR($K357*44/12*参考2_エネ使用量経年!$K207*(参考2_エネ使用量経年!W207+参考2_エネ使用量経年!W294),"")</f>
        <v>0</v>
      </c>
      <c r="X357" s="954">
        <f ca="1">IFERROR($H357*44/12*参考2_エネ使用量経年!$H207*(参考2_エネ使用量経年!X207+参考2_エネ使用量経年!X294),"")</f>
        <v>0</v>
      </c>
      <c r="Y357" s="954">
        <f ca="1">IFERROR($I357*44/12*参考2_エネ使用量経年!$I207*(参考2_エネ使用量経年!Y207+参考2_エネ使用量経年!Y294),"")</f>
        <v>0</v>
      </c>
      <c r="Z357" s="954">
        <f ca="1">IFERROR($J357*44/12*参考2_エネ使用量経年!$J207*(参考2_エネ使用量経年!Z207+参考2_エネ使用量経年!Z294),"")</f>
        <v>0</v>
      </c>
      <c r="AA357" s="954">
        <f ca="1">IFERROR($K357*44/12*参考2_エネ使用量経年!$K207*(参考2_エネ使用量経年!AA207+参考2_エネ使用量経年!AA294),"")</f>
        <v>0</v>
      </c>
      <c r="AB357" s="954" t="str">
        <f ca="1">IFERROR($H357*44/12*参考2_エネ使用量経年!$H207*(参考2_エネ使用量経年!AB207+参考2_エネ使用量経年!AB294),"")</f>
        <v/>
      </c>
      <c r="AC357" s="954" t="str">
        <f ca="1">IFERROR($I357*44/12*参考2_エネ使用量経年!$I207*(参考2_エネ使用量経年!AC207+参考2_エネ使用量経年!AC294),"")</f>
        <v/>
      </c>
      <c r="AD357" s="954" t="str">
        <f ca="1">IFERROR($J357*44/12*参考2_エネ使用量経年!$J207*(参考2_エネ使用量経年!AD207+参考2_エネ使用量経年!AD294),"")</f>
        <v/>
      </c>
      <c r="AE357" s="954" t="str">
        <f ca="1">IFERROR($K357*44/12*参考2_エネ使用量経年!$K207*(参考2_エネ使用量経年!AE207+参考2_エネ使用量経年!AE294),"")</f>
        <v/>
      </c>
      <c r="AF357" s="954" t="str">
        <f ca="1">IFERROR($H357*44/12*参考2_エネ使用量経年!$H207*(参考2_エネ使用量経年!AF207+参考2_エネ使用量経年!AF294),"")</f>
        <v/>
      </c>
      <c r="AG357" s="954" t="str">
        <f ca="1">IFERROR($I357*44/12*参考2_エネ使用量経年!$I207*(参考2_エネ使用量経年!AG207+参考2_エネ使用量経年!AG294),"")</f>
        <v/>
      </c>
      <c r="AH357" s="954" t="str">
        <f ca="1">IFERROR($J357*44/12*参考2_エネ使用量経年!$J207*(参考2_エネ使用量経年!AH207+参考2_エネ使用量経年!AH294),"")</f>
        <v/>
      </c>
      <c r="AI357" s="954" t="str">
        <f ca="1">IFERROR($K357*44/12*参考2_エネ使用量経年!$K207*(参考2_エネ使用量経年!AI207+参考2_エネ使用量経年!AI294),"")</f>
        <v/>
      </c>
      <c r="AJ357" s="954" t="str">
        <f ca="1">IFERROR($H357*44/12*参考2_エネ使用量経年!$H207*(参考2_エネ使用量経年!AJ207+参考2_エネ使用量経年!AJ294),"")</f>
        <v/>
      </c>
      <c r="AK357" s="954" t="str">
        <f ca="1">IFERROR($I357*44/12*参考2_エネ使用量経年!$I207*(参考2_エネ使用量経年!AK207+参考2_エネ使用量経年!AK294),"")</f>
        <v/>
      </c>
      <c r="AL357" s="954" t="str">
        <f ca="1">IFERROR($J357*44/12*参考2_エネ使用量経年!$J207*(参考2_エネ使用量経年!AL207+参考2_エネ使用量経年!AL294),"")</f>
        <v/>
      </c>
      <c r="AM357" s="954" t="str">
        <f ca="1">IFERROR($K357*44/12*参考2_エネ使用量経年!$K207*(参考2_エネ使用量経年!AM207+参考2_エネ使用量経年!AM294),"")</f>
        <v/>
      </c>
      <c r="AN357" s="954" t="str">
        <f ca="1">IFERROR($H357*44/12*参考2_エネ使用量経年!$H207*(参考2_エネ使用量経年!AN207+参考2_エネ使用量経年!AN294),"")</f>
        <v/>
      </c>
      <c r="AO357" s="954" t="str">
        <f ca="1">IFERROR($I357*44/12*参考2_エネ使用量経年!$I207*(参考2_エネ使用量経年!AO207+参考2_エネ使用量経年!AO294),"")</f>
        <v/>
      </c>
      <c r="AP357" s="954" t="str">
        <f ca="1">IFERROR($J357*44/12*参考2_エネ使用量経年!$J207*(参考2_エネ使用量経年!AP207+参考2_エネ使用量経年!AP294),"")</f>
        <v/>
      </c>
      <c r="AQ357" s="954" t="str">
        <f ca="1">IFERROR($K357*44/12*参考2_エネ使用量経年!$K207*(参考2_エネ使用量経年!AQ207+参考2_エネ使用量経年!AQ294),"")</f>
        <v/>
      </c>
      <c r="AR357" s="954" t="str">
        <f ca="1">IFERROR($H357*44/12*参考2_エネ使用量経年!$H207*(参考2_エネ使用量経年!AR207+参考2_エネ使用量経年!AR294),"")</f>
        <v/>
      </c>
      <c r="AS357" s="954" t="str">
        <f ca="1">IFERROR($I357*44/12*参考2_エネ使用量経年!$I207*(参考2_エネ使用量経年!AS207+参考2_エネ使用量経年!AS294),"")</f>
        <v/>
      </c>
      <c r="AT357" s="954" t="str">
        <f ca="1">IFERROR($J357*44/12*参考2_エネ使用量経年!$J207*(参考2_エネ使用量経年!AT207+参考2_エネ使用量経年!AT294),"")</f>
        <v/>
      </c>
      <c r="AU357" s="954" t="str">
        <f ca="1">IFERROR($K357*44/12*参考2_エネ使用量経年!$K207*(参考2_エネ使用量経年!AU207+参考2_エネ使用量経年!AU294),"")</f>
        <v/>
      </c>
      <c r="AV357" s="954" t="str">
        <f ca="1">IFERROR($H357*44/12*参考2_エネ使用量経年!$H207*(参考2_エネ使用量経年!AV207+参考2_エネ使用量経年!AV294),"")</f>
        <v/>
      </c>
      <c r="AW357" s="954" t="str">
        <f ca="1">IFERROR($I357*44/12*参考2_エネ使用量経年!$I207*(参考2_エネ使用量経年!AW207+参考2_エネ使用量経年!AW294),"")</f>
        <v/>
      </c>
      <c r="AX357" s="954" t="str">
        <f ca="1">IFERROR($J357*44/12*参考2_エネ使用量経年!$J207*(参考2_エネ使用量経年!AX207+参考2_エネ使用量経年!AX294),"")</f>
        <v/>
      </c>
      <c r="AY357" s="954" t="str">
        <f ca="1">IFERROR($K357*44/12*参考2_エネ使用量経年!$K207*(参考2_エネ使用量経年!AY207+参考2_エネ使用量経年!AY294),"")</f>
        <v/>
      </c>
      <c r="AZ357" s="954" t="str">
        <f ca="1">IFERROR($H357*44/12*参考2_エネ使用量経年!$H207*(参考2_エネ使用量経年!AZ207+参考2_エネ使用量経年!AZ294),"")</f>
        <v/>
      </c>
      <c r="BA357" s="954" t="str">
        <f ca="1">IFERROR($I357*44/12*参考2_エネ使用量経年!$I207*(参考2_エネ使用量経年!BA207+参考2_エネ使用量経年!BA294),"")</f>
        <v/>
      </c>
      <c r="BB357" s="954" t="str">
        <f ca="1">IFERROR($J357*44/12*参考2_エネ使用量経年!$J207*(参考2_エネ使用量経年!BB207+参考2_エネ使用量経年!BB294),"")</f>
        <v/>
      </c>
      <c r="BC357" s="954" t="str">
        <f ca="1">IFERROR($K357*44/12*参考2_エネ使用量経年!$K207*(参考2_エネ使用量経年!BC207+参考2_エネ使用量経年!BC294),"")</f>
        <v/>
      </c>
      <c r="BD357" s="954" t="str">
        <f ca="1">IFERROR($H357*44/12*参考2_エネ使用量経年!$H207*(参考2_エネ使用量経年!BD207+参考2_エネ使用量経年!BD294),"")</f>
        <v/>
      </c>
      <c r="BE357" s="954" t="str">
        <f ca="1">IFERROR($I357*44/12*参考2_エネ使用量経年!$I207*(参考2_エネ使用量経年!BE207+参考2_エネ使用量経年!BE294),"")</f>
        <v/>
      </c>
      <c r="BF357" s="954" t="str">
        <f ca="1">IFERROR($J357*44/12*参考2_エネ使用量経年!$J207*(参考2_エネ使用量経年!BF207+参考2_エネ使用量経年!BF294),"")</f>
        <v/>
      </c>
      <c r="BG357" s="954" t="str">
        <f ca="1">IFERROR($K357*44/12*参考2_エネ使用量経年!$K207*(参考2_エネ使用量経年!BG207+参考2_エネ使用量経年!BG294),"")</f>
        <v/>
      </c>
      <c r="BH357" s="954" t="str">
        <f ca="1">IFERROR($H357*44/12*参考2_エネ使用量経年!$H207*(参考2_エネ使用量経年!BH207+参考2_エネ使用量経年!BH294),"")</f>
        <v/>
      </c>
      <c r="BI357" s="954" t="str">
        <f ca="1">IFERROR($I357*44/12*参考2_エネ使用量経年!$I207*(参考2_エネ使用量経年!BI207+参考2_エネ使用量経年!BI294),"")</f>
        <v/>
      </c>
      <c r="BJ357" s="954" t="str">
        <f ca="1">IFERROR($J357*44/12*参考2_エネ使用量経年!$J207*(参考2_エネ使用量経年!BJ207+参考2_エネ使用量経年!BJ294),"")</f>
        <v/>
      </c>
      <c r="BK357" s="954" t="str">
        <f ca="1">IFERROR($K357*44/12*参考2_エネ使用量経年!$K207*(参考2_エネ使用量経年!BK207+参考2_エネ使用量経年!BK294),"")</f>
        <v/>
      </c>
      <c r="BL357" s="954" t="str">
        <f ca="1">IFERROR($H357*44/12*参考2_エネ使用量経年!$H207*(参考2_エネ使用量経年!BL207+参考2_エネ使用量経年!BL294),"")</f>
        <v/>
      </c>
      <c r="BM357" s="954" t="str">
        <f ca="1">IFERROR($I357*44/12*参考2_エネ使用量経年!$I207*(参考2_エネ使用量経年!BM207+参考2_エネ使用量経年!BM294),"")</f>
        <v/>
      </c>
      <c r="BN357" s="954" t="str">
        <f ca="1">IFERROR($J357*44/12*参考2_エネ使用量経年!$J207*(参考2_エネ使用量経年!BN207+参考2_エネ使用量経年!BN294),"")</f>
        <v/>
      </c>
      <c r="BO357" s="954" t="str">
        <f ca="1">IFERROR($K357*44/12*参考2_エネ使用量経年!$K207*(参考2_エネ使用量経年!BO207+参考2_エネ使用量経年!BO294),"")</f>
        <v/>
      </c>
    </row>
    <row r="358" spans="1:68" ht="20.100000000000001" customHeight="1">
      <c r="A358" s="952">
        <v>45</v>
      </c>
      <c r="B358" s="1870"/>
      <c r="C358" s="1872"/>
      <c r="D358" s="832" t="s">
        <v>4184</v>
      </c>
      <c r="E358" s="834"/>
      <c r="F358" s="825"/>
      <c r="G358" s="891" t="s">
        <v>4685</v>
      </c>
      <c r="H358" s="953">
        <f t="shared" ca="1" si="110"/>
        <v>1.66E-2</v>
      </c>
      <c r="I358" s="953">
        <f t="shared" ca="1" si="111"/>
        <v>1.66E-2</v>
      </c>
      <c r="J358" s="953">
        <f t="shared" ca="1" si="112"/>
        <v>1.66E-2</v>
      </c>
      <c r="K358" s="953">
        <f t="shared" ca="1" si="113"/>
        <v>1.66E-2</v>
      </c>
      <c r="L358" s="954">
        <f ca="1">IFERROR($H358*44/12*参考2_エネ使用量経年!$H208*(参考2_エネ使用量経年!L208+参考2_エネ使用量経年!L295),"")</f>
        <v>0</v>
      </c>
      <c r="M358" s="954">
        <f ca="1">IFERROR($I358*44/12*参考2_エネ使用量経年!$I208*(参考2_エネ使用量経年!M208+参考2_エネ使用量経年!M295),"")</f>
        <v>0</v>
      </c>
      <c r="N358" s="954">
        <f ca="1">IFERROR($J358*44/12*参考2_エネ使用量経年!$J208*(参考2_エネ使用量経年!N208+参考2_エネ使用量経年!N295),"")</f>
        <v>0</v>
      </c>
      <c r="O358" s="954">
        <f ca="1">IFERROR($K358*44/12*参考2_エネ使用量経年!$K208*(参考2_エネ使用量経年!O208+参考2_エネ使用量経年!O295),"")</f>
        <v>0</v>
      </c>
      <c r="P358" s="954">
        <f ca="1">IFERROR($H358*44/12*参考2_エネ使用量経年!$H208*(参考2_エネ使用量経年!P208+参考2_エネ使用量経年!P295),"")</f>
        <v>0</v>
      </c>
      <c r="Q358" s="954">
        <f ca="1">IFERROR($I358*44/12*参考2_エネ使用量経年!$I208*(参考2_エネ使用量経年!Q208+参考2_エネ使用量経年!Q295),"")</f>
        <v>0</v>
      </c>
      <c r="R358" s="954">
        <f ca="1">IFERROR($J358*44/12*参考2_エネ使用量経年!$J208*(参考2_エネ使用量経年!R208+参考2_エネ使用量経年!R295),"")</f>
        <v>0</v>
      </c>
      <c r="S358" s="954">
        <f ca="1">IFERROR($K358*44/12*参考2_エネ使用量経年!$K208*(参考2_エネ使用量経年!S208+参考2_エネ使用量経年!S295),"")</f>
        <v>0</v>
      </c>
      <c r="T358" s="954">
        <f ca="1">IFERROR($H358*44/12*参考2_エネ使用量経年!$H208*(参考2_エネ使用量経年!T208+参考2_エネ使用量経年!T295),"")</f>
        <v>0</v>
      </c>
      <c r="U358" s="954">
        <f ca="1">IFERROR($I358*44/12*参考2_エネ使用量経年!$I208*(参考2_エネ使用量経年!U208+参考2_エネ使用量経年!U295),"")</f>
        <v>0</v>
      </c>
      <c r="V358" s="954">
        <f ca="1">IFERROR($J358*44/12*参考2_エネ使用量経年!$J208*(参考2_エネ使用量経年!V208+参考2_エネ使用量経年!V295),"")</f>
        <v>0</v>
      </c>
      <c r="W358" s="954">
        <f ca="1">IFERROR($K358*44/12*参考2_エネ使用量経年!$K208*(参考2_エネ使用量経年!W208+参考2_エネ使用量経年!W295),"")</f>
        <v>0</v>
      </c>
      <c r="X358" s="954">
        <f ca="1">IFERROR($H358*44/12*参考2_エネ使用量経年!$H208*(参考2_エネ使用量経年!X208+参考2_エネ使用量経年!X295),"")</f>
        <v>0</v>
      </c>
      <c r="Y358" s="954">
        <f ca="1">IFERROR($I358*44/12*参考2_エネ使用量経年!$I208*(参考2_エネ使用量経年!Y208+参考2_エネ使用量経年!Y295),"")</f>
        <v>0</v>
      </c>
      <c r="Z358" s="954">
        <f ca="1">IFERROR($J358*44/12*参考2_エネ使用量経年!$J208*(参考2_エネ使用量経年!Z208+参考2_エネ使用量経年!Z295),"")</f>
        <v>0</v>
      </c>
      <c r="AA358" s="954">
        <f ca="1">IFERROR($K358*44/12*参考2_エネ使用量経年!$K208*(参考2_エネ使用量経年!AA208+参考2_エネ使用量経年!AA295),"")</f>
        <v>0</v>
      </c>
      <c r="AB358" s="954" t="str">
        <f ca="1">IFERROR($H358*44/12*参考2_エネ使用量経年!$H208*(参考2_エネ使用量経年!AB208+参考2_エネ使用量経年!AB295),"")</f>
        <v/>
      </c>
      <c r="AC358" s="954" t="str">
        <f ca="1">IFERROR($I358*44/12*参考2_エネ使用量経年!$I208*(参考2_エネ使用量経年!AC208+参考2_エネ使用量経年!AC295),"")</f>
        <v/>
      </c>
      <c r="AD358" s="954" t="str">
        <f ca="1">IFERROR($J358*44/12*参考2_エネ使用量経年!$J208*(参考2_エネ使用量経年!AD208+参考2_エネ使用量経年!AD295),"")</f>
        <v/>
      </c>
      <c r="AE358" s="954" t="str">
        <f ca="1">IFERROR($K358*44/12*参考2_エネ使用量経年!$K208*(参考2_エネ使用量経年!AE208+参考2_エネ使用量経年!AE295),"")</f>
        <v/>
      </c>
      <c r="AF358" s="954" t="str">
        <f ca="1">IFERROR($H358*44/12*参考2_エネ使用量経年!$H208*(参考2_エネ使用量経年!AF208+参考2_エネ使用量経年!AF295),"")</f>
        <v/>
      </c>
      <c r="AG358" s="954" t="str">
        <f ca="1">IFERROR($I358*44/12*参考2_エネ使用量経年!$I208*(参考2_エネ使用量経年!AG208+参考2_エネ使用量経年!AG295),"")</f>
        <v/>
      </c>
      <c r="AH358" s="954" t="str">
        <f ca="1">IFERROR($J358*44/12*参考2_エネ使用量経年!$J208*(参考2_エネ使用量経年!AH208+参考2_エネ使用量経年!AH295),"")</f>
        <v/>
      </c>
      <c r="AI358" s="954" t="str">
        <f ca="1">IFERROR($K358*44/12*参考2_エネ使用量経年!$K208*(参考2_エネ使用量経年!AI208+参考2_エネ使用量経年!AI295),"")</f>
        <v/>
      </c>
      <c r="AJ358" s="954" t="str">
        <f ca="1">IFERROR($H358*44/12*参考2_エネ使用量経年!$H208*(参考2_エネ使用量経年!AJ208+参考2_エネ使用量経年!AJ295),"")</f>
        <v/>
      </c>
      <c r="AK358" s="954" t="str">
        <f ca="1">IFERROR($I358*44/12*参考2_エネ使用量経年!$I208*(参考2_エネ使用量経年!AK208+参考2_エネ使用量経年!AK295),"")</f>
        <v/>
      </c>
      <c r="AL358" s="954" t="str">
        <f ca="1">IFERROR($J358*44/12*参考2_エネ使用量経年!$J208*(参考2_エネ使用量経年!AL208+参考2_エネ使用量経年!AL295),"")</f>
        <v/>
      </c>
      <c r="AM358" s="954" t="str">
        <f ca="1">IFERROR($K358*44/12*参考2_エネ使用量経年!$K208*(参考2_エネ使用量経年!AM208+参考2_エネ使用量経年!AM295),"")</f>
        <v/>
      </c>
      <c r="AN358" s="954" t="str">
        <f ca="1">IFERROR($H358*44/12*参考2_エネ使用量経年!$H208*(参考2_エネ使用量経年!AN208+参考2_エネ使用量経年!AN295),"")</f>
        <v/>
      </c>
      <c r="AO358" s="954" t="str">
        <f ca="1">IFERROR($I358*44/12*参考2_エネ使用量経年!$I208*(参考2_エネ使用量経年!AO208+参考2_エネ使用量経年!AO295),"")</f>
        <v/>
      </c>
      <c r="AP358" s="954" t="str">
        <f ca="1">IFERROR($J358*44/12*参考2_エネ使用量経年!$J208*(参考2_エネ使用量経年!AP208+参考2_エネ使用量経年!AP295),"")</f>
        <v/>
      </c>
      <c r="AQ358" s="954" t="str">
        <f ca="1">IFERROR($K358*44/12*参考2_エネ使用量経年!$K208*(参考2_エネ使用量経年!AQ208+参考2_エネ使用量経年!AQ295),"")</f>
        <v/>
      </c>
      <c r="AR358" s="954" t="str">
        <f ca="1">IFERROR($H358*44/12*参考2_エネ使用量経年!$H208*(参考2_エネ使用量経年!AR208+参考2_エネ使用量経年!AR295),"")</f>
        <v/>
      </c>
      <c r="AS358" s="954" t="str">
        <f ca="1">IFERROR($I358*44/12*参考2_エネ使用量経年!$I208*(参考2_エネ使用量経年!AS208+参考2_エネ使用量経年!AS295),"")</f>
        <v/>
      </c>
      <c r="AT358" s="954" t="str">
        <f ca="1">IFERROR($J358*44/12*参考2_エネ使用量経年!$J208*(参考2_エネ使用量経年!AT208+参考2_エネ使用量経年!AT295),"")</f>
        <v/>
      </c>
      <c r="AU358" s="954" t="str">
        <f ca="1">IFERROR($K358*44/12*参考2_エネ使用量経年!$K208*(参考2_エネ使用量経年!AU208+参考2_エネ使用量経年!AU295),"")</f>
        <v/>
      </c>
      <c r="AV358" s="954" t="str">
        <f ca="1">IFERROR($H358*44/12*参考2_エネ使用量経年!$H208*(参考2_エネ使用量経年!AV208+参考2_エネ使用量経年!AV295),"")</f>
        <v/>
      </c>
      <c r="AW358" s="954" t="str">
        <f ca="1">IFERROR($I358*44/12*参考2_エネ使用量経年!$I208*(参考2_エネ使用量経年!AW208+参考2_エネ使用量経年!AW295),"")</f>
        <v/>
      </c>
      <c r="AX358" s="954" t="str">
        <f ca="1">IFERROR($J358*44/12*参考2_エネ使用量経年!$J208*(参考2_エネ使用量経年!AX208+参考2_エネ使用量経年!AX295),"")</f>
        <v/>
      </c>
      <c r="AY358" s="954" t="str">
        <f ca="1">IFERROR($K358*44/12*参考2_エネ使用量経年!$K208*(参考2_エネ使用量経年!AY208+参考2_エネ使用量経年!AY295),"")</f>
        <v/>
      </c>
      <c r="AZ358" s="954" t="str">
        <f ca="1">IFERROR($H358*44/12*参考2_エネ使用量経年!$H208*(参考2_エネ使用量経年!AZ208+参考2_エネ使用量経年!AZ295),"")</f>
        <v/>
      </c>
      <c r="BA358" s="954" t="str">
        <f ca="1">IFERROR($I358*44/12*参考2_エネ使用量経年!$I208*(参考2_エネ使用量経年!BA208+参考2_エネ使用量経年!BA295),"")</f>
        <v/>
      </c>
      <c r="BB358" s="954" t="str">
        <f ca="1">IFERROR($J358*44/12*参考2_エネ使用量経年!$J208*(参考2_エネ使用量経年!BB208+参考2_エネ使用量経年!BB295),"")</f>
        <v/>
      </c>
      <c r="BC358" s="954" t="str">
        <f ca="1">IFERROR($K358*44/12*参考2_エネ使用量経年!$K208*(参考2_エネ使用量経年!BC208+参考2_エネ使用量経年!BC295),"")</f>
        <v/>
      </c>
      <c r="BD358" s="954" t="str">
        <f ca="1">IFERROR($H358*44/12*参考2_エネ使用量経年!$H208*(参考2_エネ使用量経年!BD208+参考2_エネ使用量経年!BD295),"")</f>
        <v/>
      </c>
      <c r="BE358" s="954" t="str">
        <f ca="1">IFERROR($I358*44/12*参考2_エネ使用量経年!$I208*(参考2_エネ使用量経年!BE208+参考2_エネ使用量経年!BE295),"")</f>
        <v/>
      </c>
      <c r="BF358" s="954" t="str">
        <f ca="1">IFERROR($J358*44/12*参考2_エネ使用量経年!$J208*(参考2_エネ使用量経年!BF208+参考2_エネ使用量経年!BF295),"")</f>
        <v/>
      </c>
      <c r="BG358" s="954" t="str">
        <f ca="1">IFERROR($K358*44/12*参考2_エネ使用量経年!$K208*(参考2_エネ使用量経年!BG208+参考2_エネ使用量経年!BG295),"")</f>
        <v/>
      </c>
      <c r="BH358" s="954" t="str">
        <f ca="1">IFERROR($H358*44/12*参考2_エネ使用量経年!$H208*(参考2_エネ使用量経年!BH208+参考2_エネ使用量経年!BH295),"")</f>
        <v/>
      </c>
      <c r="BI358" s="954" t="str">
        <f ca="1">IFERROR($I358*44/12*参考2_エネ使用量経年!$I208*(参考2_エネ使用量経年!BI208+参考2_エネ使用量経年!BI295),"")</f>
        <v/>
      </c>
      <c r="BJ358" s="954" t="str">
        <f ca="1">IFERROR($J358*44/12*参考2_エネ使用量経年!$J208*(参考2_エネ使用量経年!BJ208+参考2_エネ使用量経年!BJ295),"")</f>
        <v/>
      </c>
      <c r="BK358" s="954" t="str">
        <f ca="1">IFERROR($K358*44/12*参考2_エネ使用量経年!$K208*(参考2_エネ使用量経年!BK208+参考2_エネ使用量経年!BK295),"")</f>
        <v/>
      </c>
      <c r="BL358" s="954" t="str">
        <f ca="1">IFERROR($H358*44/12*参考2_エネ使用量経年!$H208*(参考2_エネ使用量経年!BL208+参考2_エネ使用量経年!BL295),"")</f>
        <v/>
      </c>
      <c r="BM358" s="954" t="str">
        <f ca="1">IFERROR($I358*44/12*参考2_エネ使用量経年!$I208*(参考2_エネ使用量経年!BM208+参考2_エネ使用量経年!BM295),"")</f>
        <v/>
      </c>
      <c r="BN358" s="954" t="str">
        <f ca="1">IFERROR($J358*44/12*参考2_エネ使用量経年!$J208*(参考2_エネ使用量経年!BN208+参考2_エネ使用量経年!BN295),"")</f>
        <v/>
      </c>
      <c r="BO358" s="954" t="str">
        <f ca="1">IFERROR($K358*44/12*参考2_エネ使用量経年!$K208*(参考2_エネ使用量経年!BO208+参考2_エネ使用量経年!BO295),"")</f>
        <v/>
      </c>
    </row>
    <row r="359" spans="1:68" ht="20.100000000000001" customHeight="1">
      <c r="A359" s="952">
        <v>46</v>
      </c>
      <c r="B359" s="1870"/>
      <c r="C359" s="1872"/>
      <c r="D359" s="832" t="s">
        <v>4411</v>
      </c>
      <c r="E359" s="818"/>
      <c r="F359" s="825"/>
      <c r="G359" s="891" t="s">
        <v>4685</v>
      </c>
      <c r="H359" s="953">
        <f t="shared" ca="1" si="110"/>
        <v>1.35E-2</v>
      </c>
      <c r="I359" s="953">
        <f t="shared" ca="1" si="111"/>
        <v>1.35E-2</v>
      </c>
      <c r="J359" s="953">
        <f t="shared" ca="1" si="112"/>
        <v>1.35E-2</v>
      </c>
      <c r="K359" s="953">
        <f t="shared" ca="1" si="113"/>
        <v>1.35E-2</v>
      </c>
      <c r="L359" s="954">
        <f ca="1">IFERROR($H359*44/12*参考2_エネ使用量経年!$H209*(参考2_エネ使用量経年!L209+参考2_エネ使用量経年!L296),"")</f>
        <v>0</v>
      </c>
      <c r="M359" s="954">
        <f ca="1">IFERROR($I359*44/12*参考2_エネ使用量経年!$I209*(参考2_エネ使用量経年!M209+参考2_エネ使用量経年!M296),"")</f>
        <v>0</v>
      </c>
      <c r="N359" s="954">
        <f ca="1">IFERROR($J359*44/12*参考2_エネ使用量経年!$J209*(参考2_エネ使用量経年!N209+参考2_エネ使用量経年!N296),"")</f>
        <v>0</v>
      </c>
      <c r="O359" s="954">
        <f ca="1">IFERROR($K359*44/12*参考2_エネ使用量経年!$K209*(参考2_エネ使用量経年!O209+参考2_エネ使用量経年!O296),"")</f>
        <v>0</v>
      </c>
      <c r="P359" s="954">
        <f ca="1">IFERROR($H359*44/12*参考2_エネ使用量経年!$H209*(参考2_エネ使用量経年!P209+参考2_エネ使用量経年!P296),"")</f>
        <v>0</v>
      </c>
      <c r="Q359" s="954">
        <f ca="1">IFERROR($I359*44/12*参考2_エネ使用量経年!$I209*(参考2_エネ使用量経年!Q209+参考2_エネ使用量経年!Q296),"")</f>
        <v>0</v>
      </c>
      <c r="R359" s="954">
        <f ca="1">IFERROR($J359*44/12*参考2_エネ使用量経年!$J209*(参考2_エネ使用量経年!R209+参考2_エネ使用量経年!R296),"")</f>
        <v>0</v>
      </c>
      <c r="S359" s="954">
        <f ca="1">IFERROR($K359*44/12*参考2_エネ使用量経年!$K209*(参考2_エネ使用量経年!S209+参考2_エネ使用量経年!S296),"")</f>
        <v>0</v>
      </c>
      <c r="T359" s="954">
        <f ca="1">IFERROR($H359*44/12*参考2_エネ使用量経年!$H209*(参考2_エネ使用量経年!T209+参考2_エネ使用量経年!T296),"")</f>
        <v>0</v>
      </c>
      <c r="U359" s="954">
        <f ca="1">IFERROR($I359*44/12*参考2_エネ使用量経年!$I209*(参考2_エネ使用量経年!U209+参考2_エネ使用量経年!U296),"")</f>
        <v>0</v>
      </c>
      <c r="V359" s="954">
        <f ca="1">IFERROR($J359*44/12*参考2_エネ使用量経年!$J209*(参考2_エネ使用量経年!V209+参考2_エネ使用量経年!V296),"")</f>
        <v>0</v>
      </c>
      <c r="W359" s="954">
        <f ca="1">IFERROR($K359*44/12*参考2_エネ使用量経年!$K209*(参考2_エネ使用量経年!W209+参考2_エネ使用量経年!W296),"")</f>
        <v>0</v>
      </c>
      <c r="X359" s="954">
        <f ca="1">IFERROR($H359*44/12*参考2_エネ使用量経年!$H209*(参考2_エネ使用量経年!X209+参考2_エネ使用量経年!X296),"")</f>
        <v>0</v>
      </c>
      <c r="Y359" s="954">
        <f ca="1">IFERROR($I359*44/12*参考2_エネ使用量経年!$I209*(参考2_エネ使用量経年!Y209+参考2_エネ使用量経年!Y296),"")</f>
        <v>0</v>
      </c>
      <c r="Z359" s="954">
        <f ca="1">IFERROR($J359*44/12*参考2_エネ使用量経年!$J209*(参考2_エネ使用量経年!Z209+参考2_エネ使用量経年!Z296),"")</f>
        <v>0</v>
      </c>
      <c r="AA359" s="954">
        <f ca="1">IFERROR($K359*44/12*参考2_エネ使用量経年!$K209*(参考2_エネ使用量経年!AA209+参考2_エネ使用量経年!AA296),"")</f>
        <v>0</v>
      </c>
      <c r="AB359" s="954" t="str">
        <f ca="1">IFERROR($H359*44/12*参考2_エネ使用量経年!$H209*(参考2_エネ使用量経年!AB209+参考2_エネ使用量経年!AB296),"")</f>
        <v/>
      </c>
      <c r="AC359" s="954" t="str">
        <f ca="1">IFERROR($I359*44/12*参考2_エネ使用量経年!$I209*(参考2_エネ使用量経年!AC209+参考2_エネ使用量経年!AC296),"")</f>
        <v/>
      </c>
      <c r="AD359" s="954" t="str">
        <f ca="1">IFERROR($J359*44/12*参考2_エネ使用量経年!$J209*(参考2_エネ使用量経年!AD209+参考2_エネ使用量経年!AD296),"")</f>
        <v/>
      </c>
      <c r="AE359" s="954" t="str">
        <f ca="1">IFERROR($K359*44/12*参考2_エネ使用量経年!$K209*(参考2_エネ使用量経年!AE209+参考2_エネ使用量経年!AE296),"")</f>
        <v/>
      </c>
      <c r="AF359" s="954" t="str">
        <f ca="1">IFERROR($H359*44/12*参考2_エネ使用量経年!$H209*(参考2_エネ使用量経年!AF209+参考2_エネ使用量経年!AF296),"")</f>
        <v/>
      </c>
      <c r="AG359" s="954" t="str">
        <f ca="1">IFERROR($I359*44/12*参考2_エネ使用量経年!$I209*(参考2_エネ使用量経年!AG209+参考2_エネ使用量経年!AG296),"")</f>
        <v/>
      </c>
      <c r="AH359" s="954" t="str">
        <f ca="1">IFERROR($J359*44/12*参考2_エネ使用量経年!$J209*(参考2_エネ使用量経年!AH209+参考2_エネ使用量経年!AH296),"")</f>
        <v/>
      </c>
      <c r="AI359" s="954" t="str">
        <f ca="1">IFERROR($K359*44/12*参考2_エネ使用量経年!$K209*(参考2_エネ使用量経年!AI209+参考2_エネ使用量経年!AI296),"")</f>
        <v/>
      </c>
      <c r="AJ359" s="954" t="str">
        <f ca="1">IFERROR($H359*44/12*参考2_エネ使用量経年!$H209*(参考2_エネ使用量経年!AJ209+参考2_エネ使用量経年!AJ296),"")</f>
        <v/>
      </c>
      <c r="AK359" s="954" t="str">
        <f ca="1">IFERROR($I359*44/12*参考2_エネ使用量経年!$I209*(参考2_エネ使用量経年!AK209+参考2_エネ使用量経年!AK296),"")</f>
        <v/>
      </c>
      <c r="AL359" s="954" t="str">
        <f ca="1">IFERROR($J359*44/12*参考2_エネ使用量経年!$J209*(参考2_エネ使用量経年!AL209+参考2_エネ使用量経年!AL296),"")</f>
        <v/>
      </c>
      <c r="AM359" s="954" t="str">
        <f ca="1">IFERROR($K359*44/12*参考2_エネ使用量経年!$K209*(参考2_エネ使用量経年!AM209+参考2_エネ使用量経年!AM296),"")</f>
        <v/>
      </c>
      <c r="AN359" s="954" t="str">
        <f ca="1">IFERROR($H359*44/12*参考2_エネ使用量経年!$H209*(参考2_エネ使用量経年!AN209+参考2_エネ使用量経年!AN296),"")</f>
        <v/>
      </c>
      <c r="AO359" s="954" t="str">
        <f ca="1">IFERROR($I359*44/12*参考2_エネ使用量経年!$I209*(参考2_エネ使用量経年!AO209+参考2_エネ使用量経年!AO296),"")</f>
        <v/>
      </c>
      <c r="AP359" s="954" t="str">
        <f ca="1">IFERROR($J359*44/12*参考2_エネ使用量経年!$J209*(参考2_エネ使用量経年!AP209+参考2_エネ使用量経年!AP296),"")</f>
        <v/>
      </c>
      <c r="AQ359" s="954" t="str">
        <f ca="1">IFERROR($K359*44/12*参考2_エネ使用量経年!$K209*(参考2_エネ使用量経年!AQ209+参考2_エネ使用量経年!AQ296),"")</f>
        <v/>
      </c>
      <c r="AR359" s="954" t="str">
        <f ca="1">IFERROR($H359*44/12*参考2_エネ使用量経年!$H209*(参考2_エネ使用量経年!AR209+参考2_エネ使用量経年!AR296),"")</f>
        <v/>
      </c>
      <c r="AS359" s="954" t="str">
        <f ca="1">IFERROR($I359*44/12*参考2_エネ使用量経年!$I209*(参考2_エネ使用量経年!AS209+参考2_エネ使用量経年!AS296),"")</f>
        <v/>
      </c>
      <c r="AT359" s="954" t="str">
        <f ca="1">IFERROR($J359*44/12*参考2_エネ使用量経年!$J209*(参考2_エネ使用量経年!AT209+参考2_エネ使用量経年!AT296),"")</f>
        <v/>
      </c>
      <c r="AU359" s="954" t="str">
        <f ca="1">IFERROR($K359*44/12*参考2_エネ使用量経年!$K209*(参考2_エネ使用量経年!AU209+参考2_エネ使用量経年!AU296),"")</f>
        <v/>
      </c>
      <c r="AV359" s="954" t="str">
        <f ca="1">IFERROR($H359*44/12*参考2_エネ使用量経年!$H209*(参考2_エネ使用量経年!AV209+参考2_エネ使用量経年!AV296),"")</f>
        <v/>
      </c>
      <c r="AW359" s="954" t="str">
        <f ca="1">IFERROR($I359*44/12*参考2_エネ使用量経年!$I209*(参考2_エネ使用量経年!AW209+参考2_エネ使用量経年!AW296),"")</f>
        <v/>
      </c>
      <c r="AX359" s="954" t="str">
        <f ca="1">IFERROR($J359*44/12*参考2_エネ使用量経年!$J209*(参考2_エネ使用量経年!AX209+参考2_エネ使用量経年!AX296),"")</f>
        <v/>
      </c>
      <c r="AY359" s="954" t="str">
        <f ca="1">IFERROR($K359*44/12*参考2_エネ使用量経年!$K209*(参考2_エネ使用量経年!AY209+参考2_エネ使用量経年!AY296),"")</f>
        <v/>
      </c>
      <c r="AZ359" s="954" t="str">
        <f ca="1">IFERROR($H359*44/12*参考2_エネ使用量経年!$H209*(参考2_エネ使用量経年!AZ209+参考2_エネ使用量経年!AZ296),"")</f>
        <v/>
      </c>
      <c r="BA359" s="954" t="str">
        <f ca="1">IFERROR($I359*44/12*参考2_エネ使用量経年!$I209*(参考2_エネ使用量経年!BA209+参考2_エネ使用量経年!BA296),"")</f>
        <v/>
      </c>
      <c r="BB359" s="954" t="str">
        <f ca="1">IFERROR($J359*44/12*参考2_エネ使用量経年!$J209*(参考2_エネ使用量経年!BB209+参考2_エネ使用量経年!BB296),"")</f>
        <v/>
      </c>
      <c r="BC359" s="954" t="str">
        <f ca="1">IFERROR($K359*44/12*参考2_エネ使用量経年!$K209*(参考2_エネ使用量経年!BC209+参考2_エネ使用量経年!BC296),"")</f>
        <v/>
      </c>
      <c r="BD359" s="954" t="str">
        <f ca="1">IFERROR($H359*44/12*参考2_エネ使用量経年!$H209*(参考2_エネ使用量経年!BD209+参考2_エネ使用量経年!BD296),"")</f>
        <v/>
      </c>
      <c r="BE359" s="954" t="str">
        <f ca="1">IFERROR($I359*44/12*参考2_エネ使用量経年!$I209*(参考2_エネ使用量経年!BE209+参考2_エネ使用量経年!BE296),"")</f>
        <v/>
      </c>
      <c r="BF359" s="954" t="str">
        <f ca="1">IFERROR($J359*44/12*参考2_エネ使用量経年!$J209*(参考2_エネ使用量経年!BF209+参考2_エネ使用量経年!BF296),"")</f>
        <v/>
      </c>
      <c r="BG359" s="954" t="str">
        <f ca="1">IFERROR($K359*44/12*参考2_エネ使用量経年!$K209*(参考2_エネ使用量経年!BG209+参考2_エネ使用量経年!BG296),"")</f>
        <v/>
      </c>
      <c r="BH359" s="954" t="str">
        <f ca="1">IFERROR($H359*44/12*参考2_エネ使用量経年!$H209*(参考2_エネ使用量経年!BH209+参考2_エネ使用量経年!BH296),"")</f>
        <v/>
      </c>
      <c r="BI359" s="954" t="str">
        <f ca="1">IFERROR($I359*44/12*参考2_エネ使用量経年!$I209*(参考2_エネ使用量経年!BI209+参考2_エネ使用量経年!BI296),"")</f>
        <v/>
      </c>
      <c r="BJ359" s="954" t="str">
        <f ca="1">IFERROR($J359*44/12*参考2_エネ使用量経年!$J209*(参考2_エネ使用量経年!BJ209+参考2_エネ使用量経年!BJ296),"")</f>
        <v/>
      </c>
      <c r="BK359" s="954" t="str">
        <f ca="1">IFERROR($K359*44/12*参考2_エネ使用量経年!$K209*(参考2_エネ使用量経年!BK209+参考2_エネ使用量経年!BK296),"")</f>
        <v/>
      </c>
      <c r="BL359" s="954" t="str">
        <f ca="1">IFERROR($H359*44/12*参考2_エネ使用量経年!$H209*(参考2_エネ使用量経年!BL209+参考2_エネ使用量経年!BL296),"")</f>
        <v/>
      </c>
      <c r="BM359" s="954" t="str">
        <f ca="1">IFERROR($I359*44/12*参考2_エネ使用量経年!$I209*(参考2_エネ使用量経年!BM209+参考2_エネ使用量経年!BM296),"")</f>
        <v/>
      </c>
      <c r="BN359" s="954" t="str">
        <f ca="1">IFERROR($J359*44/12*参考2_エネ使用量経年!$J209*(参考2_エネ使用量経年!BN209+参考2_エネ使用量経年!BN296),"")</f>
        <v/>
      </c>
      <c r="BO359" s="954" t="str">
        <f ca="1">IFERROR($K359*44/12*参考2_エネ使用量経年!$K209*(参考2_エネ使用量経年!BO209+参考2_エネ使用量経年!BO296),"")</f>
        <v/>
      </c>
    </row>
    <row r="360" spans="1:68" ht="20.100000000000001" customHeight="1">
      <c r="A360" s="952">
        <v>47</v>
      </c>
      <c r="B360" s="1871"/>
      <c r="C360" s="1872"/>
      <c r="D360" s="832" t="s">
        <v>4412</v>
      </c>
      <c r="E360" s="824"/>
      <c r="F360" s="825"/>
      <c r="G360" s="891" t="s">
        <v>4685</v>
      </c>
      <c r="H360" s="953">
        <f t="shared" ca="1" si="110"/>
        <v>2.5700000000000001E-2</v>
      </c>
      <c r="I360" s="953">
        <f t="shared" ca="1" si="111"/>
        <v>2.5700000000000001E-2</v>
      </c>
      <c r="J360" s="953">
        <f t="shared" ca="1" si="112"/>
        <v>2.5700000000000001E-2</v>
      </c>
      <c r="K360" s="953">
        <f t="shared" ca="1" si="113"/>
        <v>2.5700000000000001E-2</v>
      </c>
      <c r="L360" s="954">
        <f ca="1">IFERROR($H360*44/12*参考2_エネ使用量経年!$H210*(参考2_エネ使用量経年!L210+参考2_エネ使用量経年!L297),"")</f>
        <v>0</v>
      </c>
      <c r="M360" s="954">
        <f ca="1">IFERROR($I360*44/12*参考2_エネ使用量経年!$I210*(参考2_エネ使用量経年!M210+参考2_エネ使用量経年!M297),"")</f>
        <v>0</v>
      </c>
      <c r="N360" s="954">
        <f ca="1">IFERROR($J360*44/12*参考2_エネ使用量経年!$J210*(参考2_エネ使用量経年!N210+参考2_エネ使用量経年!N297),"")</f>
        <v>0</v>
      </c>
      <c r="O360" s="954">
        <f ca="1">IFERROR($K360*44/12*参考2_エネ使用量経年!$K210*(参考2_エネ使用量経年!O210+参考2_エネ使用量経年!O297),"")</f>
        <v>0</v>
      </c>
      <c r="P360" s="954">
        <f ca="1">IFERROR($H360*44/12*参考2_エネ使用量経年!$H210*(参考2_エネ使用量経年!P210+参考2_エネ使用量経年!P297),"")</f>
        <v>0</v>
      </c>
      <c r="Q360" s="954">
        <f ca="1">IFERROR($I360*44/12*参考2_エネ使用量経年!$I210*(参考2_エネ使用量経年!Q210+参考2_エネ使用量経年!Q297),"")</f>
        <v>0</v>
      </c>
      <c r="R360" s="954">
        <f ca="1">IFERROR($J360*44/12*参考2_エネ使用量経年!$J210*(参考2_エネ使用量経年!R210+参考2_エネ使用量経年!R297),"")</f>
        <v>0</v>
      </c>
      <c r="S360" s="954">
        <f ca="1">IFERROR($K360*44/12*参考2_エネ使用量経年!$K210*(参考2_エネ使用量経年!S210+参考2_エネ使用量経年!S297),"")</f>
        <v>0</v>
      </c>
      <c r="T360" s="954">
        <f ca="1">IFERROR($H360*44/12*参考2_エネ使用量経年!$H210*(参考2_エネ使用量経年!T210+参考2_エネ使用量経年!T297),"")</f>
        <v>0</v>
      </c>
      <c r="U360" s="954">
        <f ca="1">IFERROR($I360*44/12*参考2_エネ使用量経年!$I210*(参考2_エネ使用量経年!U210+参考2_エネ使用量経年!U297),"")</f>
        <v>0</v>
      </c>
      <c r="V360" s="954">
        <f ca="1">IFERROR($J360*44/12*参考2_エネ使用量経年!$J210*(参考2_エネ使用量経年!V210+参考2_エネ使用量経年!V297),"")</f>
        <v>0</v>
      </c>
      <c r="W360" s="954">
        <f ca="1">IFERROR($K360*44/12*参考2_エネ使用量経年!$K210*(参考2_エネ使用量経年!W210+参考2_エネ使用量経年!W297),"")</f>
        <v>0</v>
      </c>
      <c r="X360" s="954">
        <f ca="1">IFERROR($H360*44/12*参考2_エネ使用量経年!$H210*(参考2_エネ使用量経年!X210+参考2_エネ使用量経年!X297),"")</f>
        <v>0</v>
      </c>
      <c r="Y360" s="954">
        <f ca="1">IFERROR($I360*44/12*参考2_エネ使用量経年!$I210*(参考2_エネ使用量経年!Y210+参考2_エネ使用量経年!Y297),"")</f>
        <v>0</v>
      </c>
      <c r="Z360" s="954">
        <f ca="1">IFERROR($J360*44/12*参考2_エネ使用量経年!$J210*(参考2_エネ使用量経年!Z210+参考2_エネ使用量経年!Z297),"")</f>
        <v>0</v>
      </c>
      <c r="AA360" s="954">
        <f ca="1">IFERROR($K360*44/12*参考2_エネ使用量経年!$K210*(参考2_エネ使用量経年!AA210+参考2_エネ使用量経年!AA297),"")</f>
        <v>0</v>
      </c>
      <c r="AB360" s="954" t="str">
        <f ca="1">IFERROR($H360*44/12*参考2_エネ使用量経年!$H210*(参考2_エネ使用量経年!AB210+参考2_エネ使用量経年!AB297),"")</f>
        <v/>
      </c>
      <c r="AC360" s="954" t="str">
        <f ca="1">IFERROR($I360*44/12*参考2_エネ使用量経年!$I210*(参考2_エネ使用量経年!AC210+参考2_エネ使用量経年!AC297),"")</f>
        <v/>
      </c>
      <c r="AD360" s="954" t="str">
        <f ca="1">IFERROR($J360*44/12*参考2_エネ使用量経年!$J210*(参考2_エネ使用量経年!AD210+参考2_エネ使用量経年!AD297),"")</f>
        <v/>
      </c>
      <c r="AE360" s="954" t="str">
        <f ca="1">IFERROR($K360*44/12*参考2_エネ使用量経年!$K210*(参考2_エネ使用量経年!AE210+参考2_エネ使用量経年!AE297),"")</f>
        <v/>
      </c>
      <c r="AF360" s="954" t="str">
        <f ca="1">IFERROR($H360*44/12*参考2_エネ使用量経年!$H210*(参考2_エネ使用量経年!AF210+参考2_エネ使用量経年!AF297),"")</f>
        <v/>
      </c>
      <c r="AG360" s="954" t="str">
        <f ca="1">IFERROR($I360*44/12*参考2_エネ使用量経年!$I210*(参考2_エネ使用量経年!AG210+参考2_エネ使用量経年!AG297),"")</f>
        <v/>
      </c>
      <c r="AH360" s="954" t="str">
        <f ca="1">IFERROR($J360*44/12*参考2_エネ使用量経年!$J210*(参考2_エネ使用量経年!AH210+参考2_エネ使用量経年!AH297),"")</f>
        <v/>
      </c>
      <c r="AI360" s="954" t="str">
        <f ca="1">IFERROR($K360*44/12*参考2_エネ使用量経年!$K210*(参考2_エネ使用量経年!AI210+参考2_エネ使用量経年!AI297),"")</f>
        <v/>
      </c>
      <c r="AJ360" s="954" t="str">
        <f ca="1">IFERROR($H360*44/12*参考2_エネ使用量経年!$H210*(参考2_エネ使用量経年!AJ210+参考2_エネ使用量経年!AJ297),"")</f>
        <v/>
      </c>
      <c r="AK360" s="954" t="str">
        <f ca="1">IFERROR($I360*44/12*参考2_エネ使用量経年!$I210*(参考2_エネ使用量経年!AK210+参考2_エネ使用量経年!AK297),"")</f>
        <v/>
      </c>
      <c r="AL360" s="954" t="str">
        <f ca="1">IFERROR($J360*44/12*参考2_エネ使用量経年!$J210*(参考2_エネ使用量経年!AL210+参考2_エネ使用量経年!AL297),"")</f>
        <v/>
      </c>
      <c r="AM360" s="954" t="str">
        <f ca="1">IFERROR($K360*44/12*参考2_エネ使用量経年!$K210*(参考2_エネ使用量経年!AM210+参考2_エネ使用量経年!AM297),"")</f>
        <v/>
      </c>
      <c r="AN360" s="954" t="str">
        <f ca="1">IFERROR($H360*44/12*参考2_エネ使用量経年!$H210*(参考2_エネ使用量経年!AN210+参考2_エネ使用量経年!AN297),"")</f>
        <v/>
      </c>
      <c r="AO360" s="954" t="str">
        <f ca="1">IFERROR($I360*44/12*参考2_エネ使用量経年!$I210*(参考2_エネ使用量経年!AO210+参考2_エネ使用量経年!AO297),"")</f>
        <v/>
      </c>
      <c r="AP360" s="954" t="str">
        <f ca="1">IFERROR($J360*44/12*参考2_エネ使用量経年!$J210*(参考2_エネ使用量経年!AP210+参考2_エネ使用量経年!AP297),"")</f>
        <v/>
      </c>
      <c r="AQ360" s="954" t="str">
        <f ca="1">IFERROR($K360*44/12*参考2_エネ使用量経年!$K210*(参考2_エネ使用量経年!AQ210+参考2_エネ使用量経年!AQ297),"")</f>
        <v/>
      </c>
      <c r="AR360" s="954" t="str">
        <f ca="1">IFERROR($H360*44/12*参考2_エネ使用量経年!$H210*(参考2_エネ使用量経年!AR210+参考2_エネ使用量経年!AR297),"")</f>
        <v/>
      </c>
      <c r="AS360" s="954" t="str">
        <f ca="1">IFERROR($I360*44/12*参考2_エネ使用量経年!$I210*(参考2_エネ使用量経年!AS210+参考2_エネ使用量経年!AS297),"")</f>
        <v/>
      </c>
      <c r="AT360" s="954" t="str">
        <f ca="1">IFERROR($J360*44/12*参考2_エネ使用量経年!$J210*(参考2_エネ使用量経年!AT210+参考2_エネ使用量経年!AT297),"")</f>
        <v/>
      </c>
      <c r="AU360" s="954" t="str">
        <f ca="1">IFERROR($K360*44/12*参考2_エネ使用量経年!$K210*(参考2_エネ使用量経年!AU210+参考2_エネ使用量経年!AU297),"")</f>
        <v/>
      </c>
      <c r="AV360" s="954" t="str">
        <f ca="1">IFERROR($H360*44/12*参考2_エネ使用量経年!$H210*(参考2_エネ使用量経年!AV210+参考2_エネ使用量経年!AV297),"")</f>
        <v/>
      </c>
      <c r="AW360" s="954" t="str">
        <f ca="1">IFERROR($I360*44/12*参考2_エネ使用量経年!$I210*(参考2_エネ使用量経年!AW210+参考2_エネ使用量経年!AW297),"")</f>
        <v/>
      </c>
      <c r="AX360" s="954" t="str">
        <f ca="1">IFERROR($J360*44/12*参考2_エネ使用量経年!$J210*(参考2_エネ使用量経年!AX210+参考2_エネ使用量経年!AX297),"")</f>
        <v/>
      </c>
      <c r="AY360" s="954" t="str">
        <f ca="1">IFERROR($K360*44/12*参考2_エネ使用量経年!$K210*(参考2_エネ使用量経年!AY210+参考2_エネ使用量経年!AY297),"")</f>
        <v/>
      </c>
      <c r="AZ360" s="954" t="str">
        <f ca="1">IFERROR($H360*44/12*参考2_エネ使用量経年!$H210*(参考2_エネ使用量経年!AZ210+参考2_エネ使用量経年!AZ297),"")</f>
        <v/>
      </c>
      <c r="BA360" s="954" t="str">
        <f ca="1">IFERROR($I360*44/12*参考2_エネ使用量経年!$I210*(参考2_エネ使用量経年!BA210+参考2_エネ使用量経年!BA297),"")</f>
        <v/>
      </c>
      <c r="BB360" s="954" t="str">
        <f ca="1">IFERROR($J360*44/12*参考2_エネ使用量経年!$J210*(参考2_エネ使用量経年!BB210+参考2_エネ使用量経年!BB297),"")</f>
        <v/>
      </c>
      <c r="BC360" s="954" t="str">
        <f ca="1">IFERROR($K360*44/12*参考2_エネ使用量経年!$K210*(参考2_エネ使用量経年!BC210+参考2_エネ使用量経年!BC297),"")</f>
        <v/>
      </c>
      <c r="BD360" s="954" t="str">
        <f ca="1">IFERROR($H360*44/12*参考2_エネ使用量経年!$H210*(参考2_エネ使用量経年!BD210+参考2_エネ使用量経年!BD297),"")</f>
        <v/>
      </c>
      <c r="BE360" s="954" t="str">
        <f ca="1">IFERROR($I360*44/12*参考2_エネ使用量経年!$I210*(参考2_エネ使用量経年!BE210+参考2_エネ使用量経年!BE297),"")</f>
        <v/>
      </c>
      <c r="BF360" s="954" t="str">
        <f ca="1">IFERROR($J360*44/12*参考2_エネ使用量経年!$J210*(参考2_エネ使用量経年!BF210+参考2_エネ使用量経年!BF297),"")</f>
        <v/>
      </c>
      <c r="BG360" s="954" t="str">
        <f ca="1">IFERROR($K360*44/12*参考2_エネ使用量経年!$K210*(参考2_エネ使用量経年!BG210+参考2_エネ使用量経年!BG297),"")</f>
        <v/>
      </c>
      <c r="BH360" s="954" t="str">
        <f ca="1">IFERROR($H360*44/12*参考2_エネ使用量経年!$H210*(参考2_エネ使用量経年!BH210+参考2_エネ使用量経年!BH297),"")</f>
        <v/>
      </c>
      <c r="BI360" s="954" t="str">
        <f ca="1">IFERROR($I360*44/12*参考2_エネ使用量経年!$I210*(参考2_エネ使用量経年!BI210+参考2_エネ使用量経年!BI297),"")</f>
        <v/>
      </c>
      <c r="BJ360" s="954" t="str">
        <f ca="1">IFERROR($J360*44/12*参考2_エネ使用量経年!$J210*(参考2_エネ使用量経年!BJ210+参考2_エネ使用量経年!BJ297),"")</f>
        <v/>
      </c>
      <c r="BK360" s="954" t="str">
        <f ca="1">IFERROR($K360*44/12*参考2_エネ使用量経年!$K210*(参考2_エネ使用量経年!BK210+参考2_エネ使用量経年!BK297),"")</f>
        <v/>
      </c>
      <c r="BL360" s="954" t="str">
        <f ca="1">IFERROR($H360*44/12*参考2_エネ使用量経年!$H210*(参考2_エネ使用量経年!BL210+参考2_エネ使用量経年!BL297),"")</f>
        <v/>
      </c>
      <c r="BM360" s="954" t="str">
        <f ca="1">IFERROR($I360*44/12*参考2_エネ使用量経年!$I210*(参考2_エネ使用量経年!BM210+参考2_エネ使用量経年!BM297),"")</f>
        <v/>
      </c>
      <c r="BN360" s="954" t="str">
        <f ca="1">IFERROR($J360*44/12*参考2_エネ使用量経年!$J210*(参考2_エネ使用量経年!BN210+参考2_エネ使用量経年!BN297),"")</f>
        <v/>
      </c>
      <c r="BO360" s="954" t="str">
        <f ca="1">IFERROR($K360*44/12*参考2_エネ使用量経年!$K210*(参考2_エネ使用量経年!BO210+参考2_エネ使用量経年!BO297),"")</f>
        <v/>
      </c>
    </row>
    <row r="361" spans="1:68" ht="20.100000000000001" customHeight="1">
      <c r="A361" s="952">
        <v>48</v>
      </c>
      <c r="B361" s="1871"/>
      <c r="C361" s="1872"/>
      <c r="D361" s="832" t="s">
        <v>4413</v>
      </c>
      <c r="E361" s="824"/>
      <c r="F361" s="825"/>
      <c r="G361" s="891" t="s">
        <v>4685</v>
      </c>
      <c r="H361" s="953">
        <f t="shared" ca="1" si="110"/>
        <v>2.3900000000000001E-2</v>
      </c>
      <c r="I361" s="953">
        <f t="shared" ca="1" si="111"/>
        <v>2.3900000000000001E-2</v>
      </c>
      <c r="J361" s="953">
        <f t="shared" ca="1" si="112"/>
        <v>2.3900000000000001E-2</v>
      </c>
      <c r="K361" s="953">
        <f t="shared" ca="1" si="113"/>
        <v>2.3900000000000001E-2</v>
      </c>
      <c r="L361" s="954">
        <f ca="1">IFERROR($H361*44/12*参考2_エネ使用量経年!$H211*(参考2_エネ使用量経年!L211+参考2_エネ使用量経年!L298),"")</f>
        <v>0</v>
      </c>
      <c r="M361" s="954">
        <f ca="1">IFERROR($I361*44/12*参考2_エネ使用量経年!$I211*(参考2_エネ使用量経年!M211+参考2_エネ使用量経年!M298),"")</f>
        <v>0</v>
      </c>
      <c r="N361" s="954">
        <f ca="1">IFERROR($J361*44/12*参考2_エネ使用量経年!$J211*(参考2_エネ使用量経年!N211+参考2_エネ使用量経年!N298),"")</f>
        <v>0</v>
      </c>
      <c r="O361" s="954">
        <f ca="1">IFERROR($K361*44/12*参考2_エネ使用量経年!$K211*(参考2_エネ使用量経年!O211+参考2_エネ使用量経年!O298),"")</f>
        <v>0</v>
      </c>
      <c r="P361" s="954">
        <f ca="1">IFERROR($H361*44/12*参考2_エネ使用量経年!$H211*(参考2_エネ使用量経年!P211+参考2_エネ使用量経年!P298),"")</f>
        <v>0</v>
      </c>
      <c r="Q361" s="954">
        <f ca="1">IFERROR($I361*44/12*参考2_エネ使用量経年!$I211*(参考2_エネ使用量経年!Q211+参考2_エネ使用量経年!Q298),"")</f>
        <v>0</v>
      </c>
      <c r="R361" s="954">
        <f ca="1">IFERROR($J361*44/12*参考2_エネ使用量経年!$J211*(参考2_エネ使用量経年!R211+参考2_エネ使用量経年!R298),"")</f>
        <v>0</v>
      </c>
      <c r="S361" s="954">
        <f ca="1">IFERROR($K361*44/12*参考2_エネ使用量経年!$K211*(参考2_エネ使用量経年!S211+参考2_エネ使用量経年!S298),"")</f>
        <v>0</v>
      </c>
      <c r="T361" s="954">
        <f ca="1">IFERROR($H361*44/12*参考2_エネ使用量経年!$H211*(参考2_エネ使用量経年!T211+参考2_エネ使用量経年!T298),"")</f>
        <v>0</v>
      </c>
      <c r="U361" s="954">
        <f ca="1">IFERROR($I361*44/12*参考2_エネ使用量経年!$I211*(参考2_エネ使用量経年!U211+参考2_エネ使用量経年!U298),"")</f>
        <v>0</v>
      </c>
      <c r="V361" s="954">
        <f ca="1">IFERROR($J361*44/12*参考2_エネ使用量経年!$J211*(参考2_エネ使用量経年!V211+参考2_エネ使用量経年!V298),"")</f>
        <v>0</v>
      </c>
      <c r="W361" s="954">
        <f ca="1">IFERROR($K361*44/12*参考2_エネ使用量経年!$K211*(参考2_エネ使用量経年!W211+参考2_エネ使用量経年!W298),"")</f>
        <v>0</v>
      </c>
      <c r="X361" s="954">
        <f ca="1">IFERROR($H361*44/12*参考2_エネ使用量経年!$H211*(参考2_エネ使用量経年!X211+参考2_エネ使用量経年!X298),"")</f>
        <v>0</v>
      </c>
      <c r="Y361" s="954">
        <f ca="1">IFERROR($I361*44/12*参考2_エネ使用量経年!$I211*(参考2_エネ使用量経年!Y211+参考2_エネ使用量経年!Y298),"")</f>
        <v>0</v>
      </c>
      <c r="Z361" s="954">
        <f ca="1">IFERROR($J361*44/12*参考2_エネ使用量経年!$J211*(参考2_エネ使用量経年!Z211+参考2_エネ使用量経年!Z298),"")</f>
        <v>0</v>
      </c>
      <c r="AA361" s="954">
        <f ca="1">IFERROR($K361*44/12*参考2_エネ使用量経年!$K211*(参考2_エネ使用量経年!AA211+参考2_エネ使用量経年!AA298),"")</f>
        <v>0</v>
      </c>
      <c r="AB361" s="954" t="str">
        <f ca="1">IFERROR($H361*44/12*参考2_エネ使用量経年!$H211*(参考2_エネ使用量経年!AB211+参考2_エネ使用量経年!AB298),"")</f>
        <v/>
      </c>
      <c r="AC361" s="954" t="str">
        <f ca="1">IFERROR($I361*44/12*参考2_エネ使用量経年!$I211*(参考2_エネ使用量経年!AC211+参考2_エネ使用量経年!AC298),"")</f>
        <v/>
      </c>
      <c r="AD361" s="954" t="str">
        <f ca="1">IFERROR($J361*44/12*参考2_エネ使用量経年!$J211*(参考2_エネ使用量経年!AD211+参考2_エネ使用量経年!AD298),"")</f>
        <v/>
      </c>
      <c r="AE361" s="954" t="str">
        <f ca="1">IFERROR($K361*44/12*参考2_エネ使用量経年!$K211*(参考2_エネ使用量経年!AE211+参考2_エネ使用量経年!AE298),"")</f>
        <v/>
      </c>
      <c r="AF361" s="954" t="str">
        <f ca="1">IFERROR($H361*44/12*参考2_エネ使用量経年!$H211*(参考2_エネ使用量経年!AF211+参考2_エネ使用量経年!AF298),"")</f>
        <v/>
      </c>
      <c r="AG361" s="954" t="str">
        <f ca="1">IFERROR($I361*44/12*参考2_エネ使用量経年!$I211*(参考2_エネ使用量経年!AG211+参考2_エネ使用量経年!AG298),"")</f>
        <v/>
      </c>
      <c r="AH361" s="954" t="str">
        <f ca="1">IFERROR($J361*44/12*参考2_エネ使用量経年!$J211*(参考2_エネ使用量経年!AH211+参考2_エネ使用量経年!AH298),"")</f>
        <v/>
      </c>
      <c r="AI361" s="954" t="str">
        <f ca="1">IFERROR($K361*44/12*参考2_エネ使用量経年!$K211*(参考2_エネ使用量経年!AI211+参考2_エネ使用量経年!AI298),"")</f>
        <v/>
      </c>
      <c r="AJ361" s="954" t="str">
        <f ca="1">IFERROR($H361*44/12*参考2_エネ使用量経年!$H211*(参考2_エネ使用量経年!AJ211+参考2_エネ使用量経年!AJ298),"")</f>
        <v/>
      </c>
      <c r="AK361" s="954" t="str">
        <f ca="1">IFERROR($I361*44/12*参考2_エネ使用量経年!$I211*(参考2_エネ使用量経年!AK211+参考2_エネ使用量経年!AK298),"")</f>
        <v/>
      </c>
      <c r="AL361" s="954" t="str">
        <f ca="1">IFERROR($J361*44/12*参考2_エネ使用量経年!$J211*(参考2_エネ使用量経年!AL211+参考2_エネ使用量経年!AL298),"")</f>
        <v/>
      </c>
      <c r="AM361" s="954" t="str">
        <f ca="1">IFERROR($K361*44/12*参考2_エネ使用量経年!$K211*(参考2_エネ使用量経年!AM211+参考2_エネ使用量経年!AM298),"")</f>
        <v/>
      </c>
      <c r="AN361" s="954" t="str">
        <f ca="1">IFERROR($H361*44/12*参考2_エネ使用量経年!$H211*(参考2_エネ使用量経年!AN211+参考2_エネ使用量経年!AN298),"")</f>
        <v/>
      </c>
      <c r="AO361" s="954" t="str">
        <f ca="1">IFERROR($I361*44/12*参考2_エネ使用量経年!$I211*(参考2_エネ使用量経年!AO211+参考2_エネ使用量経年!AO298),"")</f>
        <v/>
      </c>
      <c r="AP361" s="954" t="str">
        <f ca="1">IFERROR($J361*44/12*参考2_エネ使用量経年!$J211*(参考2_エネ使用量経年!AP211+参考2_エネ使用量経年!AP298),"")</f>
        <v/>
      </c>
      <c r="AQ361" s="954" t="str">
        <f ca="1">IFERROR($K361*44/12*参考2_エネ使用量経年!$K211*(参考2_エネ使用量経年!AQ211+参考2_エネ使用量経年!AQ298),"")</f>
        <v/>
      </c>
      <c r="AR361" s="954" t="str">
        <f ca="1">IFERROR($H361*44/12*参考2_エネ使用量経年!$H211*(参考2_エネ使用量経年!AR211+参考2_エネ使用量経年!AR298),"")</f>
        <v/>
      </c>
      <c r="AS361" s="954" t="str">
        <f ca="1">IFERROR($I361*44/12*参考2_エネ使用量経年!$I211*(参考2_エネ使用量経年!AS211+参考2_エネ使用量経年!AS298),"")</f>
        <v/>
      </c>
      <c r="AT361" s="954" t="str">
        <f ca="1">IFERROR($J361*44/12*参考2_エネ使用量経年!$J211*(参考2_エネ使用量経年!AT211+参考2_エネ使用量経年!AT298),"")</f>
        <v/>
      </c>
      <c r="AU361" s="954" t="str">
        <f ca="1">IFERROR($K361*44/12*参考2_エネ使用量経年!$K211*(参考2_エネ使用量経年!AU211+参考2_エネ使用量経年!AU298),"")</f>
        <v/>
      </c>
      <c r="AV361" s="954" t="str">
        <f ca="1">IFERROR($H361*44/12*参考2_エネ使用量経年!$H211*(参考2_エネ使用量経年!AV211+参考2_エネ使用量経年!AV298),"")</f>
        <v/>
      </c>
      <c r="AW361" s="954" t="str">
        <f ca="1">IFERROR($I361*44/12*参考2_エネ使用量経年!$I211*(参考2_エネ使用量経年!AW211+参考2_エネ使用量経年!AW298),"")</f>
        <v/>
      </c>
      <c r="AX361" s="954" t="str">
        <f ca="1">IFERROR($J361*44/12*参考2_エネ使用量経年!$J211*(参考2_エネ使用量経年!AX211+参考2_エネ使用量経年!AX298),"")</f>
        <v/>
      </c>
      <c r="AY361" s="954" t="str">
        <f ca="1">IFERROR($K361*44/12*参考2_エネ使用量経年!$K211*(参考2_エネ使用量経年!AY211+参考2_エネ使用量経年!AY298),"")</f>
        <v/>
      </c>
      <c r="AZ361" s="954" t="str">
        <f ca="1">IFERROR($H361*44/12*参考2_エネ使用量経年!$H211*(参考2_エネ使用量経年!AZ211+参考2_エネ使用量経年!AZ298),"")</f>
        <v/>
      </c>
      <c r="BA361" s="954" t="str">
        <f ca="1">IFERROR($I361*44/12*参考2_エネ使用量経年!$I211*(参考2_エネ使用量経年!BA211+参考2_エネ使用量経年!BA298),"")</f>
        <v/>
      </c>
      <c r="BB361" s="954" t="str">
        <f ca="1">IFERROR($J361*44/12*参考2_エネ使用量経年!$J211*(参考2_エネ使用量経年!BB211+参考2_エネ使用量経年!BB298),"")</f>
        <v/>
      </c>
      <c r="BC361" s="954" t="str">
        <f ca="1">IFERROR($K361*44/12*参考2_エネ使用量経年!$K211*(参考2_エネ使用量経年!BC211+参考2_エネ使用量経年!BC298),"")</f>
        <v/>
      </c>
      <c r="BD361" s="954" t="str">
        <f ca="1">IFERROR($H361*44/12*参考2_エネ使用量経年!$H211*(参考2_エネ使用量経年!BD211+参考2_エネ使用量経年!BD298),"")</f>
        <v/>
      </c>
      <c r="BE361" s="954" t="str">
        <f ca="1">IFERROR($I361*44/12*参考2_エネ使用量経年!$I211*(参考2_エネ使用量経年!BE211+参考2_エネ使用量経年!BE298),"")</f>
        <v/>
      </c>
      <c r="BF361" s="954" t="str">
        <f ca="1">IFERROR($J361*44/12*参考2_エネ使用量経年!$J211*(参考2_エネ使用量経年!BF211+参考2_エネ使用量経年!BF298),"")</f>
        <v/>
      </c>
      <c r="BG361" s="954" t="str">
        <f ca="1">IFERROR($K361*44/12*参考2_エネ使用量経年!$K211*(参考2_エネ使用量経年!BG211+参考2_エネ使用量経年!BG298),"")</f>
        <v/>
      </c>
      <c r="BH361" s="954" t="str">
        <f ca="1">IFERROR($H361*44/12*参考2_エネ使用量経年!$H211*(参考2_エネ使用量経年!BH211+参考2_エネ使用量経年!BH298),"")</f>
        <v/>
      </c>
      <c r="BI361" s="954" t="str">
        <f ca="1">IFERROR($I361*44/12*参考2_エネ使用量経年!$I211*(参考2_エネ使用量経年!BI211+参考2_エネ使用量経年!BI298),"")</f>
        <v/>
      </c>
      <c r="BJ361" s="954" t="str">
        <f ca="1">IFERROR($J361*44/12*参考2_エネ使用量経年!$J211*(参考2_エネ使用量経年!BJ211+参考2_エネ使用量経年!BJ298),"")</f>
        <v/>
      </c>
      <c r="BK361" s="954" t="str">
        <f ca="1">IFERROR($K361*44/12*参考2_エネ使用量経年!$K211*(参考2_エネ使用量経年!BK211+参考2_エネ使用量経年!BK298),"")</f>
        <v/>
      </c>
      <c r="BL361" s="954" t="str">
        <f ca="1">IFERROR($H361*44/12*参考2_エネ使用量経年!$H211*(参考2_エネ使用量経年!BL211+参考2_エネ使用量経年!BL298),"")</f>
        <v/>
      </c>
      <c r="BM361" s="954" t="str">
        <f ca="1">IFERROR($I361*44/12*参考2_エネ使用量経年!$I211*(参考2_エネ使用量経年!BM211+参考2_エネ使用量経年!BM298),"")</f>
        <v/>
      </c>
      <c r="BN361" s="954" t="str">
        <f ca="1">IFERROR($J361*44/12*参考2_エネ使用量経年!$J211*(参考2_エネ使用量経年!BN211+参考2_エネ使用量経年!BN298),"")</f>
        <v/>
      </c>
      <c r="BO361" s="954" t="str">
        <f ca="1">IFERROR($K361*44/12*参考2_エネ使用量経年!$K211*(参考2_エネ使用量経年!BO211+参考2_エネ使用量経年!BO298),"")</f>
        <v/>
      </c>
    </row>
    <row r="362" spans="1:68" ht="20.100000000000001" customHeight="1">
      <c r="A362" s="952">
        <v>49</v>
      </c>
      <c r="B362" s="1871"/>
      <c r="C362" s="1872"/>
      <c r="D362" s="832" t="s">
        <v>4414</v>
      </c>
      <c r="E362" s="824"/>
      <c r="F362" s="825"/>
      <c r="G362" s="891" t="s">
        <v>4685</v>
      </c>
      <c r="H362" s="953">
        <f t="shared" ca="1" si="110"/>
        <v>1.7899999999999999E-2</v>
      </c>
      <c r="I362" s="953">
        <f t="shared" ca="1" si="111"/>
        <v>1.7899999999999999E-2</v>
      </c>
      <c r="J362" s="953">
        <f t="shared" ca="1" si="112"/>
        <v>1.7899999999999999E-2</v>
      </c>
      <c r="K362" s="953">
        <f t="shared" ca="1" si="113"/>
        <v>1.7899999999999999E-2</v>
      </c>
      <c r="L362" s="954">
        <f ca="1">IFERROR($H362*44/12*参考2_エネ使用量経年!$H212*(参考2_エネ使用量経年!L212+参考2_エネ使用量経年!L299),"")</f>
        <v>0</v>
      </c>
      <c r="M362" s="954">
        <f ca="1">IFERROR($I362*44/12*参考2_エネ使用量経年!$I212*(参考2_エネ使用量経年!M212+参考2_エネ使用量経年!M299),"")</f>
        <v>0</v>
      </c>
      <c r="N362" s="954">
        <f ca="1">IFERROR($J362*44/12*参考2_エネ使用量経年!$J212*(参考2_エネ使用量経年!N212+参考2_エネ使用量経年!N299),"")</f>
        <v>0</v>
      </c>
      <c r="O362" s="954">
        <f ca="1">IFERROR($K362*44/12*参考2_エネ使用量経年!$K212*(参考2_エネ使用量経年!O212+参考2_エネ使用量経年!O299),"")</f>
        <v>0</v>
      </c>
      <c r="P362" s="954">
        <f ca="1">IFERROR($H362*44/12*参考2_エネ使用量経年!$H212*(参考2_エネ使用量経年!P212+参考2_エネ使用量経年!P299),"")</f>
        <v>0</v>
      </c>
      <c r="Q362" s="954">
        <f ca="1">IFERROR($I362*44/12*参考2_エネ使用量経年!$I212*(参考2_エネ使用量経年!Q212+参考2_エネ使用量経年!Q299),"")</f>
        <v>0</v>
      </c>
      <c r="R362" s="954">
        <f ca="1">IFERROR($J362*44/12*参考2_エネ使用量経年!$J212*(参考2_エネ使用量経年!R212+参考2_エネ使用量経年!R299),"")</f>
        <v>0</v>
      </c>
      <c r="S362" s="954">
        <f ca="1">IFERROR($K362*44/12*参考2_エネ使用量経年!$K212*(参考2_エネ使用量経年!S212+参考2_エネ使用量経年!S299),"")</f>
        <v>0</v>
      </c>
      <c r="T362" s="954">
        <f ca="1">IFERROR($H362*44/12*参考2_エネ使用量経年!$H212*(参考2_エネ使用量経年!T212+参考2_エネ使用量経年!T299),"")</f>
        <v>0</v>
      </c>
      <c r="U362" s="954">
        <f ca="1">IFERROR($I362*44/12*参考2_エネ使用量経年!$I212*(参考2_エネ使用量経年!U212+参考2_エネ使用量経年!U299),"")</f>
        <v>0</v>
      </c>
      <c r="V362" s="954">
        <f ca="1">IFERROR($J362*44/12*参考2_エネ使用量経年!$J212*(参考2_エネ使用量経年!V212+参考2_エネ使用量経年!V299),"")</f>
        <v>0</v>
      </c>
      <c r="W362" s="954">
        <f ca="1">IFERROR($K362*44/12*参考2_エネ使用量経年!$K212*(参考2_エネ使用量経年!W212+参考2_エネ使用量経年!W299),"")</f>
        <v>0</v>
      </c>
      <c r="X362" s="954">
        <f ca="1">IFERROR($H362*44/12*参考2_エネ使用量経年!$H212*(参考2_エネ使用量経年!X212+参考2_エネ使用量経年!X299),"")</f>
        <v>0</v>
      </c>
      <c r="Y362" s="954">
        <f ca="1">IFERROR($I362*44/12*参考2_エネ使用量経年!$I212*(参考2_エネ使用量経年!Y212+参考2_エネ使用量経年!Y299),"")</f>
        <v>0</v>
      </c>
      <c r="Z362" s="954">
        <f ca="1">IFERROR($J362*44/12*参考2_エネ使用量経年!$J212*(参考2_エネ使用量経年!Z212+参考2_エネ使用量経年!Z299),"")</f>
        <v>0</v>
      </c>
      <c r="AA362" s="954">
        <f ca="1">IFERROR($K362*44/12*参考2_エネ使用量経年!$K212*(参考2_エネ使用量経年!AA212+参考2_エネ使用量経年!AA299),"")</f>
        <v>0</v>
      </c>
      <c r="AB362" s="954" t="str">
        <f ca="1">IFERROR($H362*44/12*参考2_エネ使用量経年!$H212*(参考2_エネ使用量経年!AB212+参考2_エネ使用量経年!AB299),"")</f>
        <v/>
      </c>
      <c r="AC362" s="954" t="str">
        <f ca="1">IFERROR($I362*44/12*参考2_エネ使用量経年!$I212*(参考2_エネ使用量経年!AC212+参考2_エネ使用量経年!AC299),"")</f>
        <v/>
      </c>
      <c r="AD362" s="954" t="str">
        <f ca="1">IFERROR($J362*44/12*参考2_エネ使用量経年!$J212*(参考2_エネ使用量経年!AD212+参考2_エネ使用量経年!AD299),"")</f>
        <v/>
      </c>
      <c r="AE362" s="954" t="str">
        <f ca="1">IFERROR($K362*44/12*参考2_エネ使用量経年!$K212*(参考2_エネ使用量経年!AE212+参考2_エネ使用量経年!AE299),"")</f>
        <v/>
      </c>
      <c r="AF362" s="954" t="str">
        <f ca="1">IFERROR($H362*44/12*参考2_エネ使用量経年!$H212*(参考2_エネ使用量経年!AF212+参考2_エネ使用量経年!AF299),"")</f>
        <v/>
      </c>
      <c r="AG362" s="954" t="str">
        <f ca="1">IFERROR($I362*44/12*参考2_エネ使用量経年!$I212*(参考2_エネ使用量経年!AG212+参考2_エネ使用量経年!AG299),"")</f>
        <v/>
      </c>
      <c r="AH362" s="954" t="str">
        <f ca="1">IFERROR($J362*44/12*参考2_エネ使用量経年!$J212*(参考2_エネ使用量経年!AH212+参考2_エネ使用量経年!AH299),"")</f>
        <v/>
      </c>
      <c r="AI362" s="954" t="str">
        <f ca="1">IFERROR($K362*44/12*参考2_エネ使用量経年!$K212*(参考2_エネ使用量経年!AI212+参考2_エネ使用量経年!AI299),"")</f>
        <v/>
      </c>
      <c r="AJ362" s="954" t="str">
        <f ca="1">IFERROR($H362*44/12*参考2_エネ使用量経年!$H212*(参考2_エネ使用量経年!AJ212+参考2_エネ使用量経年!AJ299),"")</f>
        <v/>
      </c>
      <c r="AK362" s="954" t="str">
        <f ca="1">IFERROR($I362*44/12*参考2_エネ使用量経年!$I212*(参考2_エネ使用量経年!AK212+参考2_エネ使用量経年!AK299),"")</f>
        <v/>
      </c>
      <c r="AL362" s="954" t="str">
        <f ca="1">IFERROR($J362*44/12*参考2_エネ使用量経年!$J212*(参考2_エネ使用量経年!AL212+参考2_エネ使用量経年!AL299),"")</f>
        <v/>
      </c>
      <c r="AM362" s="954" t="str">
        <f ca="1">IFERROR($K362*44/12*参考2_エネ使用量経年!$K212*(参考2_エネ使用量経年!AM212+参考2_エネ使用量経年!AM299),"")</f>
        <v/>
      </c>
      <c r="AN362" s="954" t="str">
        <f ca="1">IFERROR($H362*44/12*参考2_エネ使用量経年!$H212*(参考2_エネ使用量経年!AN212+参考2_エネ使用量経年!AN299),"")</f>
        <v/>
      </c>
      <c r="AO362" s="954" t="str">
        <f ca="1">IFERROR($I362*44/12*参考2_エネ使用量経年!$I212*(参考2_エネ使用量経年!AO212+参考2_エネ使用量経年!AO299),"")</f>
        <v/>
      </c>
      <c r="AP362" s="954" t="str">
        <f ca="1">IFERROR($J362*44/12*参考2_エネ使用量経年!$J212*(参考2_エネ使用量経年!AP212+参考2_エネ使用量経年!AP299),"")</f>
        <v/>
      </c>
      <c r="AQ362" s="954" t="str">
        <f ca="1">IFERROR($K362*44/12*参考2_エネ使用量経年!$K212*(参考2_エネ使用量経年!AQ212+参考2_エネ使用量経年!AQ299),"")</f>
        <v/>
      </c>
      <c r="AR362" s="954" t="str">
        <f ca="1">IFERROR($H362*44/12*参考2_エネ使用量経年!$H212*(参考2_エネ使用量経年!AR212+参考2_エネ使用量経年!AR299),"")</f>
        <v/>
      </c>
      <c r="AS362" s="954" t="str">
        <f ca="1">IFERROR($I362*44/12*参考2_エネ使用量経年!$I212*(参考2_エネ使用量経年!AS212+参考2_エネ使用量経年!AS299),"")</f>
        <v/>
      </c>
      <c r="AT362" s="954" t="str">
        <f ca="1">IFERROR($J362*44/12*参考2_エネ使用量経年!$J212*(参考2_エネ使用量経年!AT212+参考2_エネ使用量経年!AT299),"")</f>
        <v/>
      </c>
      <c r="AU362" s="954" t="str">
        <f ca="1">IFERROR($K362*44/12*参考2_エネ使用量経年!$K212*(参考2_エネ使用量経年!AU212+参考2_エネ使用量経年!AU299),"")</f>
        <v/>
      </c>
      <c r="AV362" s="954" t="str">
        <f ca="1">IFERROR($H362*44/12*参考2_エネ使用量経年!$H212*(参考2_エネ使用量経年!AV212+参考2_エネ使用量経年!AV299),"")</f>
        <v/>
      </c>
      <c r="AW362" s="954" t="str">
        <f ca="1">IFERROR($I362*44/12*参考2_エネ使用量経年!$I212*(参考2_エネ使用量経年!AW212+参考2_エネ使用量経年!AW299),"")</f>
        <v/>
      </c>
      <c r="AX362" s="954" t="str">
        <f ca="1">IFERROR($J362*44/12*参考2_エネ使用量経年!$J212*(参考2_エネ使用量経年!AX212+参考2_エネ使用量経年!AX299),"")</f>
        <v/>
      </c>
      <c r="AY362" s="954" t="str">
        <f ca="1">IFERROR($K362*44/12*参考2_エネ使用量経年!$K212*(参考2_エネ使用量経年!AY212+参考2_エネ使用量経年!AY299),"")</f>
        <v/>
      </c>
      <c r="AZ362" s="954" t="str">
        <f ca="1">IFERROR($H362*44/12*参考2_エネ使用量経年!$H212*(参考2_エネ使用量経年!AZ212+参考2_エネ使用量経年!AZ299),"")</f>
        <v/>
      </c>
      <c r="BA362" s="954" t="str">
        <f ca="1">IFERROR($I362*44/12*参考2_エネ使用量経年!$I212*(参考2_エネ使用量経年!BA212+参考2_エネ使用量経年!BA299),"")</f>
        <v/>
      </c>
      <c r="BB362" s="954" t="str">
        <f ca="1">IFERROR($J362*44/12*参考2_エネ使用量経年!$J212*(参考2_エネ使用量経年!BB212+参考2_エネ使用量経年!BB299),"")</f>
        <v/>
      </c>
      <c r="BC362" s="954" t="str">
        <f ca="1">IFERROR($K362*44/12*参考2_エネ使用量経年!$K212*(参考2_エネ使用量経年!BC212+参考2_エネ使用量経年!BC299),"")</f>
        <v/>
      </c>
      <c r="BD362" s="954" t="str">
        <f ca="1">IFERROR($H362*44/12*参考2_エネ使用量経年!$H212*(参考2_エネ使用量経年!BD212+参考2_エネ使用量経年!BD299),"")</f>
        <v/>
      </c>
      <c r="BE362" s="954" t="str">
        <f ca="1">IFERROR($I362*44/12*参考2_エネ使用量経年!$I212*(参考2_エネ使用量経年!BE212+参考2_エネ使用量経年!BE299),"")</f>
        <v/>
      </c>
      <c r="BF362" s="954" t="str">
        <f ca="1">IFERROR($J362*44/12*参考2_エネ使用量経年!$J212*(参考2_エネ使用量経年!BF212+参考2_エネ使用量経年!BF299),"")</f>
        <v/>
      </c>
      <c r="BG362" s="954" t="str">
        <f ca="1">IFERROR($K362*44/12*参考2_エネ使用量経年!$K212*(参考2_エネ使用量経年!BG212+参考2_エネ使用量経年!BG299),"")</f>
        <v/>
      </c>
      <c r="BH362" s="954" t="str">
        <f ca="1">IFERROR($H362*44/12*参考2_エネ使用量経年!$H212*(参考2_エネ使用量経年!BH212+参考2_エネ使用量経年!BH299),"")</f>
        <v/>
      </c>
      <c r="BI362" s="954" t="str">
        <f ca="1">IFERROR($I362*44/12*参考2_エネ使用量経年!$I212*(参考2_エネ使用量経年!BI212+参考2_エネ使用量経年!BI299),"")</f>
        <v/>
      </c>
      <c r="BJ362" s="954" t="str">
        <f ca="1">IFERROR($J362*44/12*参考2_エネ使用量経年!$J212*(参考2_エネ使用量経年!BJ212+参考2_エネ使用量経年!BJ299),"")</f>
        <v/>
      </c>
      <c r="BK362" s="954" t="str">
        <f ca="1">IFERROR($K362*44/12*参考2_エネ使用量経年!$K212*(参考2_エネ使用量経年!BK212+参考2_エネ使用量経年!BK299),"")</f>
        <v/>
      </c>
      <c r="BL362" s="954" t="str">
        <f ca="1">IFERROR($H362*44/12*参考2_エネ使用量経年!$H212*(参考2_エネ使用量経年!BL212+参考2_エネ使用量経年!BL299),"")</f>
        <v/>
      </c>
      <c r="BM362" s="954" t="str">
        <f ca="1">IFERROR($I362*44/12*参考2_エネ使用量経年!$I212*(参考2_エネ使用量経年!BM212+参考2_エネ使用量経年!BM299),"")</f>
        <v/>
      </c>
      <c r="BN362" s="954" t="str">
        <f ca="1">IFERROR($J362*44/12*参考2_エネ使用量経年!$J212*(参考2_エネ使用量経年!BN212+参考2_エネ使用量経年!BN299),"")</f>
        <v/>
      </c>
      <c r="BO362" s="954" t="str">
        <f ca="1">IFERROR($K362*44/12*参考2_エネ使用量経年!$K212*(参考2_エネ使用量経年!BO212+参考2_エネ使用量経年!BO299),"")</f>
        <v/>
      </c>
    </row>
    <row r="363" spans="1:68" ht="20.100000000000001" customHeight="1">
      <c r="A363" s="952">
        <v>50</v>
      </c>
      <c r="B363" s="1870"/>
      <c r="C363" s="1872"/>
      <c r="D363" s="824" t="s">
        <v>4415</v>
      </c>
      <c r="E363" s="824"/>
      <c r="F363" s="825"/>
      <c r="G363" s="891" t="s">
        <v>4685</v>
      </c>
      <c r="H363" s="953">
        <f t="shared" ca="1" si="110"/>
        <v>0</v>
      </c>
      <c r="I363" s="953">
        <f t="shared" ca="1" si="111"/>
        <v>0</v>
      </c>
      <c r="J363" s="953">
        <f t="shared" ca="1" si="112"/>
        <v>0</v>
      </c>
      <c r="K363" s="953">
        <f t="shared" ca="1" si="113"/>
        <v>0</v>
      </c>
      <c r="L363" s="954">
        <f ca="1">IFERROR($H363*44/12*参考2_エネ使用量経年!$H213*(参考2_エネ使用量経年!L213+参考2_エネ使用量経年!L300),"")</f>
        <v>0</v>
      </c>
      <c r="M363" s="954">
        <f ca="1">IFERROR($I363*44/12*参考2_エネ使用量経年!$I213*(参考2_エネ使用量経年!M213+参考2_エネ使用量経年!M300),"")</f>
        <v>0</v>
      </c>
      <c r="N363" s="954">
        <f ca="1">IFERROR($J363*44/12*参考2_エネ使用量経年!$J213*(参考2_エネ使用量経年!N213+参考2_エネ使用量経年!N300),"")</f>
        <v>0</v>
      </c>
      <c r="O363" s="954">
        <f ca="1">IFERROR($K363*44/12*参考2_エネ使用量経年!$K213*(参考2_エネ使用量経年!O213+参考2_エネ使用量経年!O300),"")</f>
        <v>0</v>
      </c>
      <c r="P363" s="954">
        <f ca="1">IFERROR($H363*44/12*参考2_エネ使用量経年!$H213*(参考2_エネ使用量経年!P213+参考2_エネ使用量経年!P300),"")</f>
        <v>0</v>
      </c>
      <c r="Q363" s="954">
        <f ca="1">IFERROR($I363*44/12*参考2_エネ使用量経年!$I213*(参考2_エネ使用量経年!Q213+参考2_エネ使用量経年!Q300),"")</f>
        <v>0</v>
      </c>
      <c r="R363" s="954">
        <f ca="1">IFERROR($J363*44/12*参考2_エネ使用量経年!$J213*(参考2_エネ使用量経年!R213+参考2_エネ使用量経年!R300),"")</f>
        <v>0</v>
      </c>
      <c r="S363" s="954">
        <f ca="1">IFERROR($K363*44/12*参考2_エネ使用量経年!$K213*(参考2_エネ使用量経年!S213+参考2_エネ使用量経年!S300),"")</f>
        <v>0</v>
      </c>
      <c r="T363" s="954">
        <f ca="1">IFERROR($H363*44/12*参考2_エネ使用量経年!$H213*(参考2_エネ使用量経年!T213+参考2_エネ使用量経年!T300),"")</f>
        <v>0</v>
      </c>
      <c r="U363" s="954">
        <f ca="1">IFERROR($I363*44/12*参考2_エネ使用量経年!$I213*(参考2_エネ使用量経年!U213+参考2_エネ使用量経年!U300),"")</f>
        <v>0</v>
      </c>
      <c r="V363" s="954">
        <f ca="1">IFERROR($J363*44/12*参考2_エネ使用量経年!$J213*(参考2_エネ使用量経年!V213+参考2_エネ使用量経年!V300),"")</f>
        <v>0</v>
      </c>
      <c r="W363" s="954">
        <f ca="1">IFERROR($K363*44/12*参考2_エネ使用量経年!$K213*(参考2_エネ使用量経年!W213+参考2_エネ使用量経年!W300),"")</f>
        <v>0</v>
      </c>
      <c r="X363" s="954">
        <f ca="1">IFERROR($H363*44/12*参考2_エネ使用量経年!$H213*(参考2_エネ使用量経年!X213+参考2_エネ使用量経年!X300),"")</f>
        <v>0</v>
      </c>
      <c r="Y363" s="954">
        <f ca="1">IFERROR($I363*44/12*参考2_エネ使用量経年!$I213*(参考2_エネ使用量経年!Y213+参考2_エネ使用量経年!Y300),"")</f>
        <v>0</v>
      </c>
      <c r="Z363" s="954">
        <f ca="1">IFERROR($J363*44/12*参考2_エネ使用量経年!$J213*(参考2_エネ使用量経年!Z213+参考2_エネ使用量経年!Z300),"")</f>
        <v>0</v>
      </c>
      <c r="AA363" s="954">
        <f ca="1">IFERROR($K363*44/12*参考2_エネ使用量経年!$K213*(参考2_エネ使用量経年!AA213+参考2_エネ使用量経年!AA300),"")</f>
        <v>0</v>
      </c>
      <c r="AB363" s="954" t="str">
        <f ca="1">IFERROR($H363*44/12*参考2_エネ使用量経年!$H213*(参考2_エネ使用量経年!AB213+参考2_エネ使用量経年!AB300),"")</f>
        <v/>
      </c>
      <c r="AC363" s="954" t="str">
        <f ca="1">IFERROR($I363*44/12*参考2_エネ使用量経年!$I213*(参考2_エネ使用量経年!AC213+参考2_エネ使用量経年!AC300),"")</f>
        <v/>
      </c>
      <c r="AD363" s="954" t="str">
        <f ca="1">IFERROR($J363*44/12*参考2_エネ使用量経年!$J213*(参考2_エネ使用量経年!AD213+参考2_エネ使用量経年!AD300),"")</f>
        <v/>
      </c>
      <c r="AE363" s="954" t="str">
        <f ca="1">IFERROR($K363*44/12*参考2_エネ使用量経年!$K213*(参考2_エネ使用量経年!AE213+参考2_エネ使用量経年!AE300),"")</f>
        <v/>
      </c>
      <c r="AF363" s="954" t="str">
        <f ca="1">IFERROR($H363*44/12*参考2_エネ使用量経年!$H213*(参考2_エネ使用量経年!AF213+参考2_エネ使用量経年!AF300),"")</f>
        <v/>
      </c>
      <c r="AG363" s="954" t="str">
        <f ca="1">IFERROR($I363*44/12*参考2_エネ使用量経年!$I213*(参考2_エネ使用量経年!AG213+参考2_エネ使用量経年!AG300),"")</f>
        <v/>
      </c>
      <c r="AH363" s="954" t="str">
        <f ca="1">IFERROR($J363*44/12*参考2_エネ使用量経年!$J213*(参考2_エネ使用量経年!AH213+参考2_エネ使用量経年!AH300),"")</f>
        <v/>
      </c>
      <c r="AI363" s="954" t="str">
        <f ca="1">IFERROR($K363*44/12*参考2_エネ使用量経年!$K213*(参考2_エネ使用量経年!AI213+参考2_エネ使用量経年!AI300),"")</f>
        <v/>
      </c>
      <c r="AJ363" s="954" t="str">
        <f ca="1">IFERROR($H363*44/12*参考2_エネ使用量経年!$H213*(参考2_エネ使用量経年!AJ213+参考2_エネ使用量経年!AJ300),"")</f>
        <v/>
      </c>
      <c r="AK363" s="954" t="str">
        <f ca="1">IFERROR($I363*44/12*参考2_エネ使用量経年!$I213*(参考2_エネ使用量経年!AK213+参考2_エネ使用量経年!AK300),"")</f>
        <v/>
      </c>
      <c r="AL363" s="954" t="str">
        <f ca="1">IFERROR($J363*44/12*参考2_エネ使用量経年!$J213*(参考2_エネ使用量経年!AL213+参考2_エネ使用量経年!AL300),"")</f>
        <v/>
      </c>
      <c r="AM363" s="954" t="str">
        <f ca="1">IFERROR($K363*44/12*参考2_エネ使用量経年!$K213*(参考2_エネ使用量経年!AM213+参考2_エネ使用量経年!AM300),"")</f>
        <v/>
      </c>
      <c r="AN363" s="954" t="str">
        <f ca="1">IFERROR($H363*44/12*参考2_エネ使用量経年!$H213*(参考2_エネ使用量経年!AN213+参考2_エネ使用量経年!AN300),"")</f>
        <v/>
      </c>
      <c r="AO363" s="954" t="str">
        <f ca="1">IFERROR($I363*44/12*参考2_エネ使用量経年!$I213*(参考2_エネ使用量経年!AO213+参考2_エネ使用量経年!AO300),"")</f>
        <v/>
      </c>
      <c r="AP363" s="954" t="str">
        <f ca="1">IFERROR($J363*44/12*参考2_エネ使用量経年!$J213*(参考2_エネ使用量経年!AP213+参考2_エネ使用量経年!AP300),"")</f>
        <v/>
      </c>
      <c r="AQ363" s="954" t="str">
        <f ca="1">IFERROR($K363*44/12*参考2_エネ使用量経年!$K213*(参考2_エネ使用量経年!AQ213+参考2_エネ使用量経年!AQ300),"")</f>
        <v/>
      </c>
      <c r="AR363" s="954" t="str">
        <f ca="1">IFERROR($H363*44/12*参考2_エネ使用量経年!$H213*(参考2_エネ使用量経年!AR213+参考2_エネ使用量経年!AR300),"")</f>
        <v/>
      </c>
      <c r="AS363" s="954" t="str">
        <f ca="1">IFERROR($I363*44/12*参考2_エネ使用量経年!$I213*(参考2_エネ使用量経年!AS213+参考2_エネ使用量経年!AS300),"")</f>
        <v/>
      </c>
      <c r="AT363" s="954" t="str">
        <f ca="1">IFERROR($J363*44/12*参考2_エネ使用量経年!$J213*(参考2_エネ使用量経年!AT213+参考2_エネ使用量経年!AT300),"")</f>
        <v/>
      </c>
      <c r="AU363" s="954" t="str">
        <f ca="1">IFERROR($K363*44/12*参考2_エネ使用量経年!$K213*(参考2_エネ使用量経年!AU213+参考2_エネ使用量経年!AU300),"")</f>
        <v/>
      </c>
      <c r="AV363" s="954" t="str">
        <f ca="1">IFERROR($H363*44/12*参考2_エネ使用量経年!$H213*(参考2_エネ使用量経年!AV213+参考2_エネ使用量経年!AV300),"")</f>
        <v/>
      </c>
      <c r="AW363" s="954" t="str">
        <f ca="1">IFERROR($I363*44/12*参考2_エネ使用量経年!$I213*(参考2_エネ使用量経年!AW213+参考2_エネ使用量経年!AW300),"")</f>
        <v/>
      </c>
      <c r="AX363" s="954" t="str">
        <f ca="1">IFERROR($J363*44/12*参考2_エネ使用量経年!$J213*(参考2_エネ使用量経年!AX213+参考2_エネ使用量経年!AX300),"")</f>
        <v/>
      </c>
      <c r="AY363" s="954" t="str">
        <f ca="1">IFERROR($K363*44/12*参考2_エネ使用量経年!$K213*(参考2_エネ使用量経年!AY213+参考2_エネ使用量経年!AY300),"")</f>
        <v/>
      </c>
      <c r="AZ363" s="954" t="str">
        <f ca="1">IFERROR($H363*44/12*参考2_エネ使用量経年!$H213*(参考2_エネ使用量経年!AZ213+参考2_エネ使用量経年!AZ300),"")</f>
        <v/>
      </c>
      <c r="BA363" s="954" t="str">
        <f ca="1">IFERROR($I363*44/12*参考2_エネ使用量経年!$I213*(参考2_エネ使用量経年!BA213+参考2_エネ使用量経年!BA300),"")</f>
        <v/>
      </c>
      <c r="BB363" s="954" t="str">
        <f ca="1">IFERROR($J363*44/12*参考2_エネ使用量経年!$J213*(参考2_エネ使用量経年!BB213+参考2_エネ使用量経年!BB300),"")</f>
        <v/>
      </c>
      <c r="BC363" s="954" t="str">
        <f ca="1">IFERROR($K363*44/12*参考2_エネ使用量経年!$K213*(参考2_エネ使用量経年!BC213+参考2_エネ使用量経年!BC300),"")</f>
        <v/>
      </c>
      <c r="BD363" s="954" t="str">
        <f ca="1">IFERROR($H363*44/12*参考2_エネ使用量経年!$H213*(参考2_エネ使用量経年!BD213+参考2_エネ使用量経年!BD300),"")</f>
        <v/>
      </c>
      <c r="BE363" s="954" t="str">
        <f ca="1">IFERROR($I363*44/12*参考2_エネ使用量経年!$I213*(参考2_エネ使用量経年!BE213+参考2_エネ使用量経年!BE300),"")</f>
        <v/>
      </c>
      <c r="BF363" s="954" t="str">
        <f ca="1">IFERROR($J363*44/12*参考2_エネ使用量経年!$J213*(参考2_エネ使用量経年!BF213+参考2_エネ使用量経年!BF300),"")</f>
        <v/>
      </c>
      <c r="BG363" s="954" t="str">
        <f ca="1">IFERROR($K363*44/12*参考2_エネ使用量経年!$K213*(参考2_エネ使用量経年!BG213+参考2_エネ使用量経年!BG300),"")</f>
        <v/>
      </c>
      <c r="BH363" s="954" t="str">
        <f ca="1">IFERROR($H363*44/12*参考2_エネ使用量経年!$H213*(参考2_エネ使用量経年!BH213+参考2_エネ使用量経年!BH300),"")</f>
        <v/>
      </c>
      <c r="BI363" s="954" t="str">
        <f ca="1">IFERROR($I363*44/12*参考2_エネ使用量経年!$I213*(参考2_エネ使用量経年!BI213+参考2_エネ使用量経年!BI300),"")</f>
        <v/>
      </c>
      <c r="BJ363" s="954" t="str">
        <f ca="1">IFERROR($J363*44/12*参考2_エネ使用量経年!$J213*(参考2_エネ使用量経年!BJ213+参考2_エネ使用量経年!BJ300),"")</f>
        <v/>
      </c>
      <c r="BK363" s="954" t="str">
        <f ca="1">IFERROR($K363*44/12*参考2_エネ使用量経年!$K213*(参考2_エネ使用量経年!BK213+参考2_エネ使用量経年!BK300),"")</f>
        <v/>
      </c>
      <c r="BL363" s="954" t="str">
        <f ca="1">IFERROR($H363*44/12*参考2_エネ使用量経年!$H213*(参考2_エネ使用量経年!BL213+参考2_エネ使用量経年!BL300),"")</f>
        <v/>
      </c>
      <c r="BM363" s="954" t="str">
        <f ca="1">IFERROR($I363*44/12*参考2_エネ使用量経年!$I213*(参考2_エネ使用量経年!BM213+参考2_エネ使用量経年!BM300),"")</f>
        <v/>
      </c>
      <c r="BN363" s="954" t="str">
        <f ca="1">IFERROR($J363*44/12*参考2_エネ使用量経年!$J213*(参考2_エネ使用量経年!BN213+参考2_エネ使用量経年!BN300),"")</f>
        <v/>
      </c>
      <c r="BO363" s="954" t="str">
        <f ca="1">IFERROR($K363*44/12*参考2_エネ使用量経年!$K213*(参考2_エネ使用量経年!BO213+参考2_エネ使用量経年!BO300),"")</f>
        <v/>
      </c>
    </row>
    <row r="364" spans="1:68" ht="20.100000000000001" customHeight="1">
      <c r="A364" s="952">
        <v>51</v>
      </c>
      <c r="B364" s="1870"/>
      <c r="C364" s="1872"/>
      <c r="D364" s="824" t="s">
        <v>4416</v>
      </c>
      <c r="E364" s="824"/>
      <c r="F364" s="825"/>
      <c r="G364" s="891" t="s">
        <v>4685</v>
      </c>
      <c r="H364" s="953">
        <f t="shared" ca="1" si="110"/>
        <v>0</v>
      </c>
      <c r="I364" s="953">
        <f t="shared" ca="1" si="111"/>
        <v>0</v>
      </c>
      <c r="J364" s="953">
        <f t="shared" ca="1" si="112"/>
        <v>0</v>
      </c>
      <c r="K364" s="953">
        <f t="shared" ca="1" si="113"/>
        <v>0</v>
      </c>
      <c r="L364" s="954">
        <f ca="1">IFERROR($H364*44/12*参考2_エネ使用量経年!$H214*(参考2_エネ使用量経年!L214+参考2_エネ使用量経年!L301),"")</f>
        <v>0</v>
      </c>
      <c r="M364" s="954">
        <f ca="1">IFERROR($I364*44/12*参考2_エネ使用量経年!$I214*(参考2_エネ使用量経年!M214+参考2_エネ使用量経年!M301),"")</f>
        <v>0</v>
      </c>
      <c r="N364" s="954">
        <f ca="1">IFERROR($J364*44/12*参考2_エネ使用量経年!$J214*(参考2_エネ使用量経年!N214+参考2_エネ使用量経年!N301),"")</f>
        <v>0</v>
      </c>
      <c r="O364" s="954">
        <f ca="1">IFERROR($K364*44/12*参考2_エネ使用量経年!$K214*(参考2_エネ使用量経年!O214+参考2_エネ使用量経年!O301),"")</f>
        <v>0</v>
      </c>
      <c r="P364" s="954">
        <f ca="1">IFERROR($H364*44/12*参考2_エネ使用量経年!$H214*(参考2_エネ使用量経年!P214+参考2_エネ使用量経年!P301),"")</f>
        <v>0</v>
      </c>
      <c r="Q364" s="954">
        <f ca="1">IFERROR($I364*44/12*参考2_エネ使用量経年!$I214*(参考2_エネ使用量経年!Q214+参考2_エネ使用量経年!Q301),"")</f>
        <v>0</v>
      </c>
      <c r="R364" s="954">
        <f ca="1">IFERROR($J364*44/12*参考2_エネ使用量経年!$J214*(参考2_エネ使用量経年!R214+参考2_エネ使用量経年!R301),"")</f>
        <v>0</v>
      </c>
      <c r="S364" s="954">
        <f ca="1">IFERROR($K364*44/12*参考2_エネ使用量経年!$K214*(参考2_エネ使用量経年!S214+参考2_エネ使用量経年!S301),"")</f>
        <v>0</v>
      </c>
      <c r="T364" s="954">
        <f ca="1">IFERROR($H364*44/12*参考2_エネ使用量経年!$H214*(参考2_エネ使用量経年!T214+参考2_エネ使用量経年!T301),"")</f>
        <v>0</v>
      </c>
      <c r="U364" s="954">
        <f ca="1">IFERROR($I364*44/12*参考2_エネ使用量経年!$I214*(参考2_エネ使用量経年!U214+参考2_エネ使用量経年!U301),"")</f>
        <v>0</v>
      </c>
      <c r="V364" s="954">
        <f ca="1">IFERROR($J364*44/12*参考2_エネ使用量経年!$J214*(参考2_エネ使用量経年!V214+参考2_エネ使用量経年!V301),"")</f>
        <v>0</v>
      </c>
      <c r="W364" s="954">
        <f ca="1">IFERROR($K364*44/12*参考2_エネ使用量経年!$K214*(参考2_エネ使用量経年!W214+参考2_エネ使用量経年!W301),"")</f>
        <v>0</v>
      </c>
      <c r="X364" s="954">
        <f ca="1">IFERROR($H364*44/12*参考2_エネ使用量経年!$H214*(参考2_エネ使用量経年!X214+参考2_エネ使用量経年!X301),"")</f>
        <v>0</v>
      </c>
      <c r="Y364" s="954">
        <f ca="1">IFERROR($I364*44/12*参考2_エネ使用量経年!$I214*(参考2_エネ使用量経年!Y214+参考2_エネ使用量経年!Y301),"")</f>
        <v>0</v>
      </c>
      <c r="Z364" s="954">
        <f ca="1">IFERROR($J364*44/12*参考2_エネ使用量経年!$J214*(参考2_エネ使用量経年!Z214+参考2_エネ使用量経年!Z301),"")</f>
        <v>0</v>
      </c>
      <c r="AA364" s="954">
        <f ca="1">IFERROR($K364*44/12*参考2_エネ使用量経年!$K214*(参考2_エネ使用量経年!AA214+参考2_エネ使用量経年!AA301),"")</f>
        <v>0</v>
      </c>
      <c r="AB364" s="954" t="str">
        <f ca="1">IFERROR($H364*44/12*参考2_エネ使用量経年!$H214*(参考2_エネ使用量経年!AB214+参考2_エネ使用量経年!AB301),"")</f>
        <v/>
      </c>
      <c r="AC364" s="954" t="str">
        <f ca="1">IFERROR($I364*44/12*参考2_エネ使用量経年!$I214*(参考2_エネ使用量経年!AC214+参考2_エネ使用量経年!AC301),"")</f>
        <v/>
      </c>
      <c r="AD364" s="954" t="str">
        <f ca="1">IFERROR($J364*44/12*参考2_エネ使用量経年!$J214*(参考2_エネ使用量経年!AD214+参考2_エネ使用量経年!AD301),"")</f>
        <v/>
      </c>
      <c r="AE364" s="954" t="str">
        <f ca="1">IFERROR($K364*44/12*参考2_エネ使用量経年!$K214*(参考2_エネ使用量経年!AE214+参考2_エネ使用量経年!AE301),"")</f>
        <v/>
      </c>
      <c r="AF364" s="954" t="str">
        <f ca="1">IFERROR($H364*44/12*参考2_エネ使用量経年!$H214*(参考2_エネ使用量経年!AF214+参考2_エネ使用量経年!AF301),"")</f>
        <v/>
      </c>
      <c r="AG364" s="954" t="str">
        <f ca="1">IFERROR($I364*44/12*参考2_エネ使用量経年!$I214*(参考2_エネ使用量経年!AG214+参考2_エネ使用量経年!AG301),"")</f>
        <v/>
      </c>
      <c r="AH364" s="954" t="str">
        <f ca="1">IFERROR($J364*44/12*参考2_エネ使用量経年!$J214*(参考2_エネ使用量経年!AH214+参考2_エネ使用量経年!AH301),"")</f>
        <v/>
      </c>
      <c r="AI364" s="954" t="str">
        <f ca="1">IFERROR($K364*44/12*参考2_エネ使用量経年!$K214*(参考2_エネ使用量経年!AI214+参考2_エネ使用量経年!AI301),"")</f>
        <v/>
      </c>
      <c r="AJ364" s="954" t="str">
        <f ca="1">IFERROR($H364*44/12*参考2_エネ使用量経年!$H214*(参考2_エネ使用量経年!AJ214+参考2_エネ使用量経年!AJ301),"")</f>
        <v/>
      </c>
      <c r="AK364" s="954" t="str">
        <f ca="1">IFERROR($I364*44/12*参考2_エネ使用量経年!$I214*(参考2_エネ使用量経年!AK214+参考2_エネ使用量経年!AK301),"")</f>
        <v/>
      </c>
      <c r="AL364" s="954" t="str">
        <f ca="1">IFERROR($J364*44/12*参考2_エネ使用量経年!$J214*(参考2_エネ使用量経年!AL214+参考2_エネ使用量経年!AL301),"")</f>
        <v/>
      </c>
      <c r="AM364" s="954" t="str">
        <f ca="1">IFERROR($K364*44/12*参考2_エネ使用量経年!$K214*(参考2_エネ使用量経年!AM214+参考2_エネ使用量経年!AM301),"")</f>
        <v/>
      </c>
      <c r="AN364" s="954" t="str">
        <f ca="1">IFERROR($H364*44/12*参考2_エネ使用量経年!$H214*(参考2_エネ使用量経年!AN214+参考2_エネ使用量経年!AN301),"")</f>
        <v/>
      </c>
      <c r="AO364" s="954" t="str">
        <f ca="1">IFERROR($I364*44/12*参考2_エネ使用量経年!$I214*(参考2_エネ使用量経年!AO214+参考2_エネ使用量経年!AO301),"")</f>
        <v/>
      </c>
      <c r="AP364" s="954" t="str">
        <f ca="1">IFERROR($J364*44/12*参考2_エネ使用量経年!$J214*(参考2_エネ使用量経年!AP214+参考2_エネ使用量経年!AP301),"")</f>
        <v/>
      </c>
      <c r="AQ364" s="954" t="str">
        <f ca="1">IFERROR($K364*44/12*参考2_エネ使用量経年!$K214*(参考2_エネ使用量経年!AQ214+参考2_エネ使用量経年!AQ301),"")</f>
        <v/>
      </c>
      <c r="AR364" s="954" t="str">
        <f ca="1">IFERROR($H364*44/12*参考2_エネ使用量経年!$H214*(参考2_エネ使用量経年!AR214+参考2_エネ使用量経年!AR301),"")</f>
        <v/>
      </c>
      <c r="AS364" s="954" t="str">
        <f ca="1">IFERROR($I364*44/12*参考2_エネ使用量経年!$I214*(参考2_エネ使用量経年!AS214+参考2_エネ使用量経年!AS301),"")</f>
        <v/>
      </c>
      <c r="AT364" s="954" t="str">
        <f ca="1">IFERROR($J364*44/12*参考2_エネ使用量経年!$J214*(参考2_エネ使用量経年!AT214+参考2_エネ使用量経年!AT301),"")</f>
        <v/>
      </c>
      <c r="AU364" s="954" t="str">
        <f ca="1">IFERROR($K364*44/12*参考2_エネ使用量経年!$K214*(参考2_エネ使用量経年!AU214+参考2_エネ使用量経年!AU301),"")</f>
        <v/>
      </c>
      <c r="AV364" s="954" t="str">
        <f ca="1">IFERROR($H364*44/12*参考2_エネ使用量経年!$H214*(参考2_エネ使用量経年!AV214+参考2_エネ使用量経年!AV301),"")</f>
        <v/>
      </c>
      <c r="AW364" s="954" t="str">
        <f ca="1">IFERROR($I364*44/12*参考2_エネ使用量経年!$I214*(参考2_エネ使用量経年!AW214+参考2_エネ使用量経年!AW301),"")</f>
        <v/>
      </c>
      <c r="AX364" s="954" t="str">
        <f ca="1">IFERROR($J364*44/12*参考2_エネ使用量経年!$J214*(参考2_エネ使用量経年!AX214+参考2_エネ使用量経年!AX301),"")</f>
        <v/>
      </c>
      <c r="AY364" s="954" t="str">
        <f ca="1">IFERROR($K364*44/12*参考2_エネ使用量経年!$K214*(参考2_エネ使用量経年!AY214+参考2_エネ使用量経年!AY301),"")</f>
        <v/>
      </c>
      <c r="AZ364" s="954" t="str">
        <f ca="1">IFERROR($H364*44/12*参考2_エネ使用量経年!$H214*(参考2_エネ使用量経年!AZ214+参考2_エネ使用量経年!AZ301),"")</f>
        <v/>
      </c>
      <c r="BA364" s="954" t="str">
        <f ca="1">IFERROR($I364*44/12*参考2_エネ使用量経年!$I214*(参考2_エネ使用量経年!BA214+参考2_エネ使用量経年!BA301),"")</f>
        <v/>
      </c>
      <c r="BB364" s="954" t="str">
        <f ca="1">IFERROR($J364*44/12*参考2_エネ使用量経年!$J214*(参考2_エネ使用量経年!BB214+参考2_エネ使用量経年!BB301),"")</f>
        <v/>
      </c>
      <c r="BC364" s="954" t="str">
        <f ca="1">IFERROR($K364*44/12*参考2_エネ使用量経年!$K214*(参考2_エネ使用量経年!BC214+参考2_エネ使用量経年!BC301),"")</f>
        <v/>
      </c>
      <c r="BD364" s="954" t="str">
        <f ca="1">IFERROR($H364*44/12*参考2_エネ使用量経年!$H214*(参考2_エネ使用量経年!BD214+参考2_エネ使用量経年!BD301),"")</f>
        <v/>
      </c>
      <c r="BE364" s="954" t="str">
        <f ca="1">IFERROR($I364*44/12*参考2_エネ使用量経年!$I214*(参考2_エネ使用量経年!BE214+参考2_エネ使用量経年!BE301),"")</f>
        <v/>
      </c>
      <c r="BF364" s="954" t="str">
        <f ca="1">IFERROR($J364*44/12*参考2_エネ使用量経年!$J214*(参考2_エネ使用量経年!BF214+参考2_エネ使用量経年!BF301),"")</f>
        <v/>
      </c>
      <c r="BG364" s="954" t="str">
        <f ca="1">IFERROR($K364*44/12*参考2_エネ使用量経年!$K214*(参考2_エネ使用量経年!BG214+参考2_エネ使用量経年!BG301),"")</f>
        <v/>
      </c>
      <c r="BH364" s="954" t="str">
        <f ca="1">IFERROR($H364*44/12*参考2_エネ使用量経年!$H214*(参考2_エネ使用量経年!BH214+参考2_エネ使用量経年!BH301),"")</f>
        <v/>
      </c>
      <c r="BI364" s="954" t="str">
        <f ca="1">IFERROR($I364*44/12*参考2_エネ使用量経年!$I214*(参考2_エネ使用量経年!BI214+参考2_エネ使用量経年!BI301),"")</f>
        <v/>
      </c>
      <c r="BJ364" s="954" t="str">
        <f ca="1">IFERROR($J364*44/12*参考2_エネ使用量経年!$J214*(参考2_エネ使用量経年!BJ214+参考2_エネ使用量経年!BJ301),"")</f>
        <v/>
      </c>
      <c r="BK364" s="954" t="str">
        <f ca="1">IFERROR($K364*44/12*参考2_エネ使用量経年!$K214*(参考2_エネ使用量経年!BK214+参考2_エネ使用量経年!BK301),"")</f>
        <v/>
      </c>
      <c r="BL364" s="954" t="str">
        <f ca="1">IFERROR($H364*44/12*参考2_エネ使用量経年!$H214*(参考2_エネ使用量経年!BL214+参考2_エネ使用量経年!BL301),"")</f>
        <v/>
      </c>
      <c r="BM364" s="954" t="str">
        <f ca="1">IFERROR($I364*44/12*参考2_エネ使用量経年!$I214*(参考2_エネ使用量経年!BM214+参考2_エネ使用量経年!BM301),"")</f>
        <v/>
      </c>
      <c r="BN364" s="954" t="str">
        <f ca="1">IFERROR($J364*44/12*参考2_エネ使用量経年!$J214*(参考2_エネ使用量経年!BN214+参考2_エネ使用量経年!BN301),"")</f>
        <v/>
      </c>
      <c r="BO364" s="954" t="str">
        <f ca="1">IFERROR($K364*44/12*参考2_エネ使用量経年!$K214*(参考2_エネ使用量経年!BO214+参考2_エネ使用量経年!BO301),"")</f>
        <v/>
      </c>
    </row>
    <row r="365" spans="1:68" ht="20.100000000000001" customHeight="1">
      <c r="A365" s="952">
        <v>52</v>
      </c>
      <c r="B365" s="1870"/>
      <c r="C365" s="1872"/>
      <c r="D365" s="824" t="s">
        <v>4417</v>
      </c>
      <c r="E365" s="824"/>
      <c r="F365" s="825"/>
      <c r="G365" s="891" t="s">
        <v>4685</v>
      </c>
      <c r="H365" s="953">
        <f t="shared" ca="1" si="110"/>
        <v>0</v>
      </c>
      <c r="I365" s="953">
        <f t="shared" ca="1" si="111"/>
        <v>0</v>
      </c>
      <c r="J365" s="953">
        <f t="shared" ca="1" si="112"/>
        <v>0</v>
      </c>
      <c r="K365" s="953">
        <f t="shared" ca="1" si="113"/>
        <v>0</v>
      </c>
      <c r="L365" s="954">
        <f ca="1">IFERROR($H365*44/12*参考2_エネ使用量経年!$H215*(参考2_エネ使用量経年!L215+参考2_エネ使用量経年!L302),"")</f>
        <v>0</v>
      </c>
      <c r="M365" s="954">
        <f ca="1">IFERROR($I365*44/12*参考2_エネ使用量経年!$I215*(参考2_エネ使用量経年!M215+参考2_エネ使用量経年!M302),"")</f>
        <v>0</v>
      </c>
      <c r="N365" s="954">
        <f ca="1">IFERROR($J365*44/12*参考2_エネ使用量経年!$J215*(参考2_エネ使用量経年!N215+参考2_エネ使用量経年!N302),"")</f>
        <v>0</v>
      </c>
      <c r="O365" s="954">
        <f ca="1">IFERROR($K365*44/12*参考2_エネ使用量経年!$K215*(参考2_エネ使用量経年!O215+参考2_エネ使用量経年!O302),"")</f>
        <v>0</v>
      </c>
      <c r="P365" s="954">
        <f ca="1">IFERROR($H365*44/12*参考2_エネ使用量経年!$H215*(参考2_エネ使用量経年!P215+参考2_エネ使用量経年!P302),"")</f>
        <v>0</v>
      </c>
      <c r="Q365" s="954">
        <f ca="1">IFERROR($I365*44/12*参考2_エネ使用量経年!$I215*(参考2_エネ使用量経年!Q215+参考2_エネ使用量経年!Q302),"")</f>
        <v>0</v>
      </c>
      <c r="R365" s="954">
        <f ca="1">IFERROR($J365*44/12*参考2_エネ使用量経年!$J215*(参考2_エネ使用量経年!R215+参考2_エネ使用量経年!R302),"")</f>
        <v>0</v>
      </c>
      <c r="S365" s="954">
        <f ca="1">IFERROR($K365*44/12*参考2_エネ使用量経年!$K215*(参考2_エネ使用量経年!S215+参考2_エネ使用量経年!S302),"")</f>
        <v>0</v>
      </c>
      <c r="T365" s="954">
        <f ca="1">IFERROR($H365*44/12*参考2_エネ使用量経年!$H215*(参考2_エネ使用量経年!T215+参考2_エネ使用量経年!T302),"")</f>
        <v>0</v>
      </c>
      <c r="U365" s="954">
        <f ca="1">IFERROR($I365*44/12*参考2_エネ使用量経年!$I215*(参考2_エネ使用量経年!U215+参考2_エネ使用量経年!U302),"")</f>
        <v>0</v>
      </c>
      <c r="V365" s="954">
        <f ca="1">IFERROR($J365*44/12*参考2_エネ使用量経年!$J215*(参考2_エネ使用量経年!V215+参考2_エネ使用量経年!V302),"")</f>
        <v>0</v>
      </c>
      <c r="W365" s="954">
        <f ca="1">IFERROR($K365*44/12*参考2_エネ使用量経年!$K215*(参考2_エネ使用量経年!W215+参考2_エネ使用量経年!W302),"")</f>
        <v>0</v>
      </c>
      <c r="X365" s="954">
        <f ca="1">IFERROR($H365*44/12*参考2_エネ使用量経年!$H215*(参考2_エネ使用量経年!X215+参考2_エネ使用量経年!X302),"")</f>
        <v>0</v>
      </c>
      <c r="Y365" s="954">
        <f ca="1">IFERROR($I365*44/12*参考2_エネ使用量経年!$I215*(参考2_エネ使用量経年!Y215+参考2_エネ使用量経年!Y302),"")</f>
        <v>0</v>
      </c>
      <c r="Z365" s="954">
        <f ca="1">IFERROR($J365*44/12*参考2_エネ使用量経年!$J215*(参考2_エネ使用量経年!Z215+参考2_エネ使用量経年!Z302),"")</f>
        <v>0</v>
      </c>
      <c r="AA365" s="954">
        <f ca="1">IFERROR($K365*44/12*参考2_エネ使用量経年!$K215*(参考2_エネ使用量経年!AA215+参考2_エネ使用量経年!AA302),"")</f>
        <v>0</v>
      </c>
      <c r="AB365" s="954" t="str">
        <f ca="1">IFERROR($H365*44/12*参考2_エネ使用量経年!$H215*(参考2_エネ使用量経年!AB215+参考2_エネ使用量経年!AB302),"")</f>
        <v/>
      </c>
      <c r="AC365" s="954" t="str">
        <f ca="1">IFERROR($I365*44/12*参考2_エネ使用量経年!$I215*(参考2_エネ使用量経年!AC215+参考2_エネ使用量経年!AC302),"")</f>
        <v/>
      </c>
      <c r="AD365" s="954" t="str">
        <f ca="1">IFERROR($J365*44/12*参考2_エネ使用量経年!$J215*(参考2_エネ使用量経年!AD215+参考2_エネ使用量経年!AD302),"")</f>
        <v/>
      </c>
      <c r="AE365" s="954" t="str">
        <f ca="1">IFERROR($K365*44/12*参考2_エネ使用量経年!$K215*(参考2_エネ使用量経年!AE215+参考2_エネ使用量経年!AE302),"")</f>
        <v/>
      </c>
      <c r="AF365" s="954" t="str">
        <f ca="1">IFERROR($H365*44/12*参考2_エネ使用量経年!$H215*(参考2_エネ使用量経年!AF215+参考2_エネ使用量経年!AF302),"")</f>
        <v/>
      </c>
      <c r="AG365" s="954" t="str">
        <f ca="1">IFERROR($I365*44/12*参考2_エネ使用量経年!$I215*(参考2_エネ使用量経年!AG215+参考2_エネ使用量経年!AG302),"")</f>
        <v/>
      </c>
      <c r="AH365" s="954" t="str">
        <f ca="1">IFERROR($J365*44/12*参考2_エネ使用量経年!$J215*(参考2_エネ使用量経年!AH215+参考2_エネ使用量経年!AH302),"")</f>
        <v/>
      </c>
      <c r="AI365" s="954" t="str">
        <f ca="1">IFERROR($K365*44/12*参考2_エネ使用量経年!$K215*(参考2_エネ使用量経年!AI215+参考2_エネ使用量経年!AI302),"")</f>
        <v/>
      </c>
      <c r="AJ365" s="954" t="str">
        <f ca="1">IFERROR($H365*44/12*参考2_エネ使用量経年!$H215*(参考2_エネ使用量経年!AJ215+参考2_エネ使用量経年!AJ302),"")</f>
        <v/>
      </c>
      <c r="AK365" s="954" t="str">
        <f ca="1">IFERROR($I365*44/12*参考2_エネ使用量経年!$I215*(参考2_エネ使用量経年!AK215+参考2_エネ使用量経年!AK302),"")</f>
        <v/>
      </c>
      <c r="AL365" s="954" t="str">
        <f ca="1">IFERROR($J365*44/12*参考2_エネ使用量経年!$J215*(参考2_エネ使用量経年!AL215+参考2_エネ使用量経年!AL302),"")</f>
        <v/>
      </c>
      <c r="AM365" s="954" t="str">
        <f ca="1">IFERROR($K365*44/12*参考2_エネ使用量経年!$K215*(参考2_エネ使用量経年!AM215+参考2_エネ使用量経年!AM302),"")</f>
        <v/>
      </c>
      <c r="AN365" s="954" t="str">
        <f ca="1">IFERROR($H365*44/12*参考2_エネ使用量経年!$H215*(参考2_エネ使用量経年!AN215+参考2_エネ使用量経年!AN302),"")</f>
        <v/>
      </c>
      <c r="AO365" s="954" t="str">
        <f ca="1">IFERROR($I365*44/12*参考2_エネ使用量経年!$I215*(参考2_エネ使用量経年!AO215+参考2_エネ使用量経年!AO302),"")</f>
        <v/>
      </c>
      <c r="AP365" s="954" t="str">
        <f ca="1">IFERROR($J365*44/12*参考2_エネ使用量経年!$J215*(参考2_エネ使用量経年!AP215+参考2_エネ使用量経年!AP302),"")</f>
        <v/>
      </c>
      <c r="AQ365" s="954" t="str">
        <f ca="1">IFERROR($K365*44/12*参考2_エネ使用量経年!$K215*(参考2_エネ使用量経年!AQ215+参考2_エネ使用量経年!AQ302),"")</f>
        <v/>
      </c>
      <c r="AR365" s="954" t="str">
        <f ca="1">IFERROR($H365*44/12*参考2_エネ使用量経年!$H215*(参考2_エネ使用量経年!AR215+参考2_エネ使用量経年!AR302),"")</f>
        <v/>
      </c>
      <c r="AS365" s="954" t="str">
        <f ca="1">IFERROR($I365*44/12*参考2_エネ使用量経年!$I215*(参考2_エネ使用量経年!AS215+参考2_エネ使用量経年!AS302),"")</f>
        <v/>
      </c>
      <c r="AT365" s="954" t="str">
        <f ca="1">IFERROR($J365*44/12*参考2_エネ使用量経年!$J215*(参考2_エネ使用量経年!AT215+参考2_エネ使用量経年!AT302),"")</f>
        <v/>
      </c>
      <c r="AU365" s="954" t="str">
        <f ca="1">IFERROR($K365*44/12*参考2_エネ使用量経年!$K215*(参考2_エネ使用量経年!AU215+参考2_エネ使用量経年!AU302),"")</f>
        <v/>
      </c>
      <c r="AV365" s="954" t="str">
        <f ca="1">IFERROR($H365*44/12*参考2_エネ使用量経年!$H215*(参考2_エネ使用量経年!AV215+参考2_エネ使用量経年!AV302),"")</f>
        <v/>
      </c>
      <c r="AW365" s="954" t="str">
        <f ca="1">IFERROR($I365*44/12*参考2_エネ使用量経年!$I215*(参考2_エネ使用量経年!AW215+参考2_エネ使用量経年!AW302),"")</f>
        <v/>
      </c>
      <c r="AX365" s="954" t="str">
        <f ca="1">IFERROR($J365*44/12*参考2_エネ使用量経年!$J215*(参考2_エネ使用量経年!AX215+参考2_エネ使用量経年!AX302),"")</f>
        <v/>
      </c>
      <c r="AY365" s="954" t="str">
        <f ca="1">IFERROR($K365*44/12*参考2_エネ使用量経年!$K215*(参考2_エネ使用量経年!AY215+参考2_エネ使用量経年!AY302),"")</f>
        <v/>
      </c>
      <c r="AZ365" s="954" t="str">
        <f ca="1">IFERROR($H365*44/12*参考2_エネ使用量経年!$H215*(参考2_エネ使用量経年!AZ215+参考2_エネ使用量経年!AZ302),"")</f>
        <v/>
      </c>
      <c r="BA365" s="954" t="str">
        <f ca="1">IFERROR($I365*44/12*参考2_エネ使用量経年!$I215*(参考2_エネ使用量経年!BA215+参考2_エネ使用量経年!BA302),"")</f>
        <v/>
      </c>
      <c r="BB365" s="954" t="str">
        <f ca="1">IFERROR($J365*44/12*参考2_エネ使用量経年!$J215*(参考2_エネ使用量経年!BB215+参考2_エネ使用量経年!BB302),"")</f>
        <v/>
      </c>
      <c r="BC365" s="954" t="str">
        <f ca="1">IFERROR($K365*44/12*参考2_エネ使用量経年!$K215*(参考2_エネ使用量経年!BC215+参考2_エネ使用量経年!BC302),"")</f>
        <v/>
      </c>
      <c r="BD365" s="954" t="str">
        <f ca="1">IFERROR($H365*44/12*参考2_エネ使用量経年!$H215*(参考2_エネ使用量経年!BD215+参考2_エネ使用量経年!BD302),"")</f>
        <v/>
      </c>
      <c r="BE365" s="954" t="str">
        <f ca="1">IFERROR($I365*44/12*参考2_エネ使用量経年!$I215*(参考2_エネ使用量経年!BE215+参考2_エネ使用量経年!BE302),"")</f>
        <v/>
      </c>
      <c r="BF365" s="954" t="str">
        <f ca="1">IFERROR($J365*44/12*参考2_エネ使用量経年!$J215*(参考2_エネ使用量経年!BF215+参考2_エネ使用量経年!BF302),"")</f>
        <v/>
      </c>
      <c r="BG365" s="954" t="str">
        <f ca="1">IFERROR($K365*44/12*参考2_エネ使用量経年!$K215*(参考2_エネ使用量経年!BG215+参考2_エネ使用量経年!BG302),"")</f>
        <v/>
      </c>
      <c r="BH365" s="954" t="str">
        <f ca="1">IFERROR($H365*44/12*参考2_エネ使用量経年!$H215*(参考2_エネ使用量経年!BH215+参考2_エネ使用量経年!BH302),"")</f>
        <v/>
      </c>
      <c r="BI365" s="954" t="str">
        <f ca="1">IFERROR($I365*44/12*参考2_エネ使用量経年!$I215*(参考2_エネ使用量経年!BI215+参考2_エネ使用量経年!BI302),"")</f>
        <v/>
      </c>
      <c r="BJ365" s="954" t="str">
        <f ca="1">IFERROR($J365*44/12*参考2_エネ使用量経年!$J215*(参考2_エネ使用量経年!BJ215+参考2_エネ使用量経年!BJ302),"")</f>
        <v/>
      </c>
      <c r="BK365" s="954" t="str">
        <f ca="1">IFERROR($K365*44/12*参考2_エネ使用量経年!$K215*(参考2_エネ使用量経年!BK215+参考2_エネ使用量経年!BK302),"")</f>
        <v/>
      </c>
      <c r="BL365" s="954" t="str">
        <f ca="1">IFERROR($H365*44/12*参考2_エネ使用量経年!$H215*(参考2_エネ使用量経年!BL215+参考2_エネ使用量経年!BL302),"")</f>
        <v/>
      </c>
      <c r="BM365" s="954" t="str">
        <f ca="1">IFERROR($I365*44/12*参考2_エネ使用量経年!$I215*(参考2_エネ使用量経年!BM215+参考2_エネ使用量経年!BM302),"")</f>
        <v/>
      </c>
      <c r="BN365" s="954" t="str">
        <f ca="1">IFERROR($J365*44/12*参考2_エネ使用量経年!$J215*(参考2_エネ使用量経年!BN215+参考2_エネ使用量経年!BN302),"")</f>
        <v/>
      </c>
      <c r="BO365" s="954" t="str">
        <f ca="1">IFERROR($K365*44/12*参考2_エネ使用量経年!$K215*(参考2_エネ使用量経年!BO215+参考2_エネ使用量経年!BO302),"")</f>
        <v/>
      </c>
    </row>
    <row r="366" spans="1:68" ht="20.100000000000001" customHeight="1">
      <c r="A366" s="952">
        <v>53</v>
      </c>
      <c r="B366" s="1870"/>
      <c r="C366" s="1872"/>
      <c r="D366" s="824" t="s">
        <v>4192</v>
      </c>
      <c r="E366" s="824"/>
      <c r="F366" s="825"/>
      <c r="G366" s="891" t="s">
        <v>4685</v>
      </c>
      <c r="H366" s="953">
        <f t="shared" ca="1" si="110"/>
        <v>0</v>
      </c>
      <c r="I366" s="953">
        <f t="shared" ca="1" si="111"/>
        <v>0</v>
      </c>
      <c r="J366" s="953">
        <f t="shared" ca="1" si="112"/>
        <v>0</v>
      </c>
      <c r="K366" s="953">
        <f t="shared" ca="1" si="113"/>
        <v>0</v>
      </c>
      <c r="L366" s="954">
        <f ca="1">IFERROR($H366*44/12*参考2_エネ使用量経年!$H216*(参考2_エネ使用量経年!L216+参考2_エネ使用量経年!L303),"")</f>
        <v>0</v>
      </c>
      <c r="M366" s="954">
        <f ca="1">IFERROR($I366*44/12*参考2_エネ使用量経年!$I216*(参考2_エネ使用量経年!M216+参考2_エネ使用量経年!M303),"")</f>
        <v>0</v>
      </c>
      <c r="N366" s="954">
        <f ca="1">IFERROR($J366*44/12*参考2_エネ使用量経年!$J216*(参考2_エネ使用量経年!N216+参考2_エネ使用量経年!N303),"")</f>
        <v>0</v>
      </c>
      <c r="O366" s="954">
        <f ca="1">IFERROR($K366*44/12*参考2_エネ使用量経年!$K216*(参考2_エネ使用量経年!O216+参考2_エネ使用量経年!O303),"")</f>
        <v>0</v>
      </c>
      <c r="P366" s="954">
        <f ca="1">IFERROR($H366*44/12*参考2_エネ使用量経年!$H216*(参考2_エネ使用量経年!P216+参考2_エネ使用量経年!P303),"")</f>
        <v>0</v>
      </c>
      <c r="Q366" s="954">
        <f ca="1">IFERROR($I366*44/12*参考2_エネ使用量経年!$I216*(参考2_エネ使用量経年!Q216+参考2_エネ使用量経年!Q303),"")</f>
        <v>0</v>
      </c>
      <c r="R366" s="954">
        <f ca="1">IFERROR($J366*44/12*参考2_エネ使用量経年!$J216*(参考2_エネ使用量経年!R216+参考2_エネ使用量経年!R303),"")</f>
        <v>0</v>
      </c>
      <c r="S366" s="954">
        <f ca="1">IFERROR($K366*44/12*参考2_エネ使用量経年!$K216*(参考2_エネ使用量経年!S216+参考2_エネ使用量経年!S303),"")</f>
        <v>0</v>
      </c>
      <c r="T366" s="954">
        <f ca="1">IFERROR($H366*44/12*参考2_エネ使用量経年!$H216*(参考2_エネ使用量経年!T216+参考2_エネ使用量経年!T303),"")</f>
        <v>0</v>
      </c>
      <c r="U366" s="954">
        <f ca="1">IFERROR($I366*44/12*参考2_エネ使用量経年!$I216*(参考2_エネ使用量経年!U216+参考2_エネ使用量経年!U303),"")</f>
        <v>0</v>
      </c>
      <c r="V366" s="954">
        <f ca="1">IFERROR($J366*44/12*参考2_エネ使用量経年!$J216*(参考2_エネ使用量経年!V216+参考2_エネ使用量経年!V303),"")</f>
        <v>0</v>
      </c>
      <c r="W366" s="954">
        <f ca="1">IFERROR($K366*44/12*参考2_エネ使用量経年!$K216*(参考2_エネ使用量経年!W216+参考2_エネ使用量経年!W303),"")</f>
        <v>0</v>
      </c>
      <c r="X366" s="954">
        <f ca="1">IFERROR($H366*44/12*参考2_エネ使用量経年!$H216*(参考2_エネ使用量経年!X216+参考2_エネ使用量経年!X303),"")</f>
        <v>0</v>
      </c>
      <c r="Y366" s="954">
        <f ca="1">IFERROR($I366*44/12*参考2_エネ使用量経年!$I216*(参考2_エネ使用量経年!Y216+参考2_エネ使用量経年!Y303),"")</f>
        <v>0</v>
      </c>
      <c r="Z366" s="954">
        <f ca="1">IFERROR($J366*44/12*参考2_エネ使用量経年!$J216*(参考2_エネ使用量経年!Z216+参考2_エネ使用量経年!Z303),"")</f>
        <v>0</v>
      </c>
      <c r="AA366" s="954">
        <f ca="1">IFERROR($K366*44/12*参考2_エネ使用量経年!$K216*(参考2_エネ使用量経年!AA216+参考2_エネ使用量経年!AA303),"")</f>
        <v>0</v>
      </c>
      <c r="AB366" s="954" t="str">
        <f ca="1">IFERROR($H366*44/12*参考2_エネ使用量経年!$H216*(参考2_エネ使用量経年!AB216+参考2_エネ使用量経年!AB303),"")</f>
        <v/>
      </c>
      <c r="AC366" s="954" t="str">
        <f ca="1">IFERROR($I366*44/12*参考2_エネ使用量経年!$I216*(参考2_エネ使用量経年!AC216+参考2_エネ使用量経年!AC303),"")</f>
        <v/>
      </c>
      <c r="AD366" s="954" t="str">
        <f ca="1">IFERROR($J366*44/12*参考2_エネ使用量経年!$J216*(参考2_エネ使用量経年!AD216+参考2_エネ使用量経年!AD303),"")</f>
        <v/>
      </c>
      <c r="AE366" s="954" t="str">
        <f ca="1">IFERROR($K366*44/12*参考2_エネ使用量経年!$K216*(参考2_エネ使用量経年!AE216+参考2_エネ使用量経年!AE303),"")</f>
        <v/>
      </c>
      <c r="AF366" s="954" t="str">
        <f ca="1">IFERROR($H366*44/12*参考2_エネ使用量経年!$H216*(参考2_エネ使用量経年!AF216+参考2_エネ使用量経年!AF303),"")</f>
        <v/>
      </c>
      <c r="AG366" s="954" t="str">
        <f ca="1">IFERROR($I366*44/12*参考2_エネ使用量経年!$I216*(参考2_エネ使用量経年!AG216+参考2_エネ使用量経年!AG303),"")</f>
        <v/>
      </c>
      <c r="AH366" s="954" t="str">
        <f ca="1">IFERROR($J366*44/12*参考2_エネ使用量経年!$J216*(参考2_エネ使用量経年!AH216+参考2_エネ使用量経年!AH303),"")</f>
        <v/>
      </c>
      <c r="AI366" s="954" t="str">
        <f ca="1">IFERROR($K366*44/12*参考2_エネ使用量経年!$K216*(参考2_エネ使用量経年!AI216+参考2_エネ使用量経年!AI303),"")</f>
        <v/>
      </c>
      <c r="AJ366" s="954" t="str">
        <f ca="1">IFERROR($H366*44/12*参考2_エネ使用量経年!$H216*(参考2_エネ使用量経年!AJ216+参考2_エネ使用量経年!AJ303),"")</f>
        <v/>
      </c>
      <c r="AK366" s="954" t="str">
        <f ca="1">IFERROR($I366*44/12*参考2_エネ使用量経年!$I216*(参考2_エネ使用量経年!AK216+参考2_エネ使用量経年!AK303),"")</f>
        <v/>
      </c>
      <c r="AL366" s="954" t="str">
        <f ca="1">IFERROR($J366*44/12*参考2_エネ使用量経年!$J216*(参考2_エネ使用量経年!AL216+参考2_エネ使用量経年!AL303),"")</f>
        <v/>
      </c>
      <c r="AM366" s="954" t="str">
        <f ca="1">IFERROR($K366*44/12*参考2_エネ使用量経年!$K216*(参考2_エネ使用量経年!AM216+参考2_エネ使用量経年!AM303),"")</f>
        <v/>
      </c>
      <c r="AN366" s="954" t="str">
        <f ca="1">IFERROR($H366*44/12*参考2_エネ使用量経年!$H216*(参考2_エネ使用量経年!AN216+参考2_エネ使用量経年!AN303),"")</f>
        <v/>
      </c>
      <c r="AO366" s="954" t="str">
        <f ca="1">IFERROR($I366*44/12*参考2_エネ使用量経年!$I216*(参考2_エネ使用量経年!AO216+参考2_エネ使用量経年!AO303),"")</f>
        <v/>
      </c>
      <c r="AP366" s="954" t="str">
        <f ca="1">IFERROR($J366*44/12*参考2_エネ使用量経年!$J216*(参考2_エネ使用量経年!AP216+参考2_エネ使用量経年!AP303),"")</f>
        <v/>
      </c>
      <c r="AQ366" s="954" t="str">
        <f ca="1">IFERROR($K366*44/12*参考2_エネ使用量経年!$K216*(参考2_エネ使用量経年!AQ216+参考2_エネ使用量経年!AQ303),"")</f>
        <v/>
      </c>
      <c r="AR366" s="954" t="str">
        <f ca="1">IFERROR($H366*44/12*参考2_エネ使用量経年!$H216*(参考2_エネ使用量経年!AR216+参考2_エネ使用量経年!AR303),"")</f>
        <v/>
      </c>
      <c r="AS366" s="954" t="str">
        <f ca="1">IFERROR($I366*44/12*参考2_エネ使用量経年!$I216*(参考2_エネ使用量経年!AS216+参考2_エネ使用量経年!AS303),"")</f>
        <v/>
      </c>
      <c r="AT366" s="954" t="str">
        <f ca="1">IFERROR($J366*44/12*参考2_エネ使用量経年!$J216*(参考2_エネ使用量経年!AT216+参考2_エネ使用量経年!AT303),"")</f>
        <v/>
      </c>
      <c r="AU366" s="954" t="str">
        <f ca="1">IFERROR($K366*44/12*参考2_エネ使用量経年!$K216*(参考2_エネ使用量経年!AU216+参考2_エネ使用量経年!AU303),"")</f>
        <v/>
      </c>
      <c r="AV366" s="954" t="str">
        <f ca="1">IFERROR($H366*44/12*参考2_エネ使用量経年!$H216*(参考2_エネ使用量経年!AV216+参考2_エネ使用量経年!AV303),"")</f>
        <v/>
      </c>
      <c r="AW366" s="954" t="str">
        <f ca="1">IFERROR($I366*44/12*参考2_エネ使用量経年!$I216*(参考2_エネ使用量経年!AW216+参考2_エネ使用量経年!AW303),"")</f>
        <v/>
      </c>
      <c r="AX366" s="954" t="str">
        <f ca="1">IFERROR($J366*44/12*参考2_エネ使用量経年!$J216*(参考2_エネ使用量経年!AX216+参考2_エネ使用量経年!AX303),"")</f>
        <v/>
      </c>
      <c r="AY366" s="954" t="str">
        <f ca="1">IFERROR($K366*44/12*参考2_エネ使用量経年!$K216*(参考2_エネ使用量経年!AY216+参考2_エネ使用量経年!AY303),"")</f>
        <v/>
      </c>
      <c r="AZ366" s="954" t="str">
        <f ca="1">IFERROR($H366*44/12*参考2_エネ使用量経年!$H216*(参考2_エネ使用量経年!AZ216+参考2_エネ使用量経年!AZ303),"")</f>
        <v/>
      </c>
      <c r="BA366" s="954" t="str">
        <f ca="1">IFERROR($I366*44/12*参考2_エネ使用量経年!$I216*(参考2_エネ使用量経年!BA216+参考2_エネ使用量経年!BA303),"")</f>
        <v/>
      </c>
      <c r="BB366" s="954" t="str">
        <f ca="1">IFERROR($J366*44/12*参考2_エネ使用量経年!$J216*(参考2_エネ使用量経年!BB216+参考2_エネ使用量経年!BB303),"")</f>
        <v/>
      </c>
      <c r="BC366" s="954" t="str">
        <f ca="1">IFERROR($K366*44/12*参考2_エネ使用量経年!$K216*(参考2_エネ使用量経年!BC216+参考2_エネ使用量経年!BC303),"")</f>
        <v/>
      </c>
      <c r="BD366" s="954" t="str">
        <f ca="1">IFERROR($H366*44/12*参考2_エネ使用量経年!$H216*(参考2_エネ使用量経年!BD216+参考2_エネ使用量経年!BD303),"")</f>
        <v/>
      </c>
      <c r="BE366" s="954" t="str">
        <f ca="1">IFERROR($I366*44/12*参考2_エネ使用量経年!$I216*(参考2_エネ使用量経年!BE216+参考2_エネ使用量経年!BE303),"")</f>
        <v/>
      </c>
      <c r="BF366" s="954" t="str">
        <f ca="1">IFERROR($J366*44/12*参考2_エネ使用量経年!$J216*(参考2_エネ使用量経年!BF216+参考2_エネ使用量経年!BF303),"")</f>
        <v/>
      </c>
      <c r="BG366" s="954" t="str">
        <f ca="1">IFERROR($K366*44/12*参考2_エネ使用量経年!$K216*(参考2_エネ使用量経年!BG216+参考2_エネ使用量経年!BG303),"")</f>
        <v/>
      </c>
      <c r="BH366" s="954" t="str">
        <f ca="1">IFERROR($H366*44/12*参考2_エネ使用量経年!$H216*(参考2_エネ使用量経年!BH216+参考2_エネ使用量経年!BH303),"")</f>
        <v/>
      </c>
      <c r="BI366" s="954" t="str">
        <f ca="1">IFERROR($I366*44/12*参考2_エネ使用量経年!$I216*(参考2_エネ使用量経年!BI216+参考2_エネ使用量経年!BI303),"")</f>
        <v/>
      </c>
      <c r="BJ366" s="954" t="str">
        <f ca="1">IFERROR($J366*44/12*参考2_エネ使用量経年!$J216*(参考2_エネ使用量経年!BJ216+参考2_エネ使用量経年!BJ303),"")</f>
        <v/>
      </c>
      <c r="BK366" s="954" t="str">
        <f ca="1">IFERROR($K366*44/12*参考2_エネ使用量経年!$K216*(参考2_エネ使用量経年!BK216+参考2_エネ使用量経年!BK303),"")</f>
        <v/>
      </c>
      <c r="BL366" s="954" t="str">
        <f ca="1">IFERROR($H366*44/12*参考2_エネ使用量経年!$H216*(参考2_エネ使用量経年!BL216+参考2_エネ使用量経年!BL303),"")</f>
        <v/>
      </c>
      <c r="BM366" s="954" t="str">
        <f ca="1">IFERROR($I366*44/12*参考2_エネ使用量経年!$I216*(参考2_エネ使用量経年!BM216+参考2_エネ使用量経年!BM303),"")</f>
        <v/>
      </c>
      <c r="BN366" s="954" t="str">
        <f ca="1">IFERROR($J366*44/12*参考2_エネ使用量経年!$J216*(参考2_エネ使用量経年!BN216+参考2_エネ使用量経年!BN303),"")</f>
        <v/>
      </c>
      <c r="BO366" s="954" t="str">
        <f ca="1">IFERROR($K366*44/12*参考2_エネ使用量経年!$K216*(参考2_エネ使用量経年!BO216+参考2_エネ使用量経年!BO303),"")</f>
        <v/>
      </c>
    </row>
    <row r="367" spans="1:68" ht="20.100000000000001" customHeight="1">
      <c r="A367" s="952">
        <v>54</v>
      </c>
      <c r="B367" s="1870"/>
      <c r="C367" s="1872"/>
      <c r="D367" s="824" t="s">
        <v>4418</v>
      </c>
      <c r="E367" s="831" t="str">
        <f ca="1">E54</f>
        <v/>
      </c>
      <c r="F367" s="833"/>
      <c r="G367" s="891" t="s">
        <v>4685</v>
      </c>
      <c r="H367" s="953">
        <f t="shared" ca="1" si="110"/>
        <v>0</v>
      </c>
      <c r="I367" s="953">
        <f t="shared" ca="1" si="111"/>
        <v>0</v>
      </c>
      <c r="J367" s="953">
        <f t="shared" ca="1" si="112"/>
        <v>0</v>
      </c>
      <c r="K367" s="953">
        <f t="shared" ca="1" si="113"/>
        <v>0</v>
      </c>
      <c r="L367" s="954">
        <f ca="1">IFERROR($H367*44/12*参考2_エネ使用量経年!$H217*(参考2_エネ使用量経年!L217+参考2_エネ使用量経年!L304),"")</f>
        <v>0</v>
      </c>
      <c r="M367" s="954">
        <f ca="1">IFERROR($I367*44/12*参考2_エネ使用量経年!$I217*(参考2_エネ使用量経年!M217+参考2_エネ使用量経年!M304),"")</f>
        <v>0</v>
      </c>
      <c r="N367" s="954">
        <f ca="1">IFERROR($J367*44/12*参考2_エネ使用量経年!$J217*(参考2_エネ使用量経年!N217+参考2_エネ使用量経年!N304),"")</f>
        <v>0</v>
      </c>
      <c r="O367" s="954">
        <f ca="1">IFERROR($K367*44/12*参考2_エネ使用量経年!$K217*(参考2_エネ使用量経年!O217+参考2_エネ使用量経年!O304),"")</f>
        <v>0</v>
      </c>
      <c r="P367" s="954">
        <f ca="1">IFERROR($H367*44/12*参考2_エネ使用量経年!$H217*(参考2_エネ使用量経年!P217+参考2_エネ使用量経年!P304),"")</f>
        <v>0</v>
      </c>
      <c r="Q367" s="954">
        <f ca="1">IFERROR($I367*44/12*参考2_エネ使用量経年!$I217*(参考2_エネ使用量経年!Q217+参考2_エネ使用量経年!Q304),"")</f>
        <v>0</v>
      </c>
      <c r="R367" s="954">
        <f ca="1">IFERROR($J367*44/12*参考2_エネ使用量経年!$J217*(参考2_エネ使用量経年!R217+参考2_エネ使用量経年!R304),"")</f>
        <v>0</v>
      </c>
      <c r="S367" s="954">
        <f ca="1">IFERROR($K367*44/12*参考2_エネ使用量経年!$K217*(参考2_エネ使用量経年!S217+参考2_エネ使用量経年!S304),"")</f>
        <v>0</v>
      </c>
      <c r="T367" s="954">
        <f ca="1">IFERROR($H367*44/12*参考2_エネ使用量経年!$H217*(参考2_エネ使用量経年!T217+参考2_エネ使用量経年!T304),"")</f>
        <v>0</v>
      </c>
      <c r="U367" s="954">
        <f ca="1">IFERROR($I367*44/12*参考2_エネ使用量経年!$I217*(参考2_エネ使用量経年!U217+参考2_エネ使用量経年!U304),"")</f>
        <v>0</v>
      </c>
      <c r="V367" s="954">
        <f ca="1">IFERROR($J367*44/12*参考2_エネ使用量経年!$J217*(参考2_エネ使用量経年!V217+参考2_エネ使用量経年!V304),"")</f>
        <v>0</v>
      </c>
      <c r="W367" s="954">
        <f ca="1">IFERROR($K367*44/12*参考2_エネ使用量経年!$K217*(参考2_エネ使用量経年!W217+参考2_エネ使用量経年!W304),"")</f>
        <v>0</v>
      </c>
      <c r="X367" s="954">
        <f ca="1">IFERROR($H367*44/12*参考2_エネ使用量経年!$H217*(参考2_エネ使用量経年!X217+参考2_エネ使用量経年!X304),"")</f>
        <v>0</v>
      </c>
      <c r="Y367" s="954">
        <f ca="1">IFERROR($I367*44/12*参考2_エネ使用量経年!$I217*(参考2_エネ使用量経年!Y217+参考2_エネ使用量経年!Y304),"")</f>
        <v>0</v>
      </c>
      <c r="Z367" s="954">
        <f ca="1">IFERROR($J367*44/12*参考2_エネ使用量経年!$J217*(参考2_エネ使用量経年!Z217+参考2_エネ使用量経年!Z304),"")</f>
        <v>0</v>
      </c>
      <c r="AA367" s="954">
        <f ca="1">IFERROR($K367*44/12*参考2_エネ使用量経年!$K217*(参考2_エネ使用量経年!AA217+参考2_エネ使用量経年!AA304),"")</f>
        <v>0</v>
      </c>
      <c r="AB367" s="954" t="str">
        <f ca="1">IFERROR($H367*44/12*参考2_エネ使用量経年!$H217*(参考2_エネ使用量経年!AB217+参考2_エネ使用量経年!AB304),"")</f>
        <v/>
      </c>
      <c r="AC367" s="954" t="str">
        <f ca="1">IFERROR($I367*44/12*参考2_エネ使用量経年!$I217*(参考2_エネ使用量経年!AC217+参考2_エネ使用量経年!AC304),"")</f>
        <v/>
      </c>
      <c r="AD367" s="954" t="str">
        <f ca="1">IFERROR($J367*44/12*参考2_エネ使用量経年!$J217*(参考2_エネ使用量経年!AD217+参考2_エネ使用量経年!AD304),"")</f>
        <v/>
      </c>
      <c r="AE367" s="954" t="str">
        <f ca="1">IFERROR($K367*44/12*参考2_エネ使用量経年!$K217*(参考2_エネ使用量経年!AE217+参考2_エネ使用量経年!AE304),"")</f>
        <v/>
      </c>
      <c r="AF367" s="954" t="str">
        <f ca="1">IFERROR($H367*44/12*参考2_エネ使用量経年!$H217*(参考2_エネ使用量経年!AF217+参考2_エネ使用量経年!AF304),"")</f>
        <v/>
      </c>
      <c r="AG367" s="954" t="str">
        <f ca="1">IFERROR($I367*44/12*参考2_エネ使用量経年!$I217*(参考2_エネ使用量経年!AG217+参考2_エネ使用量経年!AG304),"")</f>
        <v/>
      </c>
      <c r="AH367" s="954" t="str">
        <f ca="1">IFERROR($J367*44/12*参考2_エネ使用量経年!$J217*(参考2_エネ使用量経年!AH217+参考2_エネ使用量経年!AH304),"")</f>
        <v/>
      </c>
      <c r="AI367" s="954" t="str">
        <f ca="1">IFERROR($K367*44/12*参考2_エネ使用量経年!$K217*(参考2_エネ使用量経年!AI217+参考2_エネ使用量経年!AI304),"")</f>
        <v/>
      </c>
      <c r="AJ367" s="954" t="str">
        <f ca="1">IFERROR($H367*44/12*参考2_エネ使用量経年!$H217*(参考2_エネ使用量経年!AJ217+参考2_エネ使用量経年!AJ304),"")</f>
        <v/>
      </c>
      <c r="AK367" s="954" t="str">
        <f ca="1">IFERROR($I367*44/12*参考2_エネ使用量経年!$I217*(参考2_エネ使用量経年!AK217+参考2_エネ使用量経年!AK304),"")</f>
        <v/>
      </c>
      <c r="AL367" s="954" t="str">
        <f ca="1">IFERROR($J367*44/12*参考2_エネ使用量経年!$J217*(参考2_エネ使用量経年!AL217+参考2_エネ使用量経年!AL304),"")</f>
        <v/>
      </c>
      <c r="AM367" s="954" t="str">
        <f ca="1">IFERROR($K367*44/12*参考2_エネ使用量経年!$K217*(参考2_エネ使用量経年!AM217+参考2_エネ使用量経年!AM304),"")</f>
        <v/>
      </c>
      <c r="AN367" s="954" t="str">
        <f ca="1">IFERROR($H367*44/12*参考2_エネ使用量経年!$H217*(参考2_エネ使用量経年!AN217+参考2_エネ使用量経年!AN304),"")</f>
        <v/>
      </c>
      <c r="AO367" s="954" t="str">
        <f ca="1">IFERROR($I367*44/12*参考2_エネ使用量経年!$I217*(参考2_エネ使用量経年!AO217+参考2_エネ使用量経年!AO304),"")</f>
        <v/>
      </c>
      <c r="AP367" s="954" t="str">
        <f ca="1">IFERROR($J367*44/12*参考2_エネ使用量経年!$J217*(参考2_エネ使用量経年!AP217+参考2_エネ使用量経年!AP304),"")</f>
        <v/>
      </c>
      <c r="AQ367" s="954" t="str">
        <f ca="1">IFERROR($K367*44/12*参考2_エネ使用量経年!$K217*(参考2_エネ使用量経年!AQ217+参考2_エネ使用量経年!AQ304),"")</f>
        <v/>
      </c>
      <c r="AR367" s="954" t="str">
        <f ca="1">IFERROR($H367*44/12*参考2_エネ使用量経年!$H217*(参考2_エネ使用量経年!AR217+参考2_エネ使用量経年!AR304),"")</f>
        <v/>
      </c>
      <c r="AS367" s="954" t="str">
        <f ca="1">IFERROR($I367*44/12*参考2_エネ使用量経年!$I217*(参考2_エネ使用量経年!AS217+参考2_エネ使用量経年!AS304),"")</f>
        <v/>
      </c>
      <c r="AT367" s="954" t="str">
        <f ca="1">IFERROR($J367*44/12*参考2_エネ使用量経年!$J217*(参考2_エネ使用量経年!AT217+参考2_エネ使用量経年!AT304),"")</f>
        <v/>
      </c>
      <c r="AU367" s="954" t="str">
        <f ca="1">IFERROR($K367*44/12*参考2_エネ使用量経年!$K217*(参考2_エネ使用量経年!AU217+参考2_エネ使用量経年!AU304),"")</f>
        <v/>
      </c>
      <c r="AV367" s="954" t="str">
        <f ca="1">IFERROR($H367*44/12*参考2_エネ使用量経年!$H217*(参考2_エネ使用量経年!AV217+参考2_エネ使用量経年!AV304),"")</f>
        <v/>
      </c>
      <c r="AW367" s="954" t="str">
        <f ca="1">IFERROR($I367*44/12*参考2_エネ使用量経年!$I217*(参考2_エネ使用量経年!AW217+参考2_エネ使用量経年!AW304),"")</f>
        <v/>
      </c>
      <c r="AX367" s="954" t="str">
        <f ca="1">IFERROR($J367*44/12*参考2_エネ使用量経年!$J217*(参考2_エネ使用量経年!AX217+参考2_エネ使用量経年!AX304),"")</f>
        <v/>
      </c>
      <c r="AY367" s="954" t="str">
        <f ca="1">IFERROR($K367*44/12*参考2_エネ使用量経年!$K217*(参考2_エネ使用量経年!AY217+参考2_エネ使用量経年!AY304),"")</f>
        <v/>
      </c>
      <c r="AZ367" s="954" t="str">
        <f ca="1">IFERROR($H367*44/12*参考2_エネ使用量経年!$H217*(参考2_エネ使用量経年!AZ217+参考2_エネ使用量経年!AZ304),"")</f>
        <v/>
      </c>
      <c r="BA367" s="954" t="str">
        <f ca="1">IFERROR($I367*44/12*参考2_エネ使用量経年!$I217*(参考2_エネ使用量経年!BA217+参考2_エネ使用量経年!BA304),"")</f>
        <v/>
      </c>
      <c r="BB367" s="954" t="str">
        <f ca="1">IFERROR($J367*44/12*参考2_エネ使用量経年!$J217*(参考2_エネ使用量経年!BB217+参考2_エネ使用量経年!BB304),"")</f>
        <v/>
      </c>
      <c r="BC367" s="954" t="str">
        <f ca="1">IFERROR($K367*44/12*参考2_エネ使用量経年!$K217*(参考2_エネ使用量経年!BC217+参考2_エネ使用量経年!BC304),"")</f>
        <v/>
      </c>
      <c r="BD367" s="954" t="str">
        <f ca="1">IFERROR($H367*44/12*参考2_エネ使用量経年!$H217*(参考2_エネ使用量経年!BD217+参考2_エネ使用量経年!BD304),"")</f>
        <v/>
      </c>
      <c r="BE367" s="954" t="str">
        <f ca="1">IFERROR($I367*44/12*参考2_エネ使用量経年!$I217*(参考2_エネ使用量経年!BE217+参考2_エネ使用量経年!BE304),"")</f>
        <v/>
      </c>
      <c r="BF367" s="954" t="str">
        <f ca="1">IFERROR($J367*44/12*参考2_エネ使用量経年!$J217*(参考2_エネ使用量経年!BF217+参考2_エネ使用量経年!BF304),"")</f>
        <v/>
      </c>
      <c r="BG367" s="954" t="str">
        <f ca="1">IFERROR($K367*44/12*参考2_エネ使用量経年!$K217*(参考2_エネ使用量経年!BG217+参考2_エネ使用量経年!BG304),"")</f>
        <v/>
      </c>
      <c r="BH367" s="954" t="str">
        <f ca="1">IFERROR($H367*44/12*参考2_エネ使用量経年!$H217*(参考2_エネ使用量経年!BH217+参考2_エネ使用量経年!BH304),"")</f>
        <v/>
      </c>
      <c r="BI367" s="954" t="str">
        <f ca="1">IFERROR($I367*44/12*参考2_エネ使用量経年!$I217*(参考2_エネ使用量経年!BI217+参考2_エネ使用量経年!BI304),"")</f>
        <v/>
      </c>
      <c r="BJ367" s="954" t="str">
        <f ca="1">IFERROR($J367*44/12*参考2_エネ使用量経年!$J217*(参考2_エネ使用量経年!BJ217+参考2_エネ使用量経年!BJ304),"")</f>
        <v/>
      </c>
      <c r="BK367" s="954" t="str">
        <f ca="1">IFERROR($K367*44/12*参考2_エネ使用量経年!$K217*(参考2_エネ使用量経年!BK217+参考2_エネ使用量経年!BK304),"")</f>
        <v/>
      </c>
      <c r="BL367" s="954" t="str">
        <f ca="1">IFERROR($H367*44/12*参考2_エネ使用量経年!$H217*(参考2_エネ使用量経年!BL217+参考2_エネ使用量経年!BL304),"")</f>
        <v/>
      </c>
      <c r="BM367" s="954" t="str">
        <f ca="1">IFERROR($I367*44/12*参考2_エネ使用量経年!$I217*(参考2_エネ使用量経年!BM217+参考2_エネ使用量経年!BM304),"")</f>
        <v/>
      </c>
      <c r="BN367" s="954" t="str">
        <f ca="1">IFERROR($J367*44/12*参考2_エネ使用量経年!$J217*(参考2_エネ使用量経年!BN217+参考2_エネ使用量経年!BN304),"")</f>
        <v/>
      </c>
      <c r="BO367" s="954" t="str">
        <f ca="1">IFERROR($K367*44/12*参考2_エネ使用量経年!$K217*(参考2_エネ使用量経年!BO217+参考2_エネ使用量経年!BO304),"")</f>
        <v/>
      </c>
    </row>
    <row r="368" spans="1:68" ht="20.100000000000001" customHeight="1">
      <c r="A368" s="952">
        <v>55</v>
      </c>
      <c r="B368" s="1870"/>
      <c r="C368" s="1872"/>
      <c r="D368" s="824" t="s">
        <v>4419</v>
      </c>
      <c r="E368" s="831" t="str">
        <f ca="1">E55</f>
        <v/>
      </c>
      <c r="F368" s="833"/>
      <c r="G368" s="891" t="s">
        <v>4685</v>
      </c>
      <c r="H368" s="953">
        <f t="shared" ca="1" si="110"/>
        <v>0</v>
      </c>
      <c r="I368" s="953">
        <f t="shared" ca="1" si="111"/>
        <v>0</v>
      </c>
      <c r="J368" s="953">
        <f t="shared" ca="1" si="112"/>
        <v>0</v>
      </c>
      <c r="K368" s="953">
        <f t="shared" ca="1" si="113"/>
        <v>0</v>
      </c>
      <c r="L368" s="954">
        <f ca="1">IFERROR($H368*44/12*参考2_エネ使用量経年!$H218*(参考2_エネ使用量経年!L218+参考2_エネ使用量経年!L305),"")</f>
        <v>0</v>
      </c>
      <c r="M368" s="954">
        <f ca="1">IFERROR($I368*44/12*参考2_エネ使用量経年!$I218*(参考2_エネ使用量経年!M218+参考2_エネ使用量経年!M305),"")</f>
        <v>0</v>
      </c>
      <c r="N368" s="954">
        <f ca="1">IFERROR($J368*44/12*参考2_エネ使用量経年!$J218*(参考2_エネ使用量経年!N218+参考2_エネ使用量経年!N305),"")</f>
        <v>0</v>
      </c>
      <c r="O368" s="954">
        <f ca="1">IFERROR($K368*44/12*参考2_エネ使用量経年!$K218*(参考2_エネ使用量経年!O218+参考2_エネ使用量経年!O305),"")</f>
        <v>0</v>
      </c>
      <c r="P368" s="954">
        <f ca="1">IFERROR($H368*44/12*参考2_エネ使用量経年!$H218*(参考2_エネ使用量経年!P218+参考2_エネ使用量経年!P305),"")</f>
        <v>0</v>
      </c>
      <c r="Q368" s="954">
        <f ca="1">IFERROR($I368*44/12*参考2_エネ使用量経年!$I218*(参考2_エネ使用量経年!Q218+参考2_エネ使用量経年!Q305),"")</f>
        <v>0</v>
      </c>
      <c r="R368" s="954">
        <f ca="1">IFERROR($J368*44/12*参考2_エネ使用量経年!$J218*(参考2_エネ使用量経年!R218+参考2_エネ使用量経年!R305),"")</f>
        <v>0</v>
      </c>
      <c r="S368" s="954">
        <f ca="1">IFERROR($K368*44/12*参考2_エネ使用量経年!$K218*(参考2_エネ使用量経年!S218+参考2_エネ使用量経年!S305),"")</f>
        <v>0</v>
      </c>
      <c r="T368" s="954">
        <f ca="1">IFERROR($H368*44/12*参考2_エネ使用量経年!$H218*(参考2_エネ使用量経年!T218+参考2_エネ使用量経年!T305),"")</f>
        <v>0</v>
      </c>
      <c r="U368" s="954">
        <f ca="1">IFERROR($I368*44/12*参考2_エネ使用量経年!$I218*(参考2_エネ使用量経年!U218+参考2_エネ使用量経年!U305),"")</f>
        <v>0</v>
      </c>
      <c r="V368" s="954">
        <f ca="1">IFERROR($J368*44/12*参考2_エネ使用量経年!$J218*(参考2_エネ使用量経年!V218+参考2_エネ使用量経年!V305),"")</f>
        <v>0</v>
      </c>
      <c r="W368" s="954">
        <f ca="1">IFERROR($K368*44/12*参考2_エネ使用量経年!$K218*(参考2_エネ使用量経年!W218+参考2_エネ使用量経年!W305),"")</f>
        <v>0</v>
      </c>
      <c r="X368" s="954">
        <f ca="1">IFERROR($H368*44/12*参考2_エネ使用量経年!$H218*(参考2_エネ使用量経年!X218+参考2_エネ使用量経年!X305),"")</f>
        <v>0</v>
      </c>
      <c r="Y368" s="954">
        <f ca="1">IFERROR($I368*44/12*参考2_エネ使用量経年!$I218*(参考2_エネ使用量経年!Y218+参考2_エネ使用量経年!Y305),"")</f>
        <v>0</v>
      </c>
      <c r="Z368" s="954">
        <f ca="1">IFERROR($J368*44/12*参考2_エネ使用量経年!$J218*(参考2_エネ使用量経年!Z218+参考2_エネ使用量経年!Z305),"")</f>
        <v>0</v>
      </c>
      <c r="AA368" s="954">
        <f ca="1">IFERROR($K368*44/12*参考2_エネ使用量経年!$K218*(参考2_エネ使用量経年!AA218+参考2_エネ使用量経年!AA305),"")</f>
        <v>0</v>
      </c>
      <c r="AB368" s="954" t="str">
        <f ca="1">IFERROR($H368*44/12*参考2_エネ使用量経年!$H218*(参考2_エネ使用量経年!AB218+参考2_エネ使用量経年!AB305),"")</f>
        <v/>
      </c>
      <c r="AC368" s="954" t="str">
        <f ca="1">IFERROR($I368*44/12*参考2_エネ使用量経年!$I218*(参考2_エネ使用量経年!AC218+参考2_エネ使用量経年!AC305),"")</f>
        <v/>
      </c>
      <c r="AD368" s="954" t="str">
        <f ca="1">IFERROR($J368*44/12*参考2_エネ使用量経年!$J218*(参考2_エネ使用量経年!AD218+参考2_エネ使用量経年!AD305),"")</f>
        <v/>
      </c>
      <c r="AE368" s="954" t="str">
        <f ca="1">IFERROR($K368*44/12*参考2_エネ使用量経年!$K218*(参考2_エネ使用量経年!AE218+参考2_エネ使用量経年!AE305),"")</f>
        <v/>
      </c>
      <c r="AF368" s="954" t="str">
        <f ca="1">IFERROR($H368*44/12*参考2_エネ使用量経年!$H218*(参考2_エネ使用量経年!AF218+参考2_エネ使用量経年!AF305),"")</f>
        <v/>
      </c>
      <c r="AG368" s="954" t="str">
        <f ca="1">IFERROR($I368*44/12*参考2_エネ使用量経年!$I218*(参考2_エネ使用量経年!AG218+参考2_エネ使用量経年!AG305),"")</f>
        <v/>
      </c>
      <c r="AH368" s="954" t="str">
        <f ca="1">IFERROR($J368*44/12*参考2_エネ使用量経年!$J218*(参考2_エネ使用量経年!AH218+参考2_エネ使用量経年!AH305),"")</f>
        <v/>
      </c>
      <c r="AI368" s="954" t="str">
        <f ca="1">IFERROR($K368*44/12*参考2_エネ使用量経年!$K218*(参考2_エネ使用量経年!AI218+参考2_エネ使用量経年!AI305),"")</f>
        <v/>
      </c>
      <c r="AJ368" s="954" t="str">
        <f ca="1">IFERROR($H368*44/12*参考2_エネ使用量経年!$H218*(参考2_エネ使用量経年!AJ218+参考2_エネ使用量経年!AJ305),"")</f>
        <v/>
      </c>
      <c r="AK368" s="954" t="str">
        <f ca="1">IFERROR($I368*44/12*参考2_エネ使用量経年!$I218*(参考2_エネ使用量経年!AK218+参考2_エネ使用量経年!AK305),"")</f>
        <v/>
      </c>
      <c r="AL368" s="954" t="str">
        <f ca="1">IFERROR($J368*44/12*参考2_エネ使用量経年!$J218*(参考2_エネ使用量経年!AL218+参考2_エネ使用量経年!AL305),"")</f>
        <v/>
      </c>
      <c r="AM368" s="954" t="str">
        <f ca="1">IFERROR($K368*44/12*参考2_エネ使用量経年!$K218*(参考2_エネ使用量経年!AM218+参考2_エネ使用量経年!AM305),"")</f>
        <v/>
      </c>
      <c r="AN368" s="954" t="str">
        <f ca="1">IFERROR($H368*44/12*参考2_エネ使用量経年!$H218*(参考2_エネ使用量経年!AN218+参考2_エネ使用量経年!AN305),"")</f>
        <v/>
      </c>
      <c r="AO368" s="954" t="str">
        <f ca="1">IFERROR($I368*44/12*参考2_エネ使用量経年!$I218*(参考2_エネ使用量経年!AO218+参考2_エネ使用量経年!AO305),"")</f>
        <v/>
      </c>
      <c r="AP368" s="954" t="str">
        <f ca="1">IFERROR($J368*44/12*参考2_エネ使用量経年!$J218*(参考2_エネ使用量経年!AP218+参考2_エネ使用量経年!AP305),"")</f>
        <v/>
      </c>
      <c r="AQ368" s="954" t="str">
        <f ca="1">IFERROR($K368*44/12*参考2_エネ使用量経年!$K218*(参考2_エネ使用量経年!AQ218+参考2_エネ使用量経年!AQ305),"")</f>
        <v/>
      </c>
      <c r="AR368" s="954" t="str">
        <f ca="1">IFERROR($H368*44/12*参考2_エネ使用量経年!$H218*(参考2_エネ使用量経年!AR218+参考2_エネ使用量経年!AR305),"")</f>
        <v/>
      </c>
      <c r="AS368" s="954" t="str">
        <f ca="1">IFERROR($I368*44/12*参考2_エネ使用量経年!$I218*(参考2_エネ使用量経年!AS218+参考2_エネ使用量経年!AS305),"")</f>
        <v/>
      </c>
      <c r="AT368" s="954" t="str">
        <f ca="1">IFERROR($J368*44/12*参考2_エネ使用量経年!$J218*(参考2_エネ使用量経年!AT218+参考2_エネ使用量経年!AT305),"")</f>
        <v/>
      </c>
      <c r="AU368" s="954" t="str">
        <f ca="1">IFERROR($K368*44/12*参考2_エネ使用量経年!$K218*(参考2_エネ使用量経年!AU218+参考2_エネ使用量経年!AU305),"")</f>
        <v/>
      </c>
      <c r="AV368" s="954" t="str">
        <f ca="1">IFERROR($H368*44/12*参考2_エネ使用量経年!$H218*(参考2_エネ使用量経年!AV218+参考2_エネ使用量経年!AV305),"")</f>
        <v/>
      </c>
      <c r="AW368" s="954" t="str">
        <f ca="1">IFERROR($I368*44/12*参考2_エネ使用量経年!$I218*(参考2_エネ使用量経年!AW218+参考2_エネ使用量経年!AW305),"")</f>
        <v/>
      </c>
      <c r="AX368" s="954" t="str">
        <f ca="1">IFERROR($J368*44/12*参考2_エネ使用量経年!$J218*(参考2_エネ使用量経年!AX218+参考2_エネ使用量経年!AX305),"")</f>
        <v/>
      </c>
      <c r="AY368" s="954" t="str">
        <f ca="1">IFERROR($K368*44/12*参考2_エネ使用量経年!$K218*(参考2_エネ使用量経年!AY218+参考2_エネ使用量経年!AY305),"")</f>
        <v/>
      </c>
      <c r="AZ368" s="954" t="str">
        <f ca="1">IFERROR($H368*44/12*参考2_エネ使用量経年!$H218*(参考2_エネ使用量経年!AZ218+参考2_エネ使用量経年!AZ305),"")</f>
        <v/>
      </c>
      <c r="BA368" s="954" t="str">
        <f ca="1">IFERROR($I368*44/12*参考2_エネ使用量経年!$I218*(参考2_エネ使用量経年!BA218+参考2_エネ使用量経年!BA305),"")</f>
        <v/>
      </c>
      <c r="BB368" s="954" t="str">
        <f ca="1">IFERROR($J368*44/12*参考2_エネ使用量経年!$J218*(参考2_エネ使用量経年!BB218+参考2_エネ使用量経年!BB305),"")</f>
        <v/>
      </c>
      <c r="BC368" s="954" t="str">
        <f ca="1">IFERROR($K368*44/12*参考2_エネ使用量経年!$K218*(参考2_エネ使用量経年!BC218+参考2_エネ使用量経年!BC305),"")</f>
        <v/>
      </c>
      <c r="BD368" s="954" t="str">
        <f ca="1">IFERROR($H368*44/12*参考2_エネ使用量経年!$H218*(参考2_エネ使用量経年!BD218+参考2_エネ使用量経年!BD305),"")</f>
        <v/>
      </c>
      <c r="BE368" s="954" t="str">
        <f ca="1">IFERROR($I368*44/12*参考2_エネ使用量経年!$I218*(参考2_エネ使用量経年!BE218+参考2_エネ使用量経年!BE305),"")</f>
        <v/>
      </c>
      <c r="BF368" s="954" t="str">
        <f ca="1">IFERROR($J368*44/12*参考2_エネ使用量経年!$J218*(参考2_エネ使用量経年!BF218+参考2_エネ使用量経年!BF305),"")</f>
        <v/>
      </c>
      <c r="BG368" s="954" t="str">
        <f ca="1">IFERROR($K368*44/12*参考2_エネ使用量経年!$K218*(参考2_エネ使用量経年!BG218+参考2_エネ使用量経年!BG305),"")</f>
        <v/>
      </c>
      <c r="BH368" s="954" t="str">
        <f ca="1">IFERROR($H368*44/12*参考2_エネ使用量経年!$H218*(参考2_エネ使用量経年!BH218+参考2_エネ使用量経年!BH305),"")</f>
        <v/>
      </c>
      <c r="BI368" s="954" t="str">
        <f ca="1">IFERROR($I368*44/12*参考2_エネ使用量経年!$I218*(参考2_エネ使用量経年!BI218+参考2_エネ使用量経年!BI305),"")</f>
        <v/>
      </c>
      <c r="BJ368" s="954" t="str">
        <f ca="1">IFERROR($J368*44/12*参考2_エネ使用量経年!$J218*(参考2_エネ使用量経年!BJ218+参考2_エネ使用量経年!BJ305),"")</f>
        <v/>
      </c>
      <c r="BK368" s="954" t="str">
        <f ca="1">IFERROR($K368*44/12*参考2_エネ使用量経年!$K218*(参考2_エネ使用量経年!BK218+参考2_エネ使用量経年!BK305),"")</f>
        <v/>
      </c>
      <c r="BL368" s="954" t="str">
        <f ca="1">IFERROR($H368*44/12*参考2_エネ使用量経年!$H218*(参考2_エネ使用量経年!BL218+参考2_エネ使用量経年!BL305),"")</f>
        <v/>
      </c>
      <c r="BM368" s="954" t="str">
        <f ca="1">IFERROR($I368*44/12*参考2_エネ使用量経年!$I218*(参考2_エネ使用量経年!BM218+参考2_エネ使用量経年!BM305),"")</f>
        <v/>
      </c>
      <c r="BN368" s="954" t="str">
        <f ca="1">IFERROR($J368*44/12*参考2_エネ使用量経年!$J218*(参考2_エネ使用量経年!BN218+参考2_エネ使用量経年!BN305),"")</f>
        <v/>
      </c>
      <c r="BO368" s="954" t="str">
        <f ca="1">IFERROR($K368*44/12*参考2_エネ使用量経年!$K218*(参考2_エネ使用量経年!BO218+参考2_エネ使用量経年!BO305),"")</f>
        <v/>
      </c>
      <c r="BP368" s="841"/>
    </row>
    <row r="369" spans="1:68" ht="20.100000000000001" customHeight="1">
      <c r="A369" s="786">
        <v>56</v>
      </c>
      <c r="B369" s="1869" t="s">
        <v>4420</v>
      </c>
      <c r="C369" s="1872" t="s">
        <v>4421</v>
      </c>
      <c r="D369" s="824" t="s">
        <v>4422</v>
      </c>
      <c r="E369" s="829"/>
      <c r="F369" s="849"/>
      <c r="G369" s="891" t="s">
        <v>4685</v>
      </c>
      <c r="H369" s="953">
        <f t="shared" ca="1" si="110"/>
        <v>6.54E-2</v>
      </c>
      <c r="I369" s="953">
        <f t="shared" ca="1" si="111"/>
        <v>6.54E-2</v>
      </c>
      <c r="J369" s="953">
        <f t="shared" ca="1" si="112"/>
        <v>6.54E-2</v>
      </c>
      <c r="K369" s="953">
        <f t="shared" ca="1" si="113"/>
        <v>6.54E-2</v>
      </c>
      <c r="L369" s="954">
        <f ca="1">IFERROR($H369*(参考2_エネ使用量経年!L219+参考2_エネ使用量経年!L306),"")</f>
        <v>0</v>
      </c>
      <c r="M369" s="954">
        <f ca="1">IFERROR($I369*(参考2_エネ使用量経年!M219+参考2_エネ使用量経年!M306),"")</f>
        <v>0</v>
      </c>
      <c r="N369" s="954">
        <f ca="1">IFERROR($J369*(参考2_エネ使用量経年!N219+参考2_エネ使用量経年!N306),"")</f>
        <v>0</v>
      </c>
      <c r="O369" s="954">
        <f ca="1">IFERROR($K369*(参考2_エネ使用量経年!O219+参考2_エネ使用量経年!O306),"")</f>
        <v>0</v>
      </c>
      <c r="P369" s="954">
        <f ca="1">IFERROR($H369*(参考2_エネ使用量経年!P219+参考2_エネ使用量経年!P306),"")</f>
        <v>0</v>
      </c>
      <c r="Q369" s="954">
        <f ca="1">IFERROR($I369*(参考2_エネ使用量経年!Q219+参考2_エネ使用量経年!Q306),"")</f>
        <v>0</v>
      </c>
      <c r="R369" s="954">
        <f ca="1">IFERROR($J369*(参考2_エネ使用量経年!R219+参考2_エネ使用量経年!R306),"")</f>
        <v>0</v>
      </c>
      <c r="S369" s="954">
        <f ca="1">IFERROR($K369*(参考2_エネ使用量経年!S219+参考2_エネ使用量経年!S306),"")</f>
        <v>0</v>
      </c>
      <c r="T369" s="954">
        <f ca="1">IFERROR($H369*(参考2_エネ使用量経年!T219+参考2_エネ使用量経年!T306),"")</f>
        <v>0</v>
      </c>
      <c r="U369" s="954">
        <f ca="1">IFERROR($I369*(参考2_エネ使用量経年!U219+参考2_エネ使用量経年!U306),"")</f>
        <v>0</v>
      </c>
      <c r="V369" s="954">
        <f ca="1">IFERROR($J369*(参考2_エネ使用量経年!V219+参考2_エネ使用量経年!V306),"")</f>
        <v>0</v>
      </c>
      <c r="W369" s="954">
        <f ca="1">IFERROR($K369*(参考2_エネ使用量経年!W219+参考2_エネ使用量経年!W306),"")</f>
        <v>0</v>
      </c>
      <c r="X369" s="954">
        <f ca="1">IFERROR($H369*(参考2_エネ使用量経年!X219+参考2_エネ使用量経年!X306),"")</f>
        <v>0</v>
      </c>
      <c r="Y369" s="954">
        <f ca="1">IFERROR($I369*(参考2_エネ使用量経年!Y219+参考2_エネ使用量経年!Y306),"")</f>
        <v>0</v>
      </c>
      <c r="Z369" s="954">
        <f ca="1">IFERROR($J369*(参考2_エネ使用量経年!Z219+参考2_エネ使用量経年!Z306),"")</f>
        <v>0</v>
      </c>
      <c r="AA369" s="954">
        <f ca="1">IFERROR($K369*(参考2_エネ使用量経年!AA219+参考2_エネ使用量経年!AA306),"")</f>
        <v>0</v>
      </c>
      <c r="AB369" s="954" t="str">
        <f ca="1">IFERROR($H369*(参考2_エネ使用量経年!AB219+参考2_エネ使用量経年!AB306),"")</f>
        <v/>
      </c>
      <c r="AC369" s="954" t="str">
        <f ca="1">IFERROR($I369*(参考2_エネ使用量経年!AC219+参考2_エネ使用量経年!AC306),"")</f>
        <v/>
      </c>
      <c r="AD369" s="954" t="str">
        <f ca="1">IFERROR($J369*(参考2_エネ使用量経年!AD219+参考2_エネ使用量経年!AD306),"")</f>
        <v/>
      </c>
      <c r="AE369" s="954" t="str">
        <f ca="1">IFERROR($K369*(参考2_エネ使用量経年!AE219+参考2_エネ使用量経年!AE306),"")</f>
        <v/>
      </c>
      <c r="AF369" s="954" t="str">
        <f ca="1">IFERROR($H369*(参考2_エネ使用量経年!AF219+参考2_エネ使用量経年!AF306),"")</f>
        <v/>
      </c>
      <c r="AG369" s="954" t="str">
        <f ca="1">IFERROR($I369*(参考2_エネ使用量経年!AG219+参考2_エネ使用量経年!AG306),"")</f>
        <v/>
      </c>
      <c r="AH369" s="954" t="str">
        <f ca="1">IFERROR($J369*(参考2_エネ使用量経年!AH219+参考2_エネ使用量経年!AH306),"")</f>
        <v/>
      </c>
      <c r="AI369" s="954" t="str">
        <f ca="1">IFERROR($K369*(参考2_エネ使用量経年!AI219+参考2_エネ使用量経年!AI306),"")</f>
        <v/>
      </c>
      <c r="AJ369" s="954" t="str">
        <f ca="1">IFERROR($H369*(参考2_エネ使用量経年!AJ219+参考2_エネ使用量経年!AJ306),"")</f>
        <v/>
      </c>
      <c r="AK369" s="954" t="str">
        <f ca="1">IFERROR($I369*(参考2_エネ使用量経年!AK219+参考2_エネ使用量経年!AK306),"")</f>
        <v/>
      </c>
      <c r="AL369" s="954" t="str">
        <f ca="1">IFERROR($J369*(参考2_エネ使用量経年!AL219+参考2_エネ使用量経年!AL306),"")</f>
        <v/>
      </c>
      <c r="AM369" s="954" t="str">
        <f ca="1">IFERROR($K369*(参考2_エネ使用量経年!AM219+参考2_エネ使用量経年!AM306),"")</f>
        <v/>
      </c>
      <c r="AN369" s="954" t="str">
        <f ca="1">IFERROR($H369*(参考2_エネ使用量経年!AN219+参考2_エネ使用量経年!AN306),"")</f>
        <v/>
      </c>
      <c r="AO369" s="954" t="str">
        <f ca="1">IFERROR($I369*(参考2_エネ使用量経年!AO219+参考2_エネ使用量経年!AO306),"")</f>
        <v/>
      </c>
      <c r="AP369" s="954" t="str">
        <f ca="1">IFERROR($J369*(参考2_エネ使用量経年!AP219+参考2_エネ使用量経年!AP306),"")</f>
        <v/>
      </c>
      <c r="AQ369" s="954" t="str">
        <f ca="1">IFERROR($K369*(参考2_エネ使用量経年!AQ219+参考2_エネ使用量経年!AQ306),"")</f>
        <v/>
      </c>
      <c r="AR369" s="954" t="str">
        <f ca="1">IFERROR($H369*(参考2_エネ使用量経年!AR219+参考2_エネ使用量経年!AR306),"")</f>
        <v/>
      </c>
      <c r="AS369" s="954" t="str">
        <f ca="1">IFERROR($I369*(参考2_エネ使用量経年!AS219+参考2_エネ使用量経年!AS306),"")</f>
        <v/>
      </c>
      <c r="AT369" s="954" t="str">
        <f ca="1">IFERROR($J369*(参考2_エネ使用量経年!AT219+参考2_エネ使用量経年!AT306),"")</f>
        <v/>
      </c>
      <c r="AU369" s="954" t="str">
        <f ca="1">IFERROR($K369*(参考2_エネ使用量経年!AU219+参考2_エネ使用量経年!AU306),"")</f>
        <v/>
      </c>
      <c r="AV369" s="954" t="str">
        <f ca="1">IFERROR($H369*(参考2_エネ使用量経年!AV219+参考2_エネ使用量経年!AV306),"")</f>
        <v/>
      </c>
      <c r="AW369" s="954" t="str">
        <f ca="1">IFERROR($I369*(参考2_エネ使用量経年!AW219+参考2_エネ使用量経年!AW306),"")</f>
        <v/>
      </c>
      <c r="AX369" s="954" t="str">
        <f ca="1">IFERROR($J369*(参考2_エネ使用量経年!AX219+参考2_エネ使用量経年!AX306),"")</f>
        <v/>
      </c>
      <c r="AY369" s="954" t="str">
        <f ca="1">IFERROR($K369*(参考2_エネ使用量経年!AY219+参考2_エネ使用量経年!AY306),"")</f>
        <v/>
      </c>
      <c r="AZ369" s="954" t="str">
        <f ca="1">IFERROR($H369*(参考2_エネ使用量経年!AZ219+参考2_エネ使用量経年!AZ306),"")</f>
        <v/>
      </c>
      <c r="BA369" s="954" t="str">
        <f ca="1">IFERROR($I369*(参考2_エネ使用量経年!BA219+参考2_エネ使用量経年!BA306),"")</f>
        <v/>
      </c>
      <c r="BB369" s="954" t="str">
        <f ca="1">IFERROR($J369*(参考2_エネ使用量経年!BB219+参考2_エネ使用量経年!BB306),"")</f>
        <v/>
      </c>
      <c r="BC369" s="954" t="str">
        <f ca="1">IFERROR($K369*(参考2_エネ使用量経年!BC219+参考2_エネ使用量経年!BC306),"")</f>
        <v/>
      </c>
      <c r="BD369" s="954" t="str">
        <f ca="1">IFERROR($H369*(参考2_エネ使用量経年!BD219+参考2_エネ使用量経年!BD306),"")</f>
        <v/>
      </c>
      <c r="BE369" s="954" t="str">
        <f ca="1">IFERROR($I369*(参考2_エネ使用量経年!BE219+参考2_エネ使用量経年!BE306),"")</f>
        <v/>
      </c>
      <c r="BF369" s="954" t="str">
        <f ca="1">IFERROR($J369*(参考2_エネ使用量経年!BF219+参考2_エネ使用量経年!BF306),"")</f>
        <v/>
      </c>
      <c r="BG369" s="954" t="str">
        <f ca="1">IFERROR($K369*(参考2_エネ使用量経年!BG219+参考2_エネ使用量経年!BG306),"")</f>
        <v/>
      </c>
      <c r="BH369" s="954" t="str">
        <f ca="1">IFERROR($H369*(参考2_エネ使用量経年!BH219+参考2_エネ使用量経年!BH306),"")</f>
        <v/>
      </c>
      <c r="BI369" s="954" t="str">
        <f ca="1">IFERROR($I369*(参考2_エネ使用量経年!BI219+参考2_エネ使用量経年!BI306),"")</f>
        <v/>
      </c>
      <c r="BJ369" s="954" t="str">
        <f ca="1">IFERROR($J369*(参考2_エネ使用量経年!BJ219+参考2_エネ使用量経年!BJ306),"")</f>
        <v/>
      </c>
      <c r="BK369" s="954" t="str">
        <f ca="1">IFERROR($K369*(参考2_エネ使用量経年!BK219+参考2_エネ使用量経年!BK306),"")</f>
        <v/>
      </c>
      <c r="BL369" s="954" t="str">
        <f ca="1">IFERROR($H369*(参考2_エネ使用量経年!BL219+参考2_エネ使用量経年!BL306),"")</f>
        <v/>
      </c>
      <c r="BM369" s="954" t="str">
        <f ca="1">IFERROR($I369*(参考2_エネ使用量経年!BM219+参考2_エネ使用量経年!BM306),"")</f>
        <v/>
      </c>
      <c r="BN369" s="954" t="str">
        <f ca="1">IFERROR($J369*(参考2_エネ使用量経年!BN219+参考2_エネ使用量経年!BN306),"")</f>
        <v/>
      </c>
      <c r="BO369" s="954" t="str">
        <f ca="1">IFERROR($K369*(参考2_エネ使用量経年!BO219+参考2_エネ使用量経年!BO306),"")</f>
        <v/>
      </c>
      <c r="BP369" s="841"/>
    </row>
    <row r="370" spans="1:68" ht="20.100000000000001" customHeight="1">
      <c r="A370" s="952">
        <v>9</v>
      </c>
      <c r="B370" s="1870"/>
      <c r="C370" s="1872"/>
      <c r="D370" s="824" t="s">
        <v>4423</v>
      </c>
      <c r="E370" s="829"/>
      <c r="F370" s="849"/>
      <c r="G370" s="891" t="s">
        <v>4685</v>
      </c>
      <c r="H370" s="1034"/>
      <c r="I370" s="1034"/>
      <c r="J370" s="1034"/>
      <c r="K370" s="1034"/>
      <c r="L370" s="954">
        <f ca="1">SUM(SUMIFS(OFFSET(A1_集計2024,$A370,10,1,200),OFFSET(貼付け_2024実績,4,9,1,200),{"横浜*","川崎*","県域*","エネルギー管理指定工場等*"}))+SUM(SUMIFS(OFFSET(A1_集計2024,$A370,11,1,200),OFFSET(貼付け_2024実績,4,9,1,200),{"横浜*","川崎*","県域*","エネルギー管理指定工場等*"}))</f>
        <v>0</v>
      </c>
      <c r="M370" s="954">
        <f ca="1">SUM(SUMIFS(OFFSET(A1_集計2025,$A370,10,1,200),OFFSET(貼付け_2025実績,4,9,1,200),{"横浜*","川崎*","県域*","エネルギー管理指定工場等*"}))+SUM(SUMIFS(OFFSET(A1_集計2025,$A370,11,1,200),OFFSET(貼付け_2025実績,4,9,1,200),{"横浜*","川崎*","県域*","エネルギー管理指定工場等*"}))</f>
        <v>0</v>
      </c>
      <c r="N370" s="954">
        <f ca="1">SUM(SUMIFS(OFFSET(A1_集計2026,$A370,10,1,200),OFFSET(貼付け_2026実績,4,9,1,200),{"横浜*","川崎*","県域*","エネルギー管理指定工場等*"}))+SUM(SUMIFS(OFFSET(A1_集計2026,$A370,11,1,200),OFFSET(貼付け_2026実績,4,9,1,200),{"横浜*","川崎*","県域*","エネルギー管理指定工場等*"}))</f>
        <v>0</v>
      </c>
      <c r="O370" s="954">
        <f ca="1">SUM(SUMIFS(OFFSET(A1_集計2027,$A370,10,1,200),OFFSET(貼付け_2027実績,4,9,1,200),{"横浜*","川崎*","県域*","エネルギー管理指定工場等*"}))+SUM(SUMIFS(OFFSET(A1_集計2027,$A370,11,1,200),OFFSET(貼付け_2027実績,4,9,1,200),{"横浜*","川崎*","県域*","エネルギー管理指定工場等*"}))</f>
        <v>0</v>
      </c>
      <c r="P370" s="954">
        <f ca="1">SUM(SUMIFS(OFFSET(A1_集計2024,$A370,10,1,200),OFFSET(貼付け_2024実績,4,9,1,200),{"横浜*","川崎*"}))+SUM(SUMIFS(OFFSET(A1_集計2024,$A370,11,1,200),OFFSET(貼付け_2024実績,4,9,1,200),{"横浜*","川崎*"}))</f>
        <v>0</v>
      </c>
      <c r="Q370" s="954">
        <f ca="1">SUM(SUMIFS(OFFSET(A1_集計2025,$A370,10,1,200),OFFSET(貼付け_2025実績,4,9,1,200),{"横浜*","川崎*"}))+SUM(SUMIFS(OFFSET(A1_集計2025,$A370,11,1,200),OFFSET(貼付け_2025実績,4,9,1,200),{"横浜*","川崎*"}))</f>
        <v>0</v>
      </c>
      <c r="R370" s="954">
        <f ca="1">SUM(SUMIFS(OFFSET(A1_集計2026,$A370,10,1,200),OFFSET(貼付け_2026実績,4,9,1,200),{"横浜*","川崎*"}))+SUM(SUMIFS(OFFSET(A1_集計2026,$A370,11,1,200),OFFSET(貼付け_2026実績,4,9,1,200),{"横浜*","川崎*"}))</f>
        <v>0</v>
      </c>
      <c r="S370" s="954">
        <f ca="1">SUM(SUMIFS(OFFSET(A1_集計2027,$A370,10,1,200),OFFSET(貼付け_2027実績,4,9,1,200),{"横浜*","川崎*"}))+SUM(SUMIFS(OFFSET(A1_集計2027,$A370,11,1,200),OFFSET(貼付け_2027実績,4,9,1,200),{"横浜*","川崎*"}))</f>
        <v>0</v>
      </c>
      <c r="T370" s="954">
        <f ca="1">SUM(SUMIFS(OFFSET(A1_集計2024,$A370,10,1,200),OFFSET(貼付け_2024実績,4,9,1,200),{"県域*","エネルギー管理指定工場等*"}))+SUM(SUMIFS(OFFSET(A1_集計2024,$A370,11,1,200),OFFSET(貼付け_2024実績,4,9,1,200),{"県域*","エネルギー管理指定工場等*"}))</f>
        <v>0</v>
      </c>
      <c r="U370" s="954">
        <f ca="1">SUM(SUMIFS(OFFSET(A1_集計2025,$A370,10,1,200),OFFSET(貼付け_2025実績,4,9,1,200),{"県域*","エネルギー管理指定工場等*"}))+SUM(SUMIFS(OFFSET(A1_集計2025,$A370,11,1,200),OFFSET(貼付け_2025実績,4,9,1,200),{"県域*","エネルギー管理指定工場等*"}))</f>
        <v>0</v>
      </c>
      <c r="V370" s="954">
        <f ca="1">SUM(SUMIFS(OFFSET(A1_集計2026,$A370,10,1,200),OFFSET(貼付け_2026実績,4,9,1,200),{"県域*","エネルギー管理指定工場等*"}))+SUM(SUMIFS(OFFSET(A1_集計2026,$A370,11,1,200),OFFSET(貼付け_2026実績,4,9,1,200),{"県域*","エネルギー管理指定工場等*"}))</f>
        <v>0</v>
      </c>
      <c r="W370" s="954">
        <f ca="1">SUM(SUMIFS(OFFSET(A1_集計2027,$A370,10,1,200),OFFSET(貼付け_2027実績,4,9,1,200),{"県域*","エネルギー管理指定工場等*"}))+SUM(SUMIFS(OFFSET(A1_集計2027,$A370,11,1,200),OFFSET(貼付け_2027実績,4,9,1,200),{"県域*","エネルギー管理指定工場等*"}))</f>
        <v>0</v>
      </c>
      <c r="X370" s="954">
        <f ca="1">SUMIFS(OFFSET(A1_集計2024,$A370,10,1,200),OFFSET(貼付け_2024実績,4,9,1,200),"県域*")+SUMIFS(OFFSET(A1_集計2024,$A370,11,1,200),OFFSET(貼付け_2024実績,4,9,1,200),"県域*")</f>
        <v>0</v>
      </c>
      <c r="Y370" s="954">
        <f ca="1">SUMIFS(OFFSET(A1_集計2025,$A370,10,1,200),OFFSET(貼付け_2025実績,4,9,1,200),"県域*")+SUMIFS(OFFSET(A1_集計2025,$A370,11,1,200),OFFSET(貼付け_2025実績,4,9,1,200),"県域*")</f>
        <v>0</v>
      </c>
      <c r="Z370" s="954">
        <f ca="1">SUMIFS(OFFSET(A1_集計2026,$A370,10,1,200),OFFSET(貼付け_2026実績,4,9,1,200),"県域*")+SUMIFS(OFFSET(A1_集計2026,$A370,11,1,200),OFFSET(貼付け_2026実績,4,9,1,200),"県域*")</f>
        <v>0</v>
      </c>
      <c r="AA370" s="954">
        <f ca="1">SUMIFS(OFFSET(A1_集計2027,$A370,10,1,200),OFFSET(貼付け_2027実績,4,9,1,200),"県域*")+SUMIFS(OFFSET(A1_集計2027,$A370,11,1,200),OFFSET(貼付け_2027実績,4,9,1,200),"県域*")</f>
        <v>0</v>
      </c>
      <c r="AB370" s="954" t="str">
        <f t="shared" ref="AB370:AK372" ca="1" si="115">IFERROR(SUM(OFFSET(A1_集計2024,$A370,AB$1+1,1,2)),"")</f>
        <v/>
      </c>
      <c r="AC370" s="954" t="str">
        <f t="shared" ca="1" si="115"/>
        <v/>
      </c>
      <c r="AD370" s="954" t="str">
        <f t="shared" ca="1" si="115"/>
        <v/>
      </c>
      <c r="AE370" s="954" t="str">
        <f t="shared" ca="1" si="115"/>
        <v/>
      </c>
      <c r="AF370" s="954" t="str">
        <f t="shared" ca="1" si="115"/>
        <v/>
      </c>
      <c r="AG370" s="954" t="str">
        <f t="shared" ca="1" si="115"/>
        <v/>
      </c>
      <c r="AH370" s="954" t="str">
        <f t="shared" ca="1" si="115"/>
        <v/>
      </c>
      <c r="AI370" s="954" t="str">
        <f t="shared" ca="1" si="115"/>
        <v/>
      </c>
      <c r="AJ370" s="954" t="str">
        <f t="shared" ca="1" si="115"/>
        <v/>
      </c>
      <c r="AK370" s="954" t="str">
        <f t="shared" ca="1" si="115"/>
        <v/>
      </c>
      <c r="AL370" s="954" t="str">
        <f t="shared" ref="AL370:AU372" ca="1" si="116">IFERROR(SUM(OFFSET(A1_集計2024,$A370,AL$1+1,1,2)),"")</f>
        <v/>
      </c>
      <c r="AM370" s="954" t="str">
        <f t="shared" ca="1" si="116"/>
        <v/>
      </c>
      <c r="AN370" s="954" t="str">
        <f t="shared" ca="1" si="116"/>
        <v/>
      </c>
      <c r="AO370" s="954" t="str">
        <f t="shared" ca="1" si="116"/>
        <v/>
      </c>
      <c r="AP370" s="954" t="str">
        <f t="shared" ca="1" si="116"/>
        <v/>
      </c>
      <c r="AQ370" s="954" t="str">
        <f t="shared" ca="1" si="116"/>
        <v/>
      </c>
      <c r="AR370" s="954" t="str">
        <f t="shared" ca="1" si="116"/>
        <v/>
      </c>
      <c r="AS370" s="954" t="str">
        <f t="shared" ca="1" si="116"/>
        <v/>
      </c>
      <c r="AT370" s="954" t="str">
        <f t="shared" ca="1" si="116"/>
        <v/>
      </c>
      <c r="AU370" s="954" t="str">
        <f t="shared" ca="1" si="116"/>
        <v/>
      </c>
      <c r="AV370" s="954" t="str">
        <f t="shared" ref="AV370:BE372" ca="1" si="117">IFERROR(SUM(OFFSET(A1_集計2024,$A370,AV$1+1,1,2)),"")</f>
        <v/>
      </c>
      <c r="AW370" s="954" t="str">
        <f t="shared" ca="1" si="117"/>
        <v/>
      </c>
      <c r="AX370" s="954" t="str">
        <f t="shared" ca="1" si="117"/>
        <v/>
      </c>
      <c r="AY370" s="954" t="str">
        <f t="shared" ca="1" si="117"/>
        <v/>
      </c>
      <c r="AZ370" s="954" t="str">
        <f t="shared" ca="1" si="117"/>
        <v/>
      </c>
      <c r="BA370" s="954" t="str">
        <f t="shared" ca="1" si="117"/>
        <v/>
      </c>
      <c r="BB370" s="954" t="str">
        <f t="shared" ca="1" si="117"/>
        <v/>
      </c>
      <c r="BC370" s="954" t="str">
        <f t="shared" ca="1" si="117"/>
        <v/>
      </c>
      <c r="BD370" s="954" t="str">
        <f t="shared" ca="1" si="117"/>
        <v/>
      </c>
      <c r="BE370" s="954" t="str">
        <f t="shared" ca="1" si="117"/>
        <v/>
      </c>
      <c r="BF370" s="954" t="str">
        <f t="shared" ref="BF370:BO372" ca="1" si="118">IFERROR(SUM(OFFSET(A1_集計2024,$A370,BF$1+1,1,2)),"")</f>
        <v/>
      </c>
      <c r="BG370" s="954" t="str">
        <f t="shared" ca="1" si="118"/>
        <v/>
      </c>
      <c r="BH370" s="954" t="str">
        <f t="shared" ca="1" si="118"/>
        <v/>
      </c>
      <c r="BI370" s="954" t="str">
        <f t="shared" ca="1" si="118"/>
        <v/>
      </c>
      <c r="BJ370" s="954" t="str">
        <f t="shared" ca="1" si="118"/>
        <v/>
      </c>
      <c r="BK370" s="954" t="str">
        <f t="shared" ca="1" si="118"/>
        <v/>
      </c>
      <c r="BL370" s="954" t="str">
        <f t="shared" ca="1" si="118"/>
        <v/>
      </c>
      <c r="BM370" s="954" t="str">
        <f t="shared" ca="1" si="118"/>
        <v/>
      </c>
      <c r="BN370" s="954" t="str">
        <f t="shared" ca="1" si="118"/>
        <v/>
      </c>
      <c r="BO370" s="954" t="str">
        <f t="shared" ca="1" si="118"/>
        <v/>
      </c>
      <c r="BP370" s="841"/>
    </row>
    <row r="371" spans="1:68" ht="20.100000000000001" customHeight="1">
      <c r="A371" s="786">
        <v>11</v>
      </c>
      <c r="B371" s="1870"/>
      <c r="C371" s="1872"/>
      <c r="D371" s="824" t="s">
        <v>4424</v>
      </c>
      <c r="E371" s="829"/>
      <c r="F371" s="849"/>
      <c r="G371" s="891" t="s">
        <v>4685</v>
      </c>
      <c r="H371" s="1034"/>
      <c r="I371" s="1034"/>
      <c r="J371" s="1034"/>
      <c r="K371" s="1034"/>
      <c r="L371" s="954">
        <f ca="1">SUM(SUMIFS(OFFSET(A1_集計2024,$A371,10,1,200),OFFSET(貼付け_2024実績,4,9,1,200),{"横浜*","川崎*","県域*","エネルギー管理指定工場等*"}))+SUM(SUMIFS(OFFSET(A1_集計2024,$A371,11,1,200),OFFSET(貼付け_2024実績,4,9,1,200),{"横浜*","川崎*","県域*","エネルギー管理指定工場等*"}))</f>
        <v>0</v>
      </c>
      <c r="M371" s="954">
        <f ca="1">SUM(SUMIFS(OFFSET(A1_集計2025,$A371,10,1,200),OFFSET(貼付け_2025実績,4,9,1,200),{"横浜*","川崎*","県域*","エネルギー管理指定工場等*"}))+SUM(SUMIFS(OFFSET(A1_集計2025,$A371,11,1,200),OFFSET(貼付け_2025実績,4,9,1,200),{"横浜*","川崎*","県域*","エネルギー管理指定工場等*"}))</f>
        <v>0</v>
      </c>
      <c r="N371" s="954">
        <f ca="1">SUM(SUMIFS(OFFSET(A1_集計2026,$A371,10,1,200),OFFSET(貼付け_2026実績,4,9,1,200),{"横浜*","川崎*","県域*","エネルギー管理指定工場等*"}))+SUM(SUMIFS(OFFSET(A1_集計2026,$A371,11,1,200),OFFSET(貼付け_2026実績,4,9,1,200),{"横浜*","川崎*","県域*","エネルギー管理指定工場等*"}))</f>
        <v>0</v>
      </c>
      <c r="O371" s="954">
        <f ca="1">SUM(SUMIFS(OFFSET(A1_集計2027,$A371,10,1,200),OFFSET(貼付け_2027実績,4,9,1,200),{"横浜*","川崎*","県域*","エネルギー管理指定工場等*"}))+SUM(SUMIFS(OFFSET(A1_集計2027,$A371,11,1,200),OFFSET(貼付け_2027実績,4,9,1,200),{"横浜*","川崎*","県域*","エネルギー管理指定工場等*"}))</f>
        <v>0</v>
      </c>
      <c r="P371" s="954">
        <f ca="1">SUM(SUMIFS(OFFSET(A1_集計2024,$A371,10,1,200),OFFSET(貼付け_2024実績,4,9,1,200),{"横浜*","川崎*"}))+SUM(SUMIFS(OFFSET(A1_集計2024,$A371,11,1,200),OFFSET(貼付け_2024実績,4,9,1,200),{"横浜*","川崎*"}))</f>
        <v>0</v>
      </c>
      <c r="Q371" s="954">
        <f ca="1">SUM(SUMIFS(OFFSET(A1_集計2025,$A371,10,1,200),OFFSET(貼付け_2025実績,4,9,1,200),{"横浜*","川崎*"}))+SUM(SUMIFS(OFFSET(A1_集計2025,$A371,11,1,200),OFFSET(貼付け_2025実績,4,9,1,200),{"横浜*","川崎*"}))</f>
        <v>0</v>
      </c>
      <c r="R371" s="954">
        <f ca="1">SUM(SUMIFS(OFFSET(A1_集計2026,$A371,10,1,200),OFFSET(貼付け_2026実績,4,9,1,200),{"横浜*","川崎*"}))+SUM(SUMIFS(OFFSET(A1_集計2026,$A371,11,1,200),OFFSET(貼付け_2026実績,4,9,1,200),{"横浜*","川崎*"}))</f>
        <v>0</v>
      </c>
      <c r="S371" s="954">
        <f ca="1">SUM(SUMIFS(OFFSET(A1_集計2027,$A371,10,1,200),OFFSET(貼付け_2027実績,4,9,1,200),{"横浜*","川崎*"}))+SUM(SUMIFS(OFFSET(A1_集計2027,$A371,11,1,200),OFFSET(貼付け_2027実績,4,9,1,200),{"横浜*","川崎*"}))</f>
        <v>0</v>
      </c>
      <c r="T371" s="954">
        <f ca="1">SUM(SUMIFS(OFFSET(A1_集計2024,$A371,10,1,200),OFFSET(貼付け_2024実績,4,9,1,200),{"県域*","エネルギー管理指定工場等*"}))+SUM(SUMIFS(OFFSET(A1_集計2024,$A371,11,1,200),OFFSET(貼付け_2024実績,4,9,1,200),{"県域*","エネルギー管理指定工場等*"}))</f>
        <v>0</v>
      </c>
      <c r="U371" s="954">
        <f ca="1">SUM(SUMIFS(OFFSET(A1_集計2025,$A371,10,1,200),OFFSET(貼付け_2025実績,4,9,1,200),{"県域*","エネルギー管理指定工場等*"}))+SUM(SUMIFS(OFFSET(A1_集計2025,$A371,11,1,200),OFFSET(貼付け_2025実績,4,9,1,200),{"県域*","エネルギー管理指定工場等*"}))</f>
        <v>0</v>
      </c>
      <c r="V371" s="954">
        <f ca="1">SUM(SUMIFS(OFFSET(A1_集計2026,$A371,10,1,200),OFFSET(貼付け_2026実績,4,9,1,200),{"県域*","エネルギー管理指定工場等*"}))+SUM(SUMIFS(OFFSET(A1_集計2026,$A371,11,1,200),OFFSET(貼付け_2026実績,4,9,1,200),{"県域*","エネルギー管理指定工場等*"}))</f>
        <v>0</v>
      </c>
      <c r="W371" s="954">
        <f ca="1">SUM(SUMIFS(OFFSET(A1_集計2027,$A371,10,1,200),OFFSET(貼付け_2027実績,4,9,1,200),{"県域*","エネルギー管理指定工場等*"}))+SUM(SUMIFS(OFFSET(A1_集計2027,$A371,11,1,200),OFFSET(貼付け_2027実績,4,9,1,200),{"県域*","エネルギー管理指定工場等*"}))</f>
        <v>0</v>
      </c>
      <c r="X371" s="954">
        <f ca="1">SUMIFS(OFFSET(A1_集計2024,$A371,10,1,200),OFFSET(貼付け_2024実績,4,9,1,200),"県域*")+SUMIFS(OFFSET(A1_集計2024,$A371,11,1,200),OFFSET(貼付け_2024実績,4,9,1,200),"県域*")</f>
        <v>0</v>
      </c>
      <c r="Y371" s="954">
        <f ca="1">SUMIFS(OFFSET(A1_集計2025,$A371,10,1,200),OFFSET(貼付け_2025実績,4,9,1,200),"県域*")+SUMIFS(OFFSET(A1_集計2025,$A371,11,1,200),OFFSET(貼付け_2025実績,4,9,1,200),"県域*")</f>
        <v>0</v>
      </c>
      <c r="Z371" s="954">
        <f ca="1">SUMIFS(OFFSET(A1_集計2026,$A371,10,1,200),OFFSET(貼付け_2026実績,4,9,1,200),"県域*")+SUMIFS(OFFSET(A1_集計2026,$A371,11,1,200),OFFSET(貼付け_2026実績,4,9,1,200),"県域*")</f>
        <v>0</v>
      </c>
      <c r="AA371" s="954">
        <f ca="1">SUMIFS(OFFSET(A1_集計2027,$A371,10,1,200),OFFSET(貼付け_2027実績,4,9,1,200),"県域*")+SUMIFS(OFFSET(A1_集計2027,$A371,11,1,200),OFFSET(貼付け_2027実績,4,9,1,200),"県域*")</f>
        <v>0</v>
      </c>
      <c r="AB371" s="954" t="str">
        <f t="shared" ca="1" si="115"/>
        <v/>
      </c>
      <c r="AC371" s="954" t="str">
        <f t="shared" ca="1" si="115"/>
        <v/>
      </c>
      <c r="AD371" s="954" t="str">
        <f t="shared" ca="1" si="115"/>
        <v/>
      </c>
      <c r="AE371" s="954" t="str">
        <f t="shared" ca="1" si="115"/>
        <v/>
      </c>
      <c r="AF371" s="954" t="str">
        <f t="shared" ca="1" si="115"/>
        <v/>
      </c>
      <c r="AG371" s="954" t="str">
        <f t="shared" ca="1" si="115"/>
        <v/>
      </c>
      <c r="AH371" s="954" t="str">
        <f t="shared" ca="1" si="115"/>
        <v/>
      </c>
      <c r="AI371" s="954" t="str">
        <f t="shared" ca="1" si="115"/>
        <v/>
      </c>
      <c r="AJ371" s="954" t="str">
        <f t="shared" ca="1" si="115"/>
        <v/>
      </c>
      <c r="AK371" s="954" t="str">
        <f t="shared" ca="1" si="115"/>
        <v/>
      </c>
      <c r="AL371" s="954" t="str">
        <f t="shared" ca="1" si="116"/>
        <v/>
      </c>
      <c r="AM371" s="954" t="str">
        <f t="shared" ca="1" si="116"/>
        <v/>
      </c>
      <c r="AN371" s="954" t="str">
        <f t="shared" ca="1" si="116"/>
        <v/>
      </c>
      <c r="AO371" s="954" t="str">
        <f t="shared" ca="1" si="116"/>
        <v/>
      </c>
      <c r="AP371" s="954" t="str">
        <f t="shared" ca="1" si="116"/>
        <v/>
      </c>
      <c r="AQ371" s="954" t="str">
        <f t="shared" ca="1" si="116"/>
        <v/>
      </c>
      <c r="AR371" s="954" t="str">
        <f t="shared" ca="1" si="116"/>
        <v/>
      </c>
      <c r="AS371" s="954" t="str">
        <f t="shared" ca="1" si="116"/>
        <v/>
      </c>
      <c r="AT371" s="954" t="str">
        <f t="shared" ca="1" si="116"/>
        <v/>
      </c>
      <c r="AU371" s="954" t="str">
        <f t="shared" ca="1" si="116"/>
        <v/>
      </c>
      <c r="AV371" s="954" t="str">
        <f t="shared" ca="1" si="117"/>
        <v/>
      </c>
      <c r="AW371" s="954" t="str">
        <f t="shared" ca="1" si="117"/>
        <v/>
      </c>
      <c r="AX371" s="954" t="str">
        <f t="shared" ca="1" si="117"/>
        <v/>
      </c>
      <c r="AY371" s="954" t="str">
        <f t="shared" ca="1" si="117"/>
        <v/>
      </c>
      <c r="AZ371" s="954" t="str">
        <f t="shared" ca="1" si="117"/>
        <v/>
      </c>
      <c r="BA371" s="954" t="str">
        <f t="shared" ca="1" si="117"/>
        <v/>
      </c>
      <c r="BB371" s="954" t="str">
        <f t="shared" ca="1" si="117"/>
        <v/>
      </c>
      <c r="BC371" s="954" t="str">
        <f t="shared" ca="1" si="117"/>
        <v/>
      </c>
      <c r="BD371" s="954" t="str">
        <f t="shared" ca="1" si="117"/>
        <v/>
      </c>
      <c r="BE371" s="954" t="str">
        <f t="shared" ca="1" si="117"/>
        <v/>
      </c>
      <c r="BF371" s="954" t="str">
        <f t="shared" ca="1" si="118"/>
        <v/>
      </c>
      <c r="BG371" s="954" t="str">
        <f t="shared" ca="1" si="118"/>
        <v/>
      </c>
      <c r="BH371" s="954" t="str">
        <f t="shared" ca="1" si="118"/>
        <v/>
      </c>
      <c r="BI371" s="954" t="str">
        <f t="shared" ca="1" si="118"/>
        <v/>
      </c>
      <c r="BJ371" s="954" t="str">
        <f t="shared" ca="1" si="118"/>
        <v/>
      </c>
      <c r="BK371" s="954" t="str">
        <f t="shared" ca="1" si="118"/>
        <v/>
      </c>
      <c r="BL371" s="954" t="str">
        <f t="shared" ca="1" si="118"/>
        <v/>
      </c>
      <c r="BM371" s="954" t="str">
        <f t="shared" ca="1" si="118"/>
        <v/>
      </c>
      <c r="BN371" s="954" t="str">
        <f t="shared" ca="1" si="118"/>
        <v/>
      </c>
      <c r="BO371" s="954" t="str">
        <f t="shared" ca="1" si="118"/>
        <v/>
      </c>
      <c r="BP371" s="841"/>
    </row>
    <row r="372" spans="1:68" ht="20.100000000000001" customHeight="1">
      <c r="A372" s="952">
        <v>13</v>
      </c>
      <c r="B372" s="1870"/>
      <c r="C372" s="1872"/>
      <c r="D372" s="824" t="s">
        <v>4425</v>
      </c>
      <c r="E372" s="829"/>
      <c r="F372" s="849"/>
      <c r="G372" s="891" t="s">
        <v>4685</v>
      </c>
      <c r="H372" s="1034"/>
      <c r="I372" s="1034"/>
      <c r="J372" s="1034"/>
      <c r="K372" s="1034"/>
      <c r="L372" s="954">
        <f ca="1">SUM(SUMIFS(OFFSET(A1_集計2024,$A372,10,1,200),OFFSET(貼付け_2024実績,4,9,1,200),{"横浜*","川崎*","県域*","エネルギー管理指定工場等*"}))+SUM(SUMIFS(OFFSET(A1_集計2024,$A372,11,1,200),OFFSET(貼付け_2024実績,4,9,1,200),{"横浜*","川崎*","県域*","エネルギー管理指定工場等*"}))</f>
        <v>0</v>
      </c>
      <c r="M372" s="954">
        <f ca="1">SUM(SUMIFS(OFFSET(A1_集計2025,$A372,10,1,200),OFFSET(貼付け_2025実績,4,9,1,200),{"横浜*","川崎*","県域*","エネルギー管理指定工場等*"}))+SUM(SUMIFS(OFFSET(A1_集計2025,$A372,11,1,200),OFFSET(貼付け_2025実績,4,9,1,200),{"横浜*","川崎*","県域*","エネルギー管理指定工場等*"}))</f>
        <v>0</v>
      </c>
      <c r="N372" s="954">
        <f ca="1">SUM(SUMIFS(OFFSET(A1_集計2026,$A372,10,1,200),OFFSET(貼付け_2026実績,4,9,1,200),{"横浜*","川崎*","県域*","エネルギー管理指定工場等*"}))+SUM(SUMIFS(OFFSET(A1_集計2026,$A372,11,1,200),OFFSET(貼付け_2026実績,4,9,1,200),{"横浜*","川崎*","県域*","エネルギー管理指定工場等*"}))</f>
        <v>0</v>
      </c>
      <c r="O372" s="954">
        <f ca="1">SUM(SUMIFS(OFFSET(A1_集計2027,$A372,10,1,200),OFFSET(貼付け_2027実績,4,9,1,200),{"横浜*","川崎*","県域*","エネルギー管理指定工場等*"}))+SUM(SUMIFS(OFFSET(A1_集計2027,$A372,11,1,200),OFFSET(貼付け_2027実績,4,9,1,200),{"横浜*","川崎*","県域*","エネルギー管理指定工場等*"}))</f>
        <v>0</v>
      </c>
      <c r="P372" s="954">
        <f ca="1">SUM(SUMIFS(OFFSET(A1_集計2024,$A372,10,1,200),OFFSET(貼付け_2024実績,4,9,1,200),{"横浜*","川崎*"}))+SUM(SUMIFS(OFFSET(A1_集計2024,$A372,11,1,200),OFFSET(貼付け_2024実績,4,9,1,200),{"横浜*","川崎*"}))</f>
        <v>0</v>
      </c>
      <c r="Q372" s="954">
        <f ca="1">SUM(SUMIFS(OFFSET(A1_集計2025,$A372,10,1,200),OFFSET(貼付け_2025実績,4,9,1,200),{"横浜*","川崎*"}))+SUM(SUMIFS(OFFSET(A1_集計2025,$A372,11,1,200),OFFSET(貼付け_2025実績,4,9,1,200),{"横浜*","川崎*"}))</f>
        <v>0</v>
      </c>
      <c r="R372" s="954">
        <f ca="1">SUM(SUMIFS(OFFSET(A1_集計2026,$A372,10,1,200),OFFSET(貼付け_2026実績,4,9,1,200),{"横浜*","川崎*"}))+SUM(SUMIFS(OFFSET(A1_集計2026,$A372,11,1,200),OFFSET(貼付け_2026実績,4,9,1,200),{"横浜*","川崎*"}))</f>
        <v>0</v>
      </c>
      <c r="S372" s="954">
        <f ca="1">SUM(SUMIFS(OFFSET(A1_集計2027,$A372,10,1,200),OFFSET(貼付け_2027実績,4,9,1,200),{"横浜*","川崎*"}))+SUM(SUMIFS(OFFSET(A1_集計2027,$A372,11,1,200),OFFSET(貼付け_2027実績,4,9,1,200),{"横浜*","川崎*"}))</f>
        <v>0</v>
      </c>
      <c r="T372" s="954">
        <f ca="1">SUM(SUMIFS(OFFSET(A1_集計2024,$A372,10,1,200),OFFSET(貼付け_2024実績,4,9,1,200),{"県域*","エネルギー管理指定工場等*"}))+SUM(SUMIFS(OFFSET(A1_集計2024,$A372,11,1,200),OFFSET(貼付け_2024実績,4,9,1,200),{"県域*","エネルギー管理指定工場等*"}))</f>
        <v>0</v>
      </c>
      <c r="U372" s="954">
        <f ca="1">SUM(SUMIFS(OFFSET(A1_集計2025,$A372,10,1,200),OFFSET(貼付け_2025実績,4,9,1,200),{"県域*","エネルギー管理指定工場等*"}))+SUM(SUMIFS(OFFSET(A1_集計2025,$A372,11,1,200),OFFSET(貼付け_2025実績,4,9,1,200),{"県域*","エネルギー管理指定工場等*"}))</f>
        <v>0</v>
      </c>
      <c r="V372" s="954">
        <f ca="1">SUM(SUMIFS(OFFSET(A1_集計2026,$A372,10,1,200),OFFSET(貼付け_2026実績,4,9,1,200),{"県域*","エネルギー管理指定工場等*"}))+SUM(SUMIFS(OFFSET(A1_集計2026,$A372,11,1,200),OFFSET(貼付け_2026実績,4,9,1,200),{"県域*","エネルギー管理指定工場等*"}))</f>
        <v>0</v>
      </c>
      <c r="W372" s="954">
        <f ca="1">SUM(SUMIFS(OFFSET(A1_集計2027,$A372,10,1,200),OFFSET(貼付け_2027実績,4,9,1,200),{"県域*","エネルギー管理指定工場等*"}))+SUM(SUMIFS(OFFSET(A1_集計2027,$A372,11,1,200),OFFSET(貼付け_2027実績,4,9,1,200),{"県域*","エネルギー管理指定工場等*"}))</f>
        <v>0</v>
      </c>
      <c r="X372" s="954">
        <f ca="1">SUMIFS(OFFSET(A1_集計2024,$A372,10,1,200),OFFSET(貼付け_2024実績,4,9,1,200),"県域*")+SUMIFS(OFFSET(A1_集計2024,$A372,11,1,200),OFFSET(貼付け_2024実績,4,9,1,200),"県域*")</f>
        <v>0</v>
      </c>
      <c r="Y372" s="954">
        <f ca="1">SUMIFS(OFFSET(A1_集計2025,$A372,10,1,200),OFFSET(貼付け_2025実績,4,9,1,200),"県域*")+SUMIFS(OFFSET(A1_集計2025,$A372,11,1,200),OFFSET(貼付け_2025実績,4,9,1,200),"県域*")</f>
        <v>0</v>
      </c>
      <c r="Z372" s="954">
        <f ca="1">SUMIFS(OFFSET(A1_集計2026,$A372,10,1,200),OFFSET(貼付け_2026実績,4,9,1,200),"県域*")+SUMIFS(OFFSET(A1_集計2026,$A372,11,1,200),OFFSET(貼付け_2026実績,4,9,1,200),"県域*")</f>
        <v>0</v>
      </c>
      <c r="AA372" s="954">
        <f ca="1">SUMIFS(OFFSET(A1_集計2027,$A372,10,1,200),OFFSET(貼付け_2027実績,4,9,1,200),"県域*")+SUMIFS(OFFSET(A1_集計2027,$A372,11,1,200),OFFSET(貼付け_2027実績,4,9,1,200),"県域*")</f>
        <v>0</v>
      </c>
      <c r="AB372" s="954" t="str">
        <f t="shared" ca="1" si="115"/>
        <v/>
      </c>
      <c r="AC372" s="954" t="str">
        <f t="shared" ca="1" si="115"/>
        <v/>
      </c>
      <c r="AD372" s="954" t="str">
        <f t="shared" ca="1" si="115"/>
        <v/>
      </c>
      <c r="AE372" s="954" t="str">
        <f t="shared" ca="1" si="115"/>
        <v/>
      </c>
      <c r="AF372" s="954" t="str">
        <f t="shared" ca="1" si="115"/>
        <v/>
      </c>
      <c r="AG372" s="954" t="str">
        <f t="shared" ca="1" si="115"/>
        <v/>
      </c>
      <c r="AH372" s="954" t="str">
        <f t="shared" ca="1" si="115"/>
        <v/>
      </c>
      <c r="AI372" s="954" t="str">
        <f t="shared" ca="1" si="115"/>
        <v/>
      </c>
      <c r="AJ372" s="954" t="str">
        <f t="shared" ca="1" si="115"/>
        <v/>
      </c>
      <c r="AK372" s="954" t="str">
        <f t="shared" ca="1" si="115"/>
        <v/>
      </c>
      <c r="AL372" s="954" t="str">
        <f t="shared" ca="1" si="116"/>
        <v/>
      </c>
      <c r="AM372" s="954" t="str">
        <f t="shared" ca="1" si="116"/>
        <v/>
      </c>
      <c r="AN372" s="954" t="str">
        <f t="shared" ca="1" si="116"/>
        <v/>
      </c>
      <c r="AO372" s="954" t="str">
        <f t="shared" ca="1" si="116"/>
        <v/>
      </c>
      <c r="AP372" s="954" t="str">
        <f t="shared" ca="1" si="116"/>
        <v/>
      </c>
      <c r="AQ372" s="954" t="str">
        <f t="shared" ca="1" si="116"/>
        <v/>
      </c>
      <c r="AR372" s="954" t="str">
        <f t="shared" ca="1" si="116"/>
        <v/>
      </c>
      <c r="AS372" s="954" t="str">
        <f t="shared" ca="1" si="116"/>
        <v/>
      </c>
      <c r="AT372" s="954" t="str">
        <f t="shared" ca="1" si="116"/>
        <v/>
      </c>
      <c r="AU372" s="954" t="str">
        <f t="shared" ca="1" si="116"/>
        <v/>
      </c>
      <c r="AV372" s="954" t="str">
        <f t="shared" ca="1" si="117"/>
        <v/>
      </c>
      <c r="AW372" s="954" t="str">
        <f t="shared" ca="1" si="117"/>
        <v/>
      </c>
      <c r="AX372" s="954" t="str">
        <f t="shared" ca="1" si="117"/>
        <v/>
      </c>
      <c r="AY372" s="954" t="str">
        <f t="shared" ca="1" si="117"/>
        <v/>
      </c>
      <c r="AZ372" s="954" t="str">
        <f t="shared" ca="1" si="117"/>
        <v/>
      </c>
      <c r="BA372" s="954" t="str">
        <f t="shared" ca="1" si="117"/>
        <v/>
      </c>
      <c r="BB372" s="954" t="str">
        <f t="shared" ca="1" si="117"/>
        <v/>
      </c>
      <c r="BC372" s="954" t="str">
        <f t="shared" ca="1" si="117"/>
        <v/>
      </c>
      <c r="BD372" s="954" t="str">
        <f t="shared" ca="1" si="117"/>
        <v/>
      </c>
      <c r="BE372" s="954" t="str">
        <f t="shared" ca="1" si="117"/>
        <v/>
      </c>
      <c r="BF372" s="954" t="str">
        <f t="shared" ca="1" si="118"/>
        <v/>
      </c>
      <c r="BG372" s="954" t="str">
        <f t="shared" ca="1" si="118"/>
        <v/>
      </c>
      <c r="BH372" s="954" t="str">
        <f t="shared" ca="1" si="118"/>
        <v/>
      </c>
      <c r="BI372" s="954" t="str">
        <f t="shared" ca="1" si="118"/>
        <v/>
      </c>
      <c r="BJ372" s="954" t="str">
        <f t="shared" ca="1" si="118"/>
        <v/>
      </c>
      <c r="BK372" s="954" t="str">
        <f t="shared" ca="1" si="118"/>
        <v/>
      </c>
      <c r="BL372" s="954" t="str">
        <f t="shared" ca="1" si="118"/>
        <v/>
      </c>
      <c r="BM372" s="954" t="str">
        <f t="shared" ca="1" si="118"/>
        <v/>
      </c>
      <c r="BN372" s="954" t="str">
        <f t="shared" ca="1" si="118"/>
        <v/>
      </c>
      <c r="BO372" s="954" t="str">
        <f t="shared" ca="1" si="118"/>
        <v/>
      </c>
      <c r="BP372" s="841"/>
    </row>
    <row r="373" spans="1:68" ht="20.100000000000001" customHeight="1">
      <c r="A373" s="786">
        <v>64</v>
      </c>
      <c r="B373" s="1870"/>
      <c r="C373" s="1872"/>
      <c r="D373" s="851" t="s">
        <v>4426</v>
      </c>
      <c r="E373" s="831" t="str">
        <f ca="1">E60</f>
        <v/>
      </c>
      <c r="F373" s="833"/>
      <c r="G373" s="891" t="s">
        <v>4685</v>
      </c>
      <c r="H373" s="953">
        <f t="shared" ca="1" si="110"/>
        <v>0</v>
      </c>
      <c r="I373" s="953">
        <f t="shared" ca="1" si="111"/>
        <v>0</v>
      </c>
      <c r="J373" s="953">
        <f t="shared" ca="1" si="112"/>
        <v>0</v>
      </c>
      <c r="K373" s="953">
        <f t="shared" ca="1" si="113"/>
        <v>0</v>
      </c>
      <c r="L373" s="954">
        <f ca="1">IFERROR($H373*(参考2_エネ使用量経年!L223+参考2_エネ使用量経年!L310),"")</f>
        <v>0</v>
      </c>
      <c r="M373" s="954">
        <f ca="1">IFERROR($I373*(参考2_エネ使用量経年!M223+参考2_エネ使用量経年!M310),"")</f>
        <v>0</v>
      </c>
      <c r="N373" s="954">
        <f ca="1">IFERROR($J373*(参考2_エネ使用量経年!N223+参考2_エネ使用量経年!N310),"")</f>
        <v>0</v>
      </c>
      <c r="O373" s="954">
        <f ca="1">IFERROR($K373*(参考2_エネ使用量経年!O223+参考2_エネ使用量経年!O310),"")</f>
        <v>0</v>
      </c>
      <c r="P373" s="954">
        <f ca="1">IFERROR($H373*(参考2_エネ使用量経年!P223+参考2_エネ使用量経年!P310),"")</f>
        <v>0</v>
      </c>
      <c r="Q373" s="954">
        <f ca="1">IFERROR($I373*(参考2_エネ使用量経年!Q223+参考2_エネ使用量経年!Q310),"")</f>
        <v>0</v>
      </c>
      <c r="R373" s="954">
        <f ca="1">IFERROR($J373*(参考2_エネ使用量経年!R223+参考2_エネ使用量経年!R310),"")</f>
        <v>0</v>
      </c>
      <c r="S373" s="954">
        <f ca="1">IFERROR($K373*(参考2_エネ使用量経年!S223+参考2_エネ使用量経年!S310),"")</f>
        <v>0</v>
      </c>
      <c r="T373" s="954">
        <f ca="1">IFERROR($H373*(参考2_エネ使用量経年!T223+参考2_エネ使用量経年!T310),"")</f>
        <v>0</v>
      </c>
      <c r="U373" s="954">
        <f ca="1">IFERROR($I373*(参考2_エネ使用量経年!U223+参考2_エネ使用量経年!U310),"")</f>
        <v>0</v>
      </c>
      <c r="V373" s="954">
        <f ca="1">IFERROR($J373*(参考2_エネ使用量経年!V223+参考2_エネ使用量経年!V310),"")</f>
        <v>0</v>
      </c>
      <c r="W373" s="954">
        <f ca="1">IFERROR($K373*(参考2_エネ使用量経年!W223+参考2_エネ使用量経年!W310),"")</f>
        <v>0</v>
      </c>
      <c r="X373" s="954">
        <f ca="1">IFERROR($H373*(参考2_エネ使用量経年!X223+参考2_エネ使用量経年!X310),"")</f>
        <v>0</v>
      </c>
      <c r="Y373" s="954">
        <f ca="1">IFERROR($I373*(参考2_エネ使用量経年!Y223+参考2_エネ使用量経年!Y310),"")</f>
        <v>0</v>
      </c>
      <c r="Z373" s="954">
        <f ca="1">IFERROR($J373*(参考2_エネ使用量経年!Z223+参考2_エネ使用量経年!Z310),"")</f>
        <v>0</v>
      </c>
      <c r="AA373" s="954">
        <f ca="1">IFERROR($K373*(参考2_エネ使用量経年!AA223+参考2_エネ使用量経年!AA310),"")</f>
        <v>0</v>
      </c>
      <c r="AB373" s="954" t="str">
        <f ca="1">IFERROR($H373*(参考2_エネ使用量経年!AB223+参考2_エネ使用量経年!AB310),"")</f>
        <v/>
      </c>
      <c r="AC373" s="954" t="str">
        <f ca="1">IFERROR($I373*(参考2_エネ使用量経年!AC223+参考2_エネ使用量経年!AC310),"")</f>
        <v/>
      </c>
      <c r="AD373" s="954" t="str">
        <f ca="1">IFERROR($J373*(参考2_エネ使用量経年!AD223+参考2_エネ使用量経年!AD310),"")</f>
        <v/>
      </c>
      <c r="AE373" s="954" t="str">
        <f ca="1">IFERROR($K373*(参考2_エネ使用量経年!AE223+参考2_エネ使用量経年!AE310),"")</f>
        <v/>
      </c>
      <c r="AF373" s="954" t="str">
        <f ca="1">IFERROR($H373*(参考2_エネ使用量経年!AF223+参考2_エネ使用量経年!AF310),"")</f>
        <v/>
      </c>
      <c r="AG373" s="954" t="str">
        <f ca="1">IFERROR($I373*(参考2_エネ使用量経年!AG223+参考2_エネ使用量経年!AG310),"")</f>
        <v/>
      </c>
      <c r="AH373" s="954" t="str">
        <f ca="1">IFERROR($J373*(参考2_エネ使用量経年!AH223+参考2_エネ使用量経年!AH310),"")</f>
        <v/>
      </c>
      <c r="AI373" s="954" t="str">
        <f ca="1">IFERROR($K373*(参考2_エネ使用量経年!AI223+参考2_エネ使用量経年!AI310),"")</f>
        <v/>
      </c>
      <c r="AJ373" s="954" t="str">
        <f ca="1">IFERROR($H373*(参考2_エネ使用量経年!AJ223+参考2_エネ使用量経年!AJ310),"")</f>
        <v/>
      </c>
      <c r="AK373" s="954" t="str">
        <f ca="1">IFERROR($I373*(参考2_エネ使用量経年!AK223+参考2_エネ使用量経年!AK310),"")</f>
        <v/>
      </c>
      <c r="AL373" s="954" t="str">
        <f ca="1">IFERROR($J373*(参考2_エネ使用量経年!AL223+参考2_エネ使用量経年!AL310),"")</f>
        <v/>
      </c>
      <c r="AM373" s="954" t="str">
        <f ca="1">IFERROR($K373*(参考2_エネ使用量経年!AM223+参考2_エネ使用量経年!AM310),"")</f>
        <v/>
      </c>
      <c r="AN373" s="954" t="str">
        <f ca="1">IFERROR($H373*(参考2_エネ使用量経年!AN223+参考2_エネ使用量経年!AN310),"")</f>
        <v/>
      </c>
      <c r="AO373" s="954" t="str">
        <f ca="1">IFERROR($I373*(参考2_エネ使用量経年!AO223+参考2_エネ使用量経年!AO310),"")</f>
        <v/>
      </c>
      <c r="AP373" s="954" t="str">
        <f ca="1">IFERROR($J373*(参考2_エネ使用量経年!AP223+参考2_エネ使用量経年!AP310),"")</f>
        <v/>
      </c>
      <c r="AQ373" s="954" t="str">
        <f ca="1">IFERROR($K373*(参考2_エネ使用量経年!AQ223+参考2_エネ使用量経年!AQ310),"")</f>
        <v/>
      </c>
      <c r="AR373" s="954" t="str">
        <f ca="1">IFERROR($H373*(参考2_エネ使用量経年!AR223+参考2_エネ使用量経年!AR310),"")</f>
        <v/>
      </c>
      <c r="AS373" s="954" t="str">
        <f ca="1">IFERROR($I373*(参考2_エネ使用量経年!AS223+参考2_エネ使用量経年!AS310),"")</f>
        <v/>
      </c>
      <c r="AT373" s="954" t="str">
        <f ca="1">IFERROR($J373*(参考2_エネ使用量経年!AT223+参考2_エネ使用量経年!AT310),"")</f>
        <v/>
      </c>
      <c r="AU373" s="954" t="str">
        <f ca="1">IFERROR($K373*(参考2_エネ使用量経年!AU223+参考2_エネ使用量経年!AU310),"")</f>
        <v/>
      </c>
      <c r="AV373" s="954" t="str">
        <f ca="1">IFERROR($H373*(参考2_エネ使用量経年!AV223+参考2_エネ使用量経年!AV310),"")</f>
        <v/>
      </c>
      <c r="AW373" s="954" t="str">
        <f ca="1">IFERROR($I373*(参考2_エネ使用量経年!AW223+参考2_エネ使用量経年!AW310),"")</f>
        <v/>
      </c>
      <c r="AX373" s="954" t="str">
        <f ca="1">IFERROR($J373*(参考2_エネ使用量経年!AX223+参考2_エネ使用量経年!AX310),"")</f>
        <v/>
      </c>
      <c r="AY373" s="954" t="str">
        <f ca="1">IFERROR($K373*(参考2_エネ使用量経年!AY223+参考2_エネ使用量経年!AY310),"")</f>
        <v/>
      </c>
      <c r="AZ373" s="954" t="str">
        <f ca="1">IFERROR($H373*(参考2_エネ使用量経年!AZ223+参考2_エネ使用量経年!AZ310),"")</f>
        <v/>
      </c>
      <c r="BA373" s="954" t="str">
        <f ca="1">IFERROR($I373*(参考2_エネ使用量経年!BA223+参考2_エネ使用量経年!BA310),"")</f>
        <v/>
      </c>
      <c r="BB373" s="954" t="str">
        <f ca="1">IFERROR($J373*(参考2_エネ使用量経年!BB223+参考2_エネ使用量経年!BB310),"")</f>
        <v/>
      </c>
      <c r="BC373" s="954" t="str">
        <f ca="1">IFERROR($K373*(参考2_エネ使用量経年!BC223+参考2_エネ使用量経年!BC310),"")</f>
        <v/>
      </c>
      <c r="BD373" s="954" t="str">
        <f ca="1">IFERROR($H373*(参考2_エネ使用量経年!BD223+参考2_エネ使用量経年!BD310),"")</f>
        <v/>
      </c>
      <c r="BE373" s="954" t="str">
        <f ca="1">IFERROR($I373*(参考2_エネ使用量経年!BE223+参考2_エネ使用量経年!BE310),"")</f>
        <v/>
      </c>
      <c r="BF373" s="954" t="str">
        <f ca="1">IFERROR($J373*(参考2_エネ使用量経年!BF223+参考2_エネ使用量経年!BF310),"")</f>
        <v/>
      </c>
      <c r="BG373" s="954" t="str">
        <f ca="1">IFERROR($K373*(参考2_エネ使用量経年!BG223+参考2_エネ使用量経年!BG310),"")</f>
        <v/>
      </c>
      <c r="BH373" s="954" t="str">
        <f ca="1">IFERROR($H373*(参考2_エネ使用量経年!BH223+参考2_エネ使用量経年!BH310),"")</f>
        <v/>
      </c>
      <c r="BI373" s="954" t="str">
        <f ca="1">IFERROR($I373*(参考2_エネ使用量経年!BI223+参考2_エネ使用量経年!BI310),"")</f>
        <v/>
      </c>
      <c r="BJ373" s="954" t="str">
        <f ca="1">IFERROR($J373*(参考2_エネ使用量経年!BJ223+参考2_エネ使用量経年!BJ310),"")</f>
        <v/>
      </c>
      <c r="BK373" s="954" t="str">
        <f ca="1">IFERROR($K373*(参考2_エネ使用量経年!BK223+参考2_エネ使用量経年!BK310),"")</f>
        <v/>
      </c>
      <c r="BL373" s="954" t="str">
        <f ca="1">IFERROR($H373*(参考2_エネ使用量経年!BL223+参考2_エネ使用量経年!BL310),"")</f>
        <v/>
      </c>
      <c r="BM373" s="954" t="str">
        <f ca="1">IFERROR($I373*(参考2_エネ使用量経年!BM223+参考2_エネ使用量経年!BM310),"")</f>
        <v/>
      </c>
      <c r="BN373" s="954" t="str">
        <f ca="1">IFERROR($J373*(参考2_エネ使用量経年!BN223+参考2_エネ使用量経年!BN310),"")</f>
        <v/>
      </c>
      <c r="BO373" s="954" t="str">
        <f ca="1">IFERROR($K373*(参考2_エネ使用量経年!BO223+参考2_エネ使用量経年!BO310),"")</f>
        <v/>
      </c>
      <c r="BP373" s="841"/>
    </row>
    <row r="374" spans="1:68" ht="20.100000000000001" customHeight="1">
      <c r="A374" s="952"/>
      <c r="B374" s="1870"/>
      <c r="C374" s="1872" t="s">
        <v>4427</v>
      </c>
      <c r="D374" s="852" t="s">
        <v>4428</v>
      </c>
      <c r="E374" s="824"/>
      <c r="F374" s="849"/>
      <c r="G374" s="891" t="s">
        <v>4685</v>
      </c>
      <c r="H374" s="1034"/>
      <c r="I374" s="1034"/>
      <c r="J374" s="1034"/>
      <c r="K374" s="1034"/>
      <c r="L374" s="954">
        <f ca="1">IFERROR($H374*(参考2_エネ使用量経年!L224+参考2_エネ使用量経年!L311),"")</f>
        <v>0</v>
      </c>
      <c r="M374" s="954">
        <f ca="1">IFERROR($I374*(参考2_エネ使用量経年!M224+参考2_エネ使用量経年!M311),"")</f>
        <v>0</v>
      </c>
      <c r="N374" s="954">
        <f ca="1">IFERROR($J374*(参考2_エネ使用量経年!N224+参考2_エネ使用量経年!N311),"")</f>
        <v>0</v>
      </c>
      <c r="O374" s="954">
        <f ca="1">IFERROR($K374*(参考2_エネ使用量経年!O224+参考2_エネ使用量経年!O311),"")</f>
        <v>0</v>
      </c>
      <c r="P374" s="954">
        <f ca="1">IFERROR($H374*(参考2_エネ使用量経年!P224+参考2_エネ使用量経年!P311),"")</f>
        <v>0</v>
      </c>
      <c r="Q374" s="954">
        <f ca="1">IFERROR($I374*(参考2_エネ使用量経年!Q224+参考2_エネ使用量経年!Q311),"")</f>
        <v>0</v>
      </c>
      <c r="R374" s="954">
        <f ca="1">IFERROR($J374*(参考2_エネ使用量経年!R224+参考2_エネ使用量経年!R311),"")</f>
        <v>0</v>
      </c>
      <c r="S374" s="954">
        <f ca="1">IFERROR($K374*(参考2_エネ使用量経年!S224+参考2_エネ使用量経年!S311),"")</f>
        <v>0</v>
      </c>
      <c r="T374" s="954">
        <f ca="1">IFERROR($H374*(参考2_エネ使用量経年!T224+参考2_エネ使用量経年!T311),"")</f>
        <v>0</v>
      </c>
      <c r="U374" s="954">
        <f ca="1">IFERROR($I374*(参考2_エネ使用量経年!U224+参考2_エネ使用量経年!U311),"")</f>
        <v>0</v>
      </c>
      <c r="V374" s="954">
        <f ca="1">IFERROR($J374*(参考2_エネ使用量経年!V224+参考2_エネ使用量経年!V311),"")</f>
        <v>0</v>
      </c>
      <c r="W374" s="954">
        <f ca="1">IFERROR($K374*(参考2_エネ使用量経年!W224+参考2_エネ使用量経年!W311),"")</f>
        <v>0</v>
      </c>
      <c r="X374" s="954">
        <f ca="1">IFERROR($H374*(参考2_エネ使用量経年!X224+参考2_エネ使用量経年!X311),"")</f>
        <v>0</v>
      </c>
      <c r="Y374" s="954">
        <f ca="1">IFERROR($I374*(参考2_エネ使用量経年!Y224+参考2_エネ使用量経年!Y311),"")</f>
        <v>0</v>
      </c>
      <c r="Z374" s="954">
        <f ca="1">IFERROR($J374*(参考2_エネ使用量経年!Z224+参考2_エネ使用量経年!Z311),"")</f>
        <v>0</v>
      </c>
      <c r="AA374" s="954">
        <f ca="1">IFERROR($K374*(参考2_エネ使用量経年!AA224+参考2_エネ使用量経年!AA311),"")</f>
        <v>0</v>
      </c>
      <c r="AB374" s="954" t="str">
        <f ca="1">IFERROR($H374*(参考2_エネ使用量経年!AB224+参考2_エネ使用量経年!AB311),"")</f>
        <v/>
      </c>
      <c r="AC374" s="954" t="str">
        <f ca="1">IFERROR($I374*(参考2_エネ使用量経年!AC224+参考2_エネ使用量経年!AC311),"")</f>
        <v/>
      </c>
      <c r="AD374" s="954" t="str">
        <f ca="1">IFERROR($J374*(参考2_エネ使用量経年!AD224+参考2_エネ使用量経年!AD311),"")</f>
        <v/>
      </c>
      <c r="AE374" s="954" t="str">
        <f ca="1">IFERROR($K374*(参考2_エネ使用量経年!AE224+参考2_エネ使用量経年!AE311),"")</f>
        <v/>
      </c>
      <c r="AF374" s="954" t="str">
        <f ca="1">IFERROR($H374*(参考2_エネ使用量経年!AF224+参考2_エネ使用量経年!AF311),"")</f>
        <v/>
      </c>
      <c r="AG374" s="954" t="str">
        <f ca="1">IFERROR($I374*(参考2_エネ使用量経年!AG224+参考2_エネ使用量経年!AG311),"")</f>
        <v/>
      </c>
      <c r="AH374" s="954" t="str">
        <f ca="1">IFERROR($J374*(参考2_エネ使用量経年!AH224+参考2_エネ使用量経年!AH311),"")</f>
        <v/>
      </c>
      <c r="AI374" s="954" t="str">
        <f ca="1">IFERROR($K374*(参考2_エネ使用量経年!AI224+参考2_エネ使用量経年!AI311),"")</f>
        <v/>
      </c>
      <c r="AJ374" s="954" t="str">
        <f ca="1">IFERROR($H374*(参考2_エネ使用量経年!AJ224+参考2_エネ使用量経年!AJ311),"")</f>
        <v/>
      </c>
      <c r="AK374" s="954" t="str">
        <f ca="1">IFERROR($I374*(参考2_エネ使用量経年!AK224+参考2_エネ使用量経年!AK311),"")</f>
        <v/>
      </c>
      <c r="AL374" s="954" t="str">
        <f ca="1">IFERROR($J374*(参考2_エネ使用量経年!AL224+参考2_エネ使用量経年!AL311),"")</f>
        <v/>
      </c>
      <c r="AM374" s="954" t="str">
        <f ca="1">IFERROR($K374*(参考2_エネ使用量経年!AM224+参考2_エネ使用量経年!AM311),"")</f>
        <v/>
      </c>
      <c r="AN374" s="954" t="str">
        <f ca="1">IFERROR($H374*(参考2_エネ使用量経年!AN224+参考2_エネ使用量経年!AN311),"")</f>
        <v/>
      </c>
      <c r="AO374" s="954" t="str">
        <f ca="1">IFERROR($I374*(参考2_エネ使用量経年!AO224+参考2_エネ使用量経年!AO311),"")</f>
        <v/>
      </c>
      <c r="AP374" s="954" t="str">
        <f ca="1">IFERROR($J374*(参考2_エネ使用量経年!AP224+参考2_エネ使用量経年!AP311),"")</f>
        <v/>
      </c>
      <c r="AQ374" s="954" t="str">
        <f ca="1">IFERROR($K374*(参考2_エネ使用量経年!AQ224+参考2_エネ使用量経年!AQ311),"")</f>
        <v/>
      </c>
      <c r="AR374" s="954" t="str">
        <f ca="1">IFERROR($H374*(参考2_エネ使用量経年!AR224+参考2_エネ使用量経年!AR311),"")</f>
        <v/>
      </c>
      <c r="AS374" s="954" t="str">
        <f ca="1">IFERROR($I374*(参考2_エネ使用量経年!AS224+参考2_エネ使用量経年!AS311),"")</f>
        <v/>
      </c>
      <c r="AT374" s="954" t="str">
        <f ca="1">IFERROR($J374*(参考2_エネ使用量経年!AT224+参考2_エネ使用量経年!AT311),"")</f>
        <v/>
      </c>
      <c r="AU374" s="954" t="str">
        <f ca="1">IFERROR($K374*(参考2_エネ使用量経年!AU224+参考2_エネ使用量経年!AU311),"")</f>
        <v/>
      </c>
      <c r="AV374" s="954" t="str">
        <f ca="1">IFERROR($H374*(参考2_エネ使用量経年!AV224+参考2_エネ使用量経年!AV311),"")</f>
        <v/>
      </c>
      <c r="AW374" s="954" t="str">
        <f ca="1">IFERROR($I374*(参考2_エネ使用量経年!AW224+参考2_エネ使用量経年!AW311),"")</f>
        <v/>
      </c>
      <c r="AX374" s="954" t="str">
        <f ca="1">IFERROR($J374*(参考2_エネ使用量経年!AX224+参考2_エネ使用量経年!AX311),"")</f>
        <v/>
      </c>
      <c r="AY374" s="954" t="str">
        <f ca="1">IFERROR($K374*(参考2_エネ使用量経年!AY224+参考2_エネ使用量経年!AY311),"")</f>
        <v/>
      </c>
      <c r="AZ374" s="954" t="str">
        <f ca="1">IFERROR($H374*(参考2_エネ使用量経年!AZ224+参考2_エネ使用量経年!AZ311),"")</f>
        <v/>
      </c>
      <c r="BA374" s="954" t="str">
        <f ca="1">IFERROR($I374*(参考2_エネ使用量経年!BA224+参考2_エネ使用量経年!BA311),"")</f>
        <v/>
      </c>
      <c r="BB374" s="954" t="str">
        <f ca="1">IFERROR($J374*(参考2_エネ使用量経年!BB224+参考2_エネ使用量経年!BB311),"")</f>
        <v/>
      </c>
      <c r="BC374" s="954" t="str">
        <f ca="1">IFERROR($K374*(参考2_エネ使用量経年!BC224+参考2_エネ使用量経年!BC311),"")</f>
        <v/>
      </c>
      <c r="BD374" s="954" t="str">
        <f ca="1">IFERROR($H374*(参考2_エネ使用量経年!BD224+参考2_エネ使用量経年!BD311),"")</f>
        <v/>
      </c>
      <c r="BE374" s="954" t="str">
        <f ca="1">IFERROR($I374*(参考2_エネ使用量経年!BE224+参考2_エネ使用量経年!BE311),"")</f>
        <v/>
      </c>
      <c r="BF374" s="954" t="str">
        <f ca="1">IFERROR($J374*(参考2_エネ使用量経年!BF224+参考2_エネ使用量経年!BF311),"")</f>
        <v/>
      </c>
      <c r="BG374" s="954" t="str">
        <f ca="1">IFERROR($K374*(参考2_エネ使用量経年!BG224+参考2_エネ使用量経年!BG311),"")</f>
        <v/>
      </c>
      <c r="BH374" s="954" t="str">
        <f ca="1">IFERROR($H374*(参考2_エネ使用量経年!BH224+参考2_エネ使用量経年!BH311),"")</f>
        <v/>
      </c>
      <c r="BI374" s="954" t="str">
        <f ca="1">IFERROR($I374*(参考2_エネ使用量経年!BI224+参考2_エネ使用量経年!BI311),"")</f>
        <v/>
      </c>
      <c r="BJ374" s="954" t="str">
        <f ca="1">IFERROR($J374*(参考2_エネ使用量経年!BJ224+参考2_エネ使用量経年!BJ311),"")</f>
        <v/>
      </c>
      <c r="BK374" s="954" t="str">
        <f ca="1">IFERROR($K374*(参考2_エネ使用量経年!BK224+参考2_エネ使用量経年!BK311),"")</f>
        <v/>
      </c>
      <c r="BL374" s="954" t="str">
        <f ca="1">IFERROR($H374*(参考2_エネ使用量経年!BL224+参考2_エネ使用量経年!BL311),"")</f>
        <v/>
      </c>
      <c r="BM374" s="954" t="str">
        <f ca="1">IFERROR($I374*(参考2_エネ使用量経年!BM224+参考2_エネ使用量経年!BM311),"")</f>
        <v/>
      </c>
      <c r="BN374" s="954" t="str">
        <f ca="1">IFERROR($J374*(参考2_エネ使用量経年!BN224+参考2_エネ使用量経年!BN311),"")</f>
        <v/>
      </c>
      <c r="BO374" s="954" t="str">
        <f ca="1">IFERROR($K374*(参考2_エネ使用量経年!BO224+参考2_エネ使用量経年!BO311),"")</f>
        <v/>
      </c>
      <c r="BP374" s="841"/>
    </row>
    <row r="375" spans="1:68" ht="20.100000000000001" customHeight="1">
      <c r="B375" s="1870"/>
      <c r="C375" s="1872"/>
      <c r="D375" s="852" t="s">
        <v>4429</v>
      </c>
      <c r="E375" s="824"/>
      <c r="F375" s="849"/>
      <c r="G375" s="891" t="s">
        <v>4685</v>
      </c>
      <c r="H375" s="1034"/>
      <c r="I375" s="1034"/>
      <c r="J375" s="1034"/>
      <c r="K375" s="1034"/>
      <c r="L375" s="954">
        <f ca="1">IFERROR($H375*(参考2_エネ使用量経年!L225+参考2_エネ使用量経年!L312),"")</f>
        <v>0</v>
      </c>
      <c r="M375" s="954">
        <f ca="1">IFERROR($I375*(参考2_エネ使用量経年!M225+参考2_エネ使用量経年!M312),"")</f>
        <v>0</v>
      </c>
      <c r="N375" s="954">
        <f ca="1">IFERROR($J375*(参考2_エネ使用量経年!N225+参考2_エネ使用量経年!N312),"")</f>
        <v>0</v>
      </c>
      <c r="O375" s="954">
        <f ca="1">IFERROR($K375*(参考2_エネ使用量経年!O225+参考2_エネ使用量経年!O312),"")</f>
        <v>0</v>
      </c>
      <c r="P375" s="954">
        <f ca="1">IFERROR($H375*(参考2_エネ使用量経年!P225+参考2_エネ使用量経年!P312),"")</f>
        <v>0</v>
      </c>
      <c r="Q375" s="954">
        <f ca="1">IFERROR($I375*(参考2_エネ使用量経年!Q225+参考2_エネ使用量経年!Q312),"")</f>
        <v>0</v>
      </c>
      <c r="R375" s="954">
        <f ca="1">IFERROR($J375*(参考2_エネ使用量経年!R225+参考2_エネ使用量経年!R312),"")</f>
        <v>0</v>
      </c>
      <c r="S375" s="954">
        <f ca="1">IFERROR($K375*(参考2_エネ使用量経年!S225+参考2_エネ使用量経年!S312),"")</f>
        <v>0</v>
      </c>
      <c r="T375" s="954">
        <f ca="1">IFERROR($H375*(参考2_エネ使用量経年!T225+参考2_エネ使用量経年!T312),"")</f>
        <v>0</v>
      </c>
      <c r="U375" s="954">
        <f ca="1">IFERROR($I375*(参考2_エネ使用量経年!U225+参考2_エネ使用量経年!U312),"")</f>
        <v>0</v>
      </c>
      <c r="V375" s="954">
        <f ca="1">IFERROR($J375*(参考2_エネ使用量経年!V225+参考2_エネ使用量経年!V312),"")</f>
        <v>0</v>
      </c>
      <c r="W375" s="954">
        <f ca="1">IFERROR($K375*(参考2_エネ使用量経年!W225+参考2_エネ使用量経年!W312),"")</f>
        <v>0</v>
      </c>
      <c r="X375" s="954">
        <f ca="1">IFERROR($H375*(参考2_エネ使用量経年!X225+参考2_エネ使用量経年!X312),"")</f>
        <v>0</v>
      </c>
      <c r="Y375" s="954">
        <f ca="1">IFERROR($I375*(参考2_エネ使用量経年!Y225+参考2_エネ使用量経年!Y312),"")</f>
        <v>0</v>
      </c>
      <c r="Z375" s="954">
        <f ca="1">IFERROR($J375*(参考2_エネ使用量経年!Z225+参考2_エネ使用量経年!Z312),"")</f>
        <v>0</v>
      </c>
      <c r="AA375" s="954">
        <f ca="1">IFERROR($K375*(参考2_エネ使用量経年!AA225+参考2_エネ使用量経年!AA312),"")</f>
        <v>0</v>
      </c>
      <c r="AB375" s="954" t="str">
        <f ca="1">IFERROR($H375*(参考2_エネ使用量経年!AB225+参考2_エネ使用量経年!AB312),"")</f>
        <v/>
      </c>
      <c r="AC375" s="954" t="str">
        <f ca="1">IFERROR($I375*(参考2_エネ使用量経年!AC225+参考2_エネ使用量経年!AC312),"")</f>
        <v/>
      </c>
      <c r="AD375" s="954" t="str">
        <f ca="1">IFERROR($J375*(参考2_エネ使用量経年!AD225+参考2_エネ使用量経年!AD312),"")</f>
        <v/>
      </c>
      <c r="AE375" s="954" t="str">
        <f ca="1">IFERROR($K375*(参考2_エネ使用量経年!AE225+参考2_エネ使用量経年!AE312),"")</f>
        <v/>
      </c>
      <c r="AF375" s="954" t="str">
        <f ca="1">IFERROR($H375*(参考2_エネ使用量経年!AF225+参考2_エネ使用量経年!AF312),"")</f>
        <v/>
      </c>
      <c r="AG375" s="954" t="str">
        <f ca="1">IFERROR($I375*(参考2_エネ使用量経年!AG225+参考2_エネ使用量経年!AG312),"")</f>
        <v/>
      </c>
      <c r="AH375" s="954" t="str">
        <f ca="1">IFERROR($J375*(参考2_エネ使用量経年!AH225+参考2_エネ使用量経年!AH312),"")</f>
        <v/>
      </c>
      <c r="AI375" s="954" t="str">
        <f ca="1">IFERROR($K375*(参考2_エネ使用量経年!AI225+参考2_エネ使用量経年!AI312),"")</f>
        <v/>
      </c>
      <c r="AJ375" s="954" t="str">
        <f ca="1">IFERROR($H375*(参考2_エネ使用量経年!AJ225+参考2_エネ使用量経年!AJ312),"")</f>
        <v/>
      </c>
      <c r="AK375" s="954" t="str">
        <f ca="1">IFERROR($I375*(参考2_エネ使用量経年!AK225+参考2_エネ使用量経年!AK312),"")</f>
        <v/>
      </c>
      <c r="AL375" s="954" t="str">
        <f ca="1">IFERROR($J375*(参考2_エネ使用量経年!AL225+参考2_エネ使用量経年!AL312),"")</f>
        <v/>
      </c>
      <c r="AM375" s="954" t="str">
        <f ca="1">IFERROR($K375*(参考2_エネ使用量経年!AM225+参考2_エネ使用量経年!AM312),"")</f>
        <v/>
      </c>
      <c r="AN375" s="954" t="str">
        <f ca="1">IFERROR($H375*(参考2_エネ使用量経年!AN225+参考2_エネ使用量経年!AN312),"")</f>
        <v/>
      </c>
      <c r="AO375" s="954" t="str">
        <f ca="1">IFERROR($I375*(参考2_エネ使用量経年!AO225+参考2_エネ使用量経年!AO312),"")</f>
        <v/>
      </c>
      <c r="AP375" s="954" t="str">
        <f ca="1">IFERROR($J375*(参考2_エネ使用量経年!AP225+参考2_エネ使用量経年!AP312),"")</f>
        <v/>
      </c>
      <c r="AQ375" s="954" t="str">
        <f ca="1">IFERROR($K375*(参考2_エネ使用量経年!AQ225+参考2_エネ使用量経年!AQ312),"")</f>
        <v/>
      </c>
      <c r="AR375" s="954" t="str">
        <f ca="1">IFERROR($H375*(参考2_エネ使用量経年!AR225+参考2_エネ使用量経年!AR312),"")</f>
        <v/>
      </c>
      <c r="AS375" s="954" t="str">
        <f ca="1">IFERROR($I375*(参考2_エネ使用量経年!AS225+参考2_エネ使用量経年!AS312),"")</f>
        <v/>
      </c>
      <c r="AT375" s="954" t="str">
        <f ca="1">IFERROR($J375*(参考2_エネ使用量経年!AT225+参考2_エネ使用量経年!AT312),"")</f>
        <v/>
      </c>
      <c r="AU375" s="954" t="str">
        <f ca="1">IFERROR($K375*(参考2_エネ使用量経年!AU225+参考2_エネ使用量経年!AU312),"")</f>
        <v/>
      </c>
      <c r="AV375" s="954" t="str">
        <f ca="1">IFERROR($H375*(参考2_エネ使用量経年!AV225+参考2_エネ使用量経年!AV312),"")</f>
        <v/>
      </c>
      <c r="AW375" s="954" t="str">
        <f ca="1">IFERROR($I375*(参考2_エネ使用量経年!AW225+参考2_エネ使用量経年!AW312),"")</f>
        <v/>
      </c>
      <c r="AX375" s="954" t="str">
        <f ca="1">IFERROR($J375*(参考2_エネ使用量経年!AX225+参考2_エネ使用量経年!AX312),"")</f>
        <v/>
      </c>
      <c r="AY375" s="954" t="str">
        <f ca="1">IFERROR($K375*(参考2_エネ使用量経年!AY225+参考2_エネ使用量経年!AY312),"")</f>
        <v/>
      </c>
      <c r="AZ375" s="954" t="str">
        <f ca="1">IFERROR($H375*(参考2_エネ使用量経年!AZ225+参考2_エネ使用量経年!AZ312),"")</f>
        <v/>
      </c>
      <c r="BA375" s="954" t="str">
        <f ca="1">IFERROR($I375*(参考2_エネ使用量経年!BA225+参考2_エネ使用量経年!BA312),"")</f>
        <v/>
      </c>
      <c r="BB375" s="954" t="str">
        <f ca="1">IFERROR($J375*(参考2_エネ使用量経年!BB225+参考2_エネ使用量経年!BB312),"")</f>
        <v/>
      </c>
      <c r="BC375" s="954" t="str">
        <f ca="1">IFERROR($K375*(参考2_エネ使用量経年!BC225+参考2_エネ使用量経年!BC312),"")</f>
        <v/>
      </c>
      <c r="BD375" s="954" t="str">
        <f ca="1">IFERROR($H375*(参考2_エネ使用量経年!BD225+参考2_エネ使用量経年!BD312),"")</f>
        <v/>
      </c>
      <c r="BE375" s="954" t="str">
        <f ca="1">IFERROR($I375*(参考2_エネ使用量経年!BE225+参考2_エネ使用量経年!BE312),"")</f>
        <v/>
      </c>
      <c r="BF375" s="954" t="str">
        <f ca="1">IFERROR($J375*(参考2_エネ使用量経年!BF225+参考2_エネ使用量経年!BF312),"")</f>
        <v/>
      </c>
      <c r="BG375" s="954" t="str">
        <f ca="1">IFERROR($K375*(参考2_エネ使用量経年!BG225+参考2_エネ使用量経年!BG312),"")</f>
        <v/>
      </c>
      <c r="BH375" s="954" t="str">
        <f ca="1">IFERROR($H375*(参考2_エネ使用量経年!BH225+参考2_エネ使用量経年!BH312),"")</f>
        <v/>
      </c>
      <c r="BI375" s="954" t="str">
        <f ca="1">IFERROR($I375*(参考2_エネ使用量経年!BI225+参考2_エネ使用量経年!BI312),"")</f>
        <v/>
      </c>
      <c r="BJ375" s="954" t="str">
        <f ca="1">IFERROR($J375*(参考2_エネ使用量経年!BJ225+参考2_エネ使用量経年!BJ312),"")</f>
        <v/>
      </c>
      <c r="BK375" s="954" t="str">
        <f ca="1">IFERROR($K375*(参考2_エネ使用量経年!BK225+参考2_エネ使用量経年!BK312),"")</f>
        <v/>
      </c>
      <c r="BL375" s="954" t="str">
        <f ca="1">IFERROR($H375*(参考2_エネ使用量経年!BL225+参考2_エネ使用量経年!BL312),"")</f>
        <v/>
      </c>
      <c r="BM375" s="954" t="str">
        <f ca="1">IFERROR($I375*(参考2_エネ使用量経年!BM225+参考2_エネ使用量経年!BM312),"")</f>
        <v/>
      </c>
      <c r="BN375" s="954" t="str">
        <f ca="1">IFERROR($J375*(参考2_エネ使用量経年!BN225+参考2_エネ使用量経年!BN312),"")</f>
        <v/>
      </c>
      <c r="BO375" s="954" t="str">
        <f ca="1">IFERROR($K375*(参考2_エネ使用量経年!BO225+参考2_エネ使用量経年!BO312),"")</f>
        <v/>
      </c>
      <c r="BP375" s="841"/>
    </row>
    <row r="376" spans="1:68" ht="20.100000000000001" customHeight="1">
      <c r="A376" s="952"/>
      <c r="B376" s="1870"/>
      <c r="C376" s="1872"/>
      <c r="D376" s="852" t="s">
        <v>4430</v>
      </c>
      <c r="E376" s="824"/>
      <c r="F376" s="849"/>
      <c r="G376" s="891" t="s">
        <v>4685</v>
      </c>
      <c r="H376" s="1034"/>
      <c r="I376" s="1034"/>
      <c r="J376" s="1034"/>
      <c r="K376" s="1034"/>
      <c r="L376" s="954">
        <f ca="1">IFERROR($H376*(参考2_エネ使用量経年!L226+参考2_エネ使用量経年!L313),"")</f>
        <v>0</v>
      </c>
      <c r="M376" s="954">
        <f ca="1">IFERROR($I376*(参考2_エネ使用量経年!M226+参考2_エネ使用量経年!M313),"")</f>
        <v>0</v>
      </c>
      <c r="N376" s="954">
        <f ca="1">IFERROR($J376*(参考2_エネ使用量経年!N226+参考2_エネ使用量経年!N313),"")</f>
        <v>0</v>
      </c>
      <c r="O376" s="954">
        <f ca="1">IFERROR($K376*(参考2_エネ使用量経年!O226+参考2_エネ使用量経年!O313),"")</f>
        <v>0</v>
      </c>
      <c r="P376" s="954">
        <f ca="1">IFERROR($H376*(参考2_エネ使用量経年!P226+参考2_エネ使用量経年!P313),"")</f>
        <v>0</v>
      </c>
      <c r="Q376" s="954">
        <f ca="1">IFERROR($I376*(参考2_エネ使用量経年!Q226+参考2_エネ使用量経年!Q313),"")</f>
        <v>0</v>
      </c>
      <c r="R376" s="954">
        <f ca="1">IFERROR($J376*(参考2_エネ使用量経年!R226+参考2_エネ使用量経年!R313),"")</f>
        <v>0</v>
      </c>
      <c r="S376" s="954">
        <f ca="1">IFERROR($K376*(参考2_エネ使用量経年!S226+参考2_エネ使用量経年!S313),"")</f>
        <v>0</v>
      </c>
      <c r="T376" s="954">
        <f ca="1">IFERROR($H376*(参考2_エネ使用量経年!T226+参考2_エネ使用量経年!T313),"")</f>
        <v>0</v>
      </c>
      <c r="U376" s="954">
        <f ca="1">IFERROR($I376*(参考2_エネ使用量経年!U226+参考2_エネ使用量経年!U313),"")</f>
        <v>0</v>
      </c>
      <c r="V376" s="954">
        <f ca="1">IFERROR($J376*(参考2_エネ使用量経年!V226+参考2_エネ使用量経年!V313),"")</f>
        <v>0</v>
      </c>
      <c r="W376" s="954">
        <f ca="1">IFERROR($K376*(参考2_エネ使用量経年!W226+参考2_エネ使用量経年!W313),"")</f>
        <v>0</v>
      </c>
      <c r="X376" s="954">
        <f ca="1">IFERROR($H376*(参考2_エネ使用量経年!X226+参考2_エネ使用量経年!X313),"")</f>
        <v>0</v>
      </c>
      <c r="Y376" s="954">
        <f ca="1">IFERROR($I376*(参考2_エネ使用量経年!Y226+参考2_エネ使用量経年!Y313),"")</f>
        <v>0</v>
      </c>
      <c r="Z376" s="954">
        <f ca="1">IFERROR($J376*(参考2_エネ使用量経年!Z226+参考2_エネ使用量経年!Z313),"")</f>
        <v>0</v>
      </c>
      <c r="AA376" s="954">
        <f ca="1">IFERROR($K376*(参考2_エネ使用量経年!AA226+参考2_エネ使用量経年!AA313),"")</f>
        <v>0</v>
      </c>
      <c r="AB376" s="954" t="str">
        <f ca="1">IFERROR($H376*(参考2_エネ使用量経年!AB226+参考2_エネ使用量経年!AB313),"")</f>
        <v/>
      </c>
      <c r="AC376" s="954" t="str">
        <f ca="1">IFERROR($I376*(参考2_エネ使用量経年!AC226+参考2_エネ使用量経年!AC313),"")</f>
        <v/>
      </c>
      <c r="AD376" s="954" t="str">
        <f ca="1">IFERROR($J376*(参考2_エネ使用量経年!AD226+参考2_エネ使用量経年!AD313),"")</f>
        <v/>
      </c>
      <c r="AE376" s="954" t="str">
        <f ca="1">IFERROR($K376*(参考2_エネ使用量経年!AE226+参考2_エネ使用量経年!AE313),"")</f>
        <v/>
      </c>
      <c r="AF376" s="954" t="str">
        <f ca="1">IFERROR($H376*(参考2_エネ使用量経年!AF226+参考2_エネ使用量経年!AF313),"")</f>
        <v/>
      </c>
      <c r="AG376" s="954" t="str">
        <f ca="1">IFERROR($I376*(参考2_エネ使用量経年!AG226+参考2_エネ使用量経年!AG313),"")</f>
        <v/>
      </c>
      <c r="AH376" s="954" t="str">
        <f ca="1">IFERROR($J376*(参考2_エネ使用量経年!AH226+参考2_エネ使用量経年!AH313),"")</f>
        <v/>
      </c>
      <c r="AI376" s="954" t="str">
        <f ca="1">IFERROR($K376*(参考2_エネ使用量経年!AI226+参考2_エネ使用量経年!AI313),"")</f>
        <v/>
      </c>
      <c r="AJ376" s="954" t="str">
        <f ca="1">IFERROR($H376*(参考2_エネ使用量経年!AJ226+参考2_エネ使用量経年!AJ313),"")</f>
        <v/>
      </c>
      <c r="AK376" s="954" t="str">
        <f ca="1">IFERROR($I376*(参考2_エネ使用量経年!AK226+参考2_エネ使用量経年!AK313),"")</f>
        <v/>
      </c>
      <c r="AL376" s="954" t="str">
        <f ca="1">IFERROR($J376*(参考2_エネ使用量経年!AL226+参考2_エネ使用量経年!AL313),"")</f>
        <v/>
      </c>
      <c r="AM376" s="954" t="str">
        <f ca="1">IFERROR($K376*(参考2_エネ使用量経年!AM226+参考2_エネ使用量経年!AM313),"")</f>
        <v/>
      </c>
      <c r="AN376" s="954" t="str">
        <f ca="1">IFERROR($H376*(参考2_エネ使用量経年!AN226+参考2_エネ使用量経年!AN313),"")</f>
        <v/>
      </c>
      <c r="AO376" s="954" t="str">
        <f ca="1">IFERROR($I376*(参考2_エネ使用量経年!AO226+参考2_エネ使用量経年!AO313),"")</f>
        <v/>
      </c>
      <c r="AP376" s="954" t="str">
        <f ca="1">IFERROR($J376*(参考2_エネ使用量経年!AP226+参考2_エネ使用量経年!AP313),"")</f>
        <v/>
      </c>
      <c r="AQ376" s="954" t="str">
        <f ca="1">IFERROR($K376*(参考2_エネ使用量経年!AQ226+参考2_エネ使用量経年!AQ313),"")</f>
        <v/>
      </c>
      <c r="AR376" s="954" t="str">
        <f ca="1">IFERROR($H376*(参考2_エネ使用量経年!AR226+参考2_エネ使用量経年!AR313),"")</f>
        <v/>
      </c>
      <c r="AS376" s="954" t="str">
        <f ca="1">IFERROR($I376*(参考2_エネ使用量経年!AS226+参考2_エネ使用量経年!AS313),"")</f>
        <v/>
      </c>
      <c r="AT376" s="954" t="str">
        <f ca="1">IFERROR($J376*(参考2_エネ使用量経年!AT226+参考2_エネ使用量経年!AT313),"")</f>
        <v/>
      </c>
      <c r="AU376" s="954" t="str">
        <f ca="1">IFERROR($K376*(参考2_エネ使用量経年!AU226+参考2_エネ使用量経年!AU313),"")</f>
        <v/>
      </c>
      <c r="AV376" s="954" t="str">
        <f ca="1">IFERROR($H376*(参考2_エネ使用量経年!AV226+参考2_エネ使用量経年!AV313),"")</f>
        <v/>
      </c>
      <c r="AW376" s="954" t="str">
        <f ca="1">IFERROR($I376*(参考2_エネ使用量経年!AW226+参考2_エネ使用量経年!AW313),"")</f>
        <v/>
      </c>
      <c r="AX376" s="954" t="str">
        <f ca="1">IFERROR($J376*(参考2_エネ使用量経年!AX226+参考2_エネ使用量経年!AX313),"")</f>
        <v/>
      </c>
      <c r="AY376" s="954" t="str">
        <f ca="1">IFERROR($K376*(参考2_エネ使用量経年!AY226+参考2_エネ使用量経年!AY313),"")</f>
        <v/>
      </c>
      <c r="AZ376" s="954" t="str">
        <f ca="1">IFERROR($H376*(参考2_エネ使用量経年!AZ226+参考2_エネ使用量経年!AZ313),"")</f>
        <v/>
      </c>
      <c r="BA376" s="954" t="str">
        <f ca="1">IFERROR($I376*(参考2_エネ使用量経年!BA226+参考2_エネ使用量経年!BA313),"")</f>
        <v/>
      </c>
      <c r="BB376" s="954" t="str">
        <f ca="1">IFERROR($J376*(参考2_エネ使用量経年!BB226+参考2_エネ使用量経年!BB313),"")</f>
        <v/>
      </c>
      <c r="BC376" s="954" t="str">
        <f ca="1">IFERROR($K376*(参考2_エネ使用量経年!BC226+参考2_エネ使用量経年!BC313),"")</f>
        <v/>
      </c>
      <c r="BD376" s="954" t="str">
        <f ca="1">IFERROR($H376*(参考2_エネ使用量経年!BD226+参考2_エネ使用量経年!BD313),"")</f>
        <v/>
      </c>
      <c r="BE376" s="954" t="str">
        <f ca="1">IFERROR($I376*(参考2_エネ使用量経年!BE226+参考2_エネ使用量経年!BE313),"")</f>
        <v/>
      </c>
      <c r="BF376" s="954" t="str">
        <f ca="1">IFERROR($J376*(参考2_エネ使用量経年!BF226+参考2_エネ使用量経年!BF313),"")</f>
        <v/>
      </c>
      <c r="BG376" s="954" t="str">
        <f ca="1">IFERROR($K376*(参考2_エネ使用量経年!BG226+参考2_エネ使用量経年!BG313),"")</f>
        <v/>
      </c>
      <c r="BH376" s="954" t="str">
        <f ca="1">IFERROR($H376*(参考2_エネ使用量経年!BH226+参考2_エネ使用量経年!BH313),"")</f>
        <v/>
      </c>
      <c r="BI376" s="954" t="str">
        <f ca="1">IFERROR($I376*(参考2_エネ使用量経年!BI226+参考2_エネ使用量経年!BI313),"")</f>
        <v/>
      </c>
      <c r="BJ376" s="954" t="str">
        <f ca="1">IFERROR($J376*(参考2_エネ使用量経年!BJ226+参考2_エネ使用量経年!BJ313),"")</f>
        <v/>
      </c>
      <c r="BK376" s="954" t="str">
        <f ca="1">IFERROR($K376*(参考2_エネ使用量経年!BK226+参考2_エネ使用量経年!BK313),"")</f>
        <v/>
      </c>
      <c r="BL376" s="954" t="str">
        <f ca="1">IFERROR($H376*(参考2_エネ使用量経年!BL226+参考2_エネ使用量経年!BL313),"")</f>
        <v/>
      </c>
      <c r="BM376" s="954" t="str">
        <f ca="1">IFERROR($I376*(参考2_エネ使用量経年!BM226+参考2_エネ使用量経年!BM313),"")</f>
        <v/>
      </c>
      <c r="BN376" s="954" t="str">
        <f ca="1">IFERROR($J376*(参考2_エネ使用量経年!BN226+参考2_エネ使用量経年!BN313),"")</f>
        <v/>
      </c>
      <c r="BO376" s="954" t="str">
        <f ca="1">IFERROR($K376*(参考2_エネ使用量経年!BO226+参考2_エネ使用量経年!BO313),"")</f>
        <v/>
      </c>
      <c r="BP376" s="841"/>
    </row>
    <row r="377" spans="1:68" ht="20.100000000000001" customHeight="1">
      <c r="B377" s="1870"/>
      <c r="C377" s="1872"/>
      <c r="D377" s="852" t="s">
        <v>4431</v>
      </c>
      <c r="E377" s="824"/>
      <c r="F377" s="849"/>
      <c r="G377" s="891" t="s">
        <v>4685</v>
      </c>
      <c r="H377" s="1034"/>
      <c r="I377" s="1034"/>
      <c r="J377" s="1034"/>
      <c r="K377" s="1034"/>
      <c r="L377" s="954">
        <f ca="1">IFERROR($H377*(参考2_エネ使用量経年!L227+参考2_エネ使用量経年!L314),"")</f>
        <v>0</v>
      </c>
      <c r="M377" s="954">
        <f ca="1">IFERROR($I377*(参考2_エネ使用量経年!M227+参考2_エネ使用量経年!M314),"")</f>
        <v>0</v>
      </c>
      <c r="N377" s="954">
        <f ca="1">IFERROR($J377*(参考2_エネ使用量経年!N227+参考2_エネ使用量経年!N314),"")</f>
        <v>0</v>
      </c>
      <c r="O377" s="954">
        <f ca="1">IFERROR($K377*(参考2_エネ使用量経年!O227+参考2_エネ使用量経年!O314),"")</f>
        <v>0</v>
      </c>
      <c r="P377" s="954">
        <f ca="1">IFERROR($H377*(参考2_エネ使用量経年!P227+参考2_エネ使用量経年!P314),"")</f>
        <v>0</v>
      </c>
      <c r="Q377" s="954">
        <f ca="1">IFERROR($I377*(参考2_エネ使用量経年!Q227+参考2_エネ使用量経年!Q314),"")</f>
        <v>0</v>
      </c>
      <c r="R377" s="954">
        <f ca="1">IFERROR($J377*(参考2_エネ使用量経年!R227+参考2_エネ使用量経年!R314),"")</f>
        <v>0</v>
      </c>
      <c r="S377" s="954">
        <f ca="1">IFERROR($K377*(参考2_エネ使用量経年!S227+参考2_エネ使用量経年!S314),"")</f>
        <v>0</v>
      </c>
      <c r="T377" s="954">
        <f ca="1">IFERROR($H377*(参考2_エネ使用量経年!T227+参考2_エネ使用量経年!T314),"")</f>
        <v>0</v>
      </c>
      <c r="U377" s="954">
        <f ca="1">IFERROR($I377*(参考2_エネ使用量経年!U227+参考2_エネ使用量経年!U314),"")</f>
        <v>0</v>
      </c>
      <c r="V377" s="954">
        <f ca="1">IFERROR($J377*(参考2_エネ使用量経年!V227+参考2_エネ使用量経年!V314),"")</f>
        <v>0</v>
      </c>
      <c r="W377" s="954">
        <f ca="1">IFERROR($K377*(参考2_エネ使用量経年!W227+参考2_エネ使用量経年!W314),"")</f>
        <v>0</v>
      </c>
      <c r="X377" s="954">
        <f ca="1">IFERROR($H377*(参考2_エネ使用量経年!X227+参考2_エネ使用量経年!X314),"")</f>
        <v>0</v>
      </c>
      <c r="Y377" s="954">
        <f ca="1">IFERROR($I377*(参考2_エネ使用量経年!Y227+参考2_エネ使用量経年!Y314),"")</f>
        <v>0</v>
      </c>
      <c r="Z377" s="954">
        <f ca="1">IFERROR($J377*(参考2_エネ使用量経年!Z227+参考2_エネ使用量経年!Z314),"")</f>
        <v>0</v>
      </c>
      <c r="AA377" s="954">
        <f ca="1">IFERROR($K377*(参考2_エネ使用量経年!AA227+参考2_エネ使用量経年!AA314),"")</f>
        <v>0</v>
      </c>
      <c r="AB377" s="954" t="str">
        <f ca="1">IFERROR($H377*(参考2_エネ使用量経年!AB227+参考2_エネ使用量経年!AB314),"")</f>
        <v/>
      </c>
      <c r="AC377" s="954" t="str">
        <f ca="1">IFERROR($I377*(参考2_エネ使用量経年!AC227+参考2_エネ使用量経年!AC314),"")</f>
        <v/>
      </c>
      <c r="AD377" s="954" t="str">
        <f ca="1">IFERROR($J377*(参考2_エネ使用量経年!AD227+参考2_エネ使用量経年!AD314),"")</f>
        <v/>
      </c>
      <c r="AE377" s="954" t="str">
        <f ca="1">IFERROR($K377*(参考2_エネ使用量経年!AE227+参考2_エネ使用量経年!AE314),"")</f>
        <v/>
      </c>
      <c r="AF377" s="954" t="str">
        <f ca="1">IFERROR($H377*(参考2_エネ使用量経年!AF227+参考2_エネ使用量経年!AF314),"")</f>
        <v/>
      </c>
      <c r="AG377" s="954" t="str">
        <f ca="1">IFERROR($I377*(参考2_エネ使用量経年!AG227+参考2_エネ使用量経年!AG314),"")</f>
        <v/>
      </c>
      <c r="AH377" s="954" t="str">
        <f ca="1">IFERROR($J377*(参考2_エネ使用量経年!AH227+参考2_エネ使用量経年!AH314),"")</f>
        <v/>
      </c>
      <c r="AI377" s="954" t="str">
        <f ca="1">IFERROR($K377*(参考2_エネ使用量経年!AI227+参考2_エネ使用量経年!AI314),"")</f>
        <v/>
      </c>
      <c r="AJ377" s="954" t="str">
        <f ca="1">IFERROR($H377*(参考2_エネ使用量経年!AJ227+参考2_エネ使用量経年!AJ314),"")</f>
        <v/>
      </c>
      <c r="AK377" s="954" t="str">
        <f ca="1">IFERROR($I377*(参考2_エネ使用量経年!AK227+参考2_エネ使用量経年!AK314),"")</f>
        <v/>
      </c>
      <c r="AL377" s="954" t="str">
        <f ca="1">IFERROR($J377*(参考2_エネ使用量経年!AL227+参考2_エネ使用量経年!AL314),"")</f>
        <v/>
      </c>
      <c r="AM377" s="954" t="str">
        <f ca="1">IFERROR($K377*(参考2_エネ使用量経年!AM227+参考2_エネ使用量経年!AM314),"")</f>
        <v/>
      </c>
      <c r="AN377" s="954" t="str">
        <f ca="1">IFERROR($H377*(参考2_エネ使用量経年!AN227+参考2_エネ使用量経年!AN314),"")</f>
        <v/>
      </c>
      <c r="AO377" s="954" t="str">
        <f ca="1">IFERROR($I377*(参考2_エネ使用量経年!AO227+参考2_エネ使用量経年!AO314),"")</f>
        <v/>
      </c>
      <c r="AP377" s="954" t="str">
        <f ca="1">IFERROR($J377*(参考2_エネ使用量経年!AP227+参考2_エネ使用量経年!AP314),"")</f>
        <v/>
      </c>
      <c r="AQ377" s="954" t="str">
        <f ca="1">IFERROR($K377*(参考2_エネ使用量経年!AQ227+参考2_エネ使用量経年!AQ314),"")</f>
        <v/>
      </c>
      <c r="AR377" s="954" t="str">
        <f ca="1">IFERROR($H377*(参考2_エネ使用量経年!AR227+参考2_エネ使用量経年!AR314),"")</f>
        <v/>
      </c>
      <c r="AS377" s="954" t="str">
        <f ca="1">IFERROR($I377*(参考2_エネ使用量経年!AS227+参考2_エネ使用量経年!AS314),"")</f>
        <v/>
      </c>
      <c r="AT377" s="954" t="str">
        <f ca="1">IFERROR($J377*(参考2_エネ使用量経年!AT227+参考2_エネ使用量経年!AT314),"")</f>
        <v/>
      </c>
      <c r="AU377" s="954" t="str">
        <f ca="1">IFERROR($K377*(参考2_エネ使用量経年!AU227+参考2_エネ使用量経年!AU314),"")</f>
        <v/>
      </c>
      <c r="AV377" s="954" t="str">
        <f ca="1">IFERROR($H377*(参考2_エネ使用量経年!AV227+参考2_エネ使用量経年!AV314),"")</f>
        <v/>
      </c>
      <c r="AW377" s="954" t="str">
        <f ca="1">IFERROR($I377*(参考2_エネ使用量経年!AW227+参考2_エネ使用量経年!AW314),"")</f>
        <v/>
      </c>
      <c r="AX377" s="954" t="str">
        <f ca="1">IFERROR($J377*(参考2_エネ使用量経年!AX227+参考2_エネ使用量経年!AX314),"")</f>
        <v/>
      </c>
      <c r="AY377" s="954" t="str">
        <f ca="1">IFERROR($K377*(参考2_エネ使用量経年!AY227+参考2_エネ使用量経年!AY314),"")</f>
        <v/>
      </c>
      <c r="AZ377" s="954" t="str">
        <f ca="1">IFERROR($H377*(参考2_エネ使用量経年!AZ227+参考2_エネ使用量経年!AZ314),"")</f>
        <v/>
      </c>
      <c r="BA377" s="954" t="str">
        <f ca="1">IFERROR($I377*(参考2_エネ使用量経年!BA227+参考2_エネ使用量経年!BA314),"")</f>
        <v/>
      </c>
      <c r="BB377" s="954" t="str">
        <f ca="1">IFERROR($J377*(参考2_エネ使用量経年!BB227+参考2_エネ使用量経年!BB314),"")</f>
        <v/>
      </c>
      <c r="BC377" s="954" t="str">
        <f ca="1">IFERROR($K377*(参考2_エネ使用量経年!BC227+参考2_エネ使用量経年!BC314),"")</f>
        <v/>
      </c>
      <c r="BD377" s="954" t="str">
        <f ca="1">IFERROR($H377*(参考2_エネ使用量経年!BD227+参考2_エネ使用量経年!BD314),"")</f>
        <v/>
      </c>
      <c r="BE377" s="954" t="str">
        <f ca="1">IFERROR($I377*(参考2_エネ使用量経年!BE227+参考2_エネ使用量経年!BE314),"")</f>
        <v/>
      </c>
      <c r="BF377" s="954" t="str">
        <f ca="1">IFERROR($J377*(参考2_エネ使用量経年!BF227+参考2_エネ使用量経年!BF314),"")</f>
        <v/>
      </c>
      <c r="BG377" s="954" t="str">
        <f ca="1">IFERROR($K377*(参考2_エネ使用量経年!BG227+参考2_エネ使用量経年!BG314),"")</f>
        <v/>
      </c>
      <c r="BH377" s="954" t="str">
        <f ca="1">IFERROR($H377*(参考2_エネ使用量経年!BH227+参考2_エネ使用量経年!BH314),"")</f>
        <v/>
      </c>
      <c r="BI377" s="954" t="str">
        <f ca="1">IFERROR($I377*(参考2_エネ使用量経年!BI227+参考2_エネ使用量経年!BI314),"")</f>
        <v/>
      </c>
      <c r="BJ377" s="954" t="str">
        <f ca="1">IFERROR($J377*(参考2_エネ使用量経年!BJ227+参考2_エネ使用量経年!BJ314),"")</f>
        <v/>
      </c>
      <c r="BK377" s="954" t="str">
        <f ca="1">IFERROR($K377*(参考2_エネ使用量経年!BK227+参考2_エネ使用量経年!BK314),"")</f>
        <v/>
      </c>
      <c r="BL377" s="954" t="str">
        <f ca="1">IFERROR($H377*(参考2_エネ使用量経年!BL227+参考2_エネ使用量経年!BL314),"")</f>
        <v/>
      </c>
      <c r="BM377" s="954" t="str">
        <f ca="1">IFERROR($I377*(参考2_エネ使用量経年!BM227+参考2_エネ使用量経年!BM314),"")</f>
        <v/>
      </c>
      <c r="BN377" s="954" t="str">
        <f ca="1">IFERROR($J377*(参考2_エネ使用量経年!BN227+参考2_エネ使用量経年!BN314),"")</f>
        <v/>
      </c>
      <c r="BO377" s="954" t="str">
        <f ca="1">IFERROR($K377*(参考2_エネ使用量経年!BO227+参考2_エネ使用量経年!BO314),"")</f>
        <v/>
      </c>
      <c r="BP377" s="841"/>
    </row>
    <row r="378" spans="1:68" ht="20.100000000000001" customHeight="1">
      <c r="A378" s="952">
        <v>70</v>
      </c>
      <c r="B378" s="1870"/>
      <c r="C378" s="1872"/>
      <c r="D378" s="853" t="s">
        <v>4432</v>
      </c>
      <c r="E378" s="831" t="str">
        <f ca="1">E65</f>
        <v/>
      </c>
      <c r="F378" s="833"/>
      <c r="G378" s="891" t="s">
        <v>4685</v>
      </c>
      <c r="H378" s="953">
        <f t="shared" ca="1" si="110"/>
        <v>0</v>
      </c>
      <c r="I378" s="953">
        <f t="shared" ca="1" si="111"/>
        <v>0</v>
      </c>
      <c r="J378" s="953">
        <f t="shared" ca="1" si="112"/>
        <v>0</v>
      </c>
      <c r="K378" s="953">
        <f t="shared" ca="1" si="113"/>
        <v>0</v>
      </c>
      <c r="L378" s="954">
        <f ca="1">IFERROR($H378*(参考2_エネ使用量経年!L228+参考2_エネ使用量経年!L315),"")</f>
        <v>0</v>
      </c>
      <c r="M378" s="954">
        <f ca="1">IFERROR($I378*(参考2_エネ使用量経年!M228+参考2_エネ使用量経年!M315),"")</f>
        <v>0</v>
      </c>
      <c r="N378" s="954">
        <f ca="1">IFERROR($J378*(参考2_エネ使用量経年!N228+参考2_エネ使用量経年!N315),"")</f>
        <v>0</v>
      </c>
      <c r="O378" s="954">
        <f ca="1">IFERROR($K378*(参考2_エネ使用量経年!O228+参考2_エネ使用量経年!O315),"")</f>
        <v>0</v>
      </c>
      <c r="P378" s="954">
        <f ca="1">IFERROR($H378*(参考2_エネ使用量経年!P228+参考2_エネ使用量経年!P315),"")</f>
        <v>0</v>
      </c>
      <c r="Q378" s="954">
        <f ca="1">IFERROR($I378*(参考2_エネ使用量経年!Q228+参考2_エネ使用量経年!Q315),"")</f>
        <v>0</v>
      </c>
      <c r="R378" s="954">
        <f ca="1">IFERROR($J378*(参考2_エネ使用量経年!R228+参考2_エネ使用量経年!R315),"")</f>
        <v>0</v>
      </c>
      <c r="S378" s="954">
        <f ca="1">IFERROR($K378*(参考2_エネ使用量経年!S228+参考2_エネ使用量経年!S315),"")</f>
        <v>0</v>
      </c>
      <c r="T378" s="954">
        <f ca="1">IFERROR($H378*(参考2_エネ使用量経年!T228+参考2_エネ使用量経年!T315),"")</f>
        <v>0</v>
      </c>
      <c r="U378" s="954">
        <f ca="1">IFERROR($I378*(参考2_エネ使用量経年!U228+参考2_エネ使用量経年!U315),"")</f>
        <v>0</v>
      </c>
      <c r="V378" s="954">
        <f ca="1">IFERROR($J378*(参考2_エネ使用量経年!V228+参考2_エネ使用量経年!V315),"")</f>
        <v>0</v>
      </c>
      <c r="W378" s="954">
        <f ca="1">IFERROR($K378*(参考2_エネ使用量経年!W228+参考2_エネ使用量経年!W315),"")</f>
        <v>0</v>
      </c>
      <c r="X378" s="954">
        <f ca="1">IFERROR($H378*(参考2_エネ使用量経年!X228+参考2_エネ使用量経年!X315),"")</f>
        <v>0</v>
      </c>
      <c r="Y378" s="954">
        <f ca="1">IFERROR($I378*(参考2_エネ使用量経年!Y228+参考2_エネ使用量経年!Y315),"")</f>
        <v>0</v>
      </c>
      <c r="Z378" s="954">
        <f ca="1">IFERROR($J378*(参考2_エネ使用量経年!Z228+参考2_エネ使用量経年!Z315),"")</f>
        <v>0</v>
      </c>
      <c r="AA378" s="954">
        <f ca="1">IFERROR($K378*(参考2_エネ使用量経年!AA228+参考2_エネ使用量経年!AA315),"")</f>
        <v>0</v>
      </c>
      <c r="AB378" s="954" t="str">
        <f ca="1">IFERROR($H378*(参考2_エネ使用量経年!AB228+参考2_エネ使用量経年!AB315),"")</f>
        <v/>
      </c>
      <c r="AC378" s="954" t="str">
        <f ca="1">IFERROR($I378*(参考2_エネ使用量経年!AC228+参考2_エネ使用量経年!AC315),"")</f>
        <v/>
      </c>
      <c r="AD378" s="954" t="str">
        <f ca="1">IFERROR($J378*(参考2_エネ使用量経年!AD228+参考2_エネ使用量経年!AD315),"")</f>
        <v/>
      </c>
      <c r="AE378" s="954" t="str">
        <f ca="1">IFERROR($K378*(参考2_エネ使用量経年!AE228+参考2_エネ使用量経年!AE315),"")</f>
        <v/>
      </c>
      <c r="AF378" s="954" t="str">
        <f ca="1">IFERROR($H378*(参考2_エネ使用量経年!AF228+参考2_エネ使用量経年!AF315),"")</f>
        <v/>
      </c>
      <c r="AG378" s="954" t="str">
        <f ca="1">IFERROR($I378*(参考2_エネ使用量経年!AG228+参考2_エネ使用量経年!AG315),"")</f>
        <v/>
      </c>
      <c r="AH378" s="954" t="str">
        <f ca="1">IFERROR($J378*(参考2_エネ使用量経年!AH228+参考2_エネ使用量経年!AH315),"")</f>
        <v/>
      </c>
      <c r="AI378" s="954" t="str">
        <f ca="1">IFERROR($K378*(参考2_エネ使用量経年!AI228+参考2_エネ使用量経年!AI315),"")</f>
        <v/>
      </c>
      <c r="AJ378" s="954" t="str">
        <f ca="1">IFERROR($H378*(参考2_エネ使用量経年!AJ228+参考2_エネ使用量経年!AJ315),"")</f>
        <v/>
      </c>
      <c r="AK378" s="954" t="str">
        <f ca="1">IFERROR($I378*(参考2_エネ使用量経年!AK228+参考2_エネ使用量経年!AK315),"")</f>
        <v/>
      </c>
      <c r="AL378" s="954" t="str">
        <f ca="1">IFERROR($J378*(参考2_エネ使用量経年!AL228+参考2_エネ使用量経年!AL315),"")</f>
        <v/>
      </c>
      <c r="AM378" s="954" t="str">
        <f ca="1">IFERROR($K378*(参考2_エネ使用量経年!AM228+参考2_エネ使用量経年!AM315),"")</f>
        <v/>
      </c>
      <c r="AN378" s="954" t="str">
        <f ca="1">IFERROR($H378*(参考2_エネ使用量経年!AN228+参考2_エネ使用量経年!AN315),"")</f>
        <v/>
      </c>
      <c r="AO378" s="954" t="str">
        <f ca="1">IFERROR($I378*(参考2_エネ使用量経年!AO228+参考2_エネ使用量経年!AO315),"")</f>
        <v/>
      </c>
      <c r="AP378" s="954" t="str">
        <f ca="1">IFERROR($J378*(参考2_エネ使用量経年!AP228+参考2_エネ使用量経年!AP315),"")</f>
        <v/>
      </c>
      <c r="AQ378" s="954" t="str">
        <f ca="1">IFERROR($K378*(参考2_エネ使用量経年!AQ228+参考2_エネ使用量経年!AQ315),"")</f>
        <v/>
      </c>
      <c r="AR378" s="954" t="str">
        <f ca="1">IFERROR($H378*(参考2_エネ使用量経年!AR228+参考2_エネ使用量経年!AR315),"")</f>
        <v/>
      </c>
      <c r="AS378" s="954" t="str">
        <f ca="1">IFERROR($I378*(参考2_エネ使用量経年!AS228+参考2_エネ使用量経年!AS315),"")</f>
        <v/>
      </c>
      <c r="AT378" s="954" t="str">
        <f ca="1">IFERROR($J378*(参考2_エネ使用量経年!AT228+参考2_エネ使用量経年!AT315),"")</f>
        <v/>
      </c>
      <c r="AU378" s="954" t="str">
        <f ca="1">IFERROR($K378*(参考2_エネ使用量経年!AU228+参考2_エネ使用量経年!AU315),"")</f>
        <v/>
      </c>
      <c r="AV378" s="954" t="str">
        <f ca="1">IFERROR($H378*(参考2_エネ使用量経年!AV228+参考2_エネ使用量経年!AV315),"")</f>
        <v/>
      </c>
      <c r="AW378" s="954" t="str">
        <f ca="1">IFERROR($I378*(参考2_エネ使用量経年!AW228+参考2_エネ使用量経年!AW315),"")</f>
        <v/>
      </c>
      <c r="AX378" s="954" t="str">
        <f ca="1">IFERROR($J378*(参考2_エネ使用量経年!AX228+参考2_エネ使用量経年!AX315),"")</f>
        <v/>
      </c>
      <c r="AY378" s="954" t="str">
        <f ca="1">IFERROR($K378*(参考2_エネ使用量経年!AY228+参考2_エネ使用量経年!AY315),"")</f>
        <v/>
      </c>
      <c r="AZ378" s="954" t="str">
        <f ca="1">IFERROR($H378*(参考2_エネ使用量経年!AZ228+参考2_エネ使用量経年!AZ315),"")</f>
        <v/>
      </c>
      <c r="BA378" s="954" t="str">
        <f ca="1">IFERROR($I378*(参考2_エネ使用量経年!BA228+参考2_エネ使用量経年!BA315),"")</f>
        <v/>
      </c>
      <c r="BB378" s="954" t="str">
        <f ca="1">IFERROR($J378*(参考2_エネ使用量経年!BB228+参考2_エネ使用量経年!BB315),"")</f>
        <v/>
      </c>
      <c r="BC378" s="954" t="str">
        <f ca="1">IFERROR($K378*(参考2_エネ使用量経年!BC228+参考2_エネ使用量経年!BC315),"")</f>
        <v/>
      </c>
      <c r="BD378" s="954" t="str">
        <f ca="1">IFERROR($H378*(参考2_エネ使用量経年!BD228+参考2_エネ使用量経年!BD315),"")</f>
        <v/>
      </c>
      <c r="BE378" s="954" t="str">
        <f ca="1">IFERROR($I378*(参考2_エネ使用量経年!BE228+参考2_エネ使用量経年!BE315),"")</f>
        <v/>
      </c>
      <c r="BF378" s="954" t="str">
        <f ca="1">IFERROR($J378*(参考2_エネ使用量経年!BF228+参考2_エネ使用量経年!BF315),"")</f>
        <v/>
      </c>
      <c r="BG378" s="954" t="str">
        <f ca="1">IFERROR($K378*(参考2_エネ使用量経年!BG228+参考2_エネ使用量経年!BG315),"")</f>
        <v/>
      </c>
      <c r="BH378" s="954" t="str">
        <f ca="1">IFERROR($H378*(参考2_エネ使用量経年!BH228+参考2_エネ使用量経年!BH315),"")</f>
        <v/>
      </c>
      <c r="BI378" s="954" t="str">
        <f ca="1">IFERROR($I378*(参考2_エネ使用量経年!BI228+参考2_エネ使用量経年!BI315),"")</f>
        <v/>
      </c>
      <c r="BJ378" s="954" t="str">
        <f ca="1">IFERROR($J378*(参考2_エネ使用量経年!BJ228+参考2_エネ使用量経年!BJ315),"")</f>
        <v/>
      </c>
      <c r="BK378" s="954" t="str">
        <f ca="1">IFERROR($K378*(参考2_エネ使用量経年!BK228+参考2_エネ使用量経年!BK315),"")</f>
        <v/>
      </c>
      <c r="BL378" s="954" t="str">
        <f ca="1">IFERROR($H378*(参考2_エネ使用量経年!BL228+参考2_エネ使用量経年!BL315),"")</f>
        <v/>
      </c>
      <c r="BM378" s="954" t="str">
        <f ca="1">IFERROR($I378*(参考2_エネ使用量経年!BM228+参考2_エネ使用量経年!BM315),"")</f>
        <v/>
      </c>
      <c r="BN378" s="954" t="str">
        <f ca="1">IFERROR($J378*(参考2_エネ使用量経年!BN228+参考2_エネ使用量経年!BN315),"")</f>
        <v/>
      </c>
      <c r="BO378" s="954" t="str">
        <f ca="1">IFERROR($K378*(参考2_エネ使用量経年!BO228+参考2_エネ使用量経年!BO315),"")</f>
        <v/>
      </c>
      <c r="BP378" s="841"/>
    </row>
    <row r="379" spans="1:68" ht="20.100000000000001" customHeight="1">
      <c r="A379" s="786">
        <v>71</v>
      </c>
      <c r="B379" s="1870"/>
      <c r="C379" s="1872"/>
      <c r="D379" s="853" t="s">
        <v>4433</v>
      </c>
      <c r="E379" s="831" t="str">
        <f ca="1">E66</f>
        <v/>
      </c>
      <c r="F379" s="833"/>
      <c r="G379" s="891" t="s">
        <v>4685</v>
      </c>
      <c r="H379" s="953">
        <f t="shared" ca="1" si="110"/>
        <v>0</v>
      </c>
      <c r="I379" s="953">
        <f t="shared" ca="1" si="111"/>
        <v>0</v>
      </c>
      <c r="J379" s="953">
        <f t="shared" ca="1" si="112"/>
        <v>0</v>
      </c>
      <c r="K379" s="953">
        <f t="shared" ca="1" si="113"/>
        <v>0</v>
      </c>
      <c r="L379" s="954">
        <f ca="1">IFERROR($H379*(参考2_エネ使用量経年!L229+参考2_エネ使用量経年!L316),"")</f>
        <v>0</v>
      </c>
      <c r="M379" s="954">
        <f ca="1">IFERROR($I379*(参考2_エネ使用量経年!M229+参考2_エネ使用量経年!M316),"")</f>
        <v>0</v>
      </c>
      <c r="N379" s="954">
        <f ca="1">IFERROR($J379*(参考2_エネ使用量経年!N229+参考2_エネ使用量経年!N316),"")</f>
        <v>0</v>
      </c>
      <c r="O379" s="954">
        <f ca="1">IFERROR($K379*(参考2_エネ使用量経年!O229+参考2_エネ使用量経年!O316),"")</f>
        <v>0</v>
      </c>
      <c r="P379" s="954">
        <f ca="1">IFERROR($H379*(参考2_エネ使用量経年!P229+参考2_エネ使用量経年!P316),"")</f>
        <v>0</v>
      </c>
      <c r="Q379" s="954">
        <f ca="1">IFERROR($I379*(参考2_エネ使用量経年!Q229+参考2_エネ使用量経年!Q316),"")</f>
        <v>0</v>
      </c>
      <c r="R379" s="954">
        <f ca="1">IFERROR($J379*(参考2_エネ使用量経年!R229+参考2_エネ使用量経年!R316),"")</f>
        <v>0</v>
      </c>
      <c r="S379" s="954">
        <f ca="1">IFERROR($K379*(参考2_エネ使用量経年!S229+参考2_エネ使用量経年!S316),"")</f>
        <v>0</v>
      </c>
      <c r="T379" s="954">
        <f ca="1">IFERROR($H379*(参考2_エネ使用量経年!T229+参考2_エネ使用量経年!T316),"")</f>
        <v>0</v>
      </c>
      <c r="U379" s="954">
        <f ca="1">IFERROR($I379*(参考2_エネ使用量経年!U229+参考2_エネ使用量経年!U316),"")</f>
        <v>0</v>
      </c>
      <c r="V379" s="954">
        <f ca="1">IFERROR($J379*(参考2_エネ使用量経年!V229+参考2_エネ使用量経年!V316),"")</f>
        <v>0</v>
      </c>
      <c r="W379" s="954">
        <f ca="1">IFERROR($K379*(参考2_エネ使用量経年!W229+参考2_エネ使用量経年!W316),"")</f>
        <v>0</v>
      </c>
      <c r="X379" s="954">
        <f ca="1">IFERROR($H379*(参考2_エネ使用量経年!X229+参考2_エネ使用量経年!X316),"")</f>
        <v>0</v>
      </c>
      <c r="Y379" s="954">
        <f ca="1">IFERROR($I379*(参考2_エネ使用量経年!Y229+参考2_エネ使用量経年!Y316),"")</f>
        <v>0</v>
      </c>
      <c r="Z379" s="954">
        <f ca="1">IFERROR($J379*(参考2_エネ使用量経年!Z229+参考2_エネ使用量経年!Z316),"")</f>
        <v>0</v>
      </c>
      <c r="AA379" s="954">
        <f ca="1">IFERROR($K379*(参考2_エネ使用量経年!AA229+参考2_エネ使用量経年!AA316),"")</f>
        <v>0</v>
      </c>
      <c r="AB379" s="954" t="str">
        <f ca="1">IFERROR($H379*(参考2_エネ使用量経年!AB229+参考2_エネ使用量経年!AB316),"")</f>
        <v/>
      </c>
      <c r="AC379" s="954" t="str">
        <f ca="1">IFERROR($I379*(参考2_エネ使用量経年!AC229+参考2_エネ使用量経年!AC316),"")</f>
        <v/>
      </c>
      <c r="AD379" s="954" t="str">
        <f ca="1">IFERROR($J379*(参考2_エネ使用量経年!AD229+参考2_エネ使用量経年!AD316),"")</f>
        <v/>
      </c>
      <c r="AE379" s="954" t="str">
        <f ca="1">IFERROR($K379*(参考2_エネ使用量経年!AE229+参考2_エネ使用量経年!AE316),"")</f>
        <v/>
      </c>
      <c r="AF379" s="954" t="str">
        <f ca="1">IFERROR($H379*(参考2_エネ使用量経年!AF229+参考2_エネ使用量経年!AF316),"")</f>
        <v/>
      </c>
      <c r="AG379" s="954" t="str">
        <f ca="1">IFERROR($I379*(参考2_エネ使用量経年!AG229+参考2_エネ使用量経年!AG316),"")</f>
        <v/>
      </c>
      <c r="AH379" s="954" t="str">
        <f ca="1">IFERROR($J379*(参考2_エネ使用量経年!AH229+参考2_エネ使用量経年!AH316),"")</f>
        <v/>
      </c>
      <c r="AI379" s="954" t="str">
        <f ca="1">IFERROR($K379*(参考2_エネ使用量経年!AI229+参考2_エネ使用量経年!AI316),"")</f>
        <v/>
      </c>
      <c r="AJ379" s="954" t="str">
        <f ca="1">IFERROR($H379*(参考2_エネ使用量経年!AJ229+参考2_エネ使用量経年!AJ316),"")</f>
        <v/>
      </c>
      <c r="AK379" s="954" t="str">
        <f ca="1">IFERROR($I379*(参考2_エネ使用量経年!AK229+参考2_エネ使用量経年!AK316),"")</f>
        <v/>
      </c>
      <c r="AL379" s="954" t="str">
        <f ca="1">IFERROR($J379*(参考2_エネ使用量経年!AL229+参考2_エネ使用量経年!AL316),"")</f>
        <v/>
      </c>
      <c r="AM379" s="954" t="str">
        <f ca="1">IFERROR($K379*(参考2_エネ使用量経年!AM229+参考2_エネ使用量経年!AM316),"")</f>
        <v/>
      </c>
      <c r="AN379" s="954" t="str">
        <f ca="1">IFERROR($H379*(参考2_エネ使用量経年!AN229+参考2_エネ使用量経年!AN316),"")</f>
        <v/>
      </c>
      <c r="AO379" s="954" t="str">
        <f ca="1">IFERROR($I379*(参考2_エネ使用量経年!AO229+参考2_エネ使用量経年!AO316),"")</f>
        <v/>
      </c>
      <c r="AP379" s="954" t="str">
        <f ca="1">IFERROR($J379*(参考2_エネ使用量経年!AP229+参考2_エネ使用量経年!AP316),"")</f>
        <v/>
      </c>
      <c r="AQ379" s="954" t="str">
        <f ca="1">IFERROR($K379*(参考2_エネ使用量経年!AQ229+参考2_エネ使用量経年!AQ316),"")</f>
        <v/>
      </c>
      <c r="AR379" s="954" t="str">
        <f ca="1">IFERROR($H379*(参考2_エネ使用量経年!AR229+参考2_エネ使用量経年!AR316),"")</f>
        <v/>
      </c>
      <c r="AS379" s="954" t="str">
        <f ca="1">IFERROR($I379*(参考2_エネ使用量経年!AS229+参考2_エネ使用量経年!AS316),"")</f>
        <v/>
      </c>
      <c r="AT379" s="954" t="str">
        <f ca="1">IFERROR($J379*(参考2_エネ使用量経年!AT229+参考2_エネ使用量経年!AT316),"")</f>
        <v/>
      </c>
      <c r="AU379" s="954" t="str">
        <f ca="1">IFERROR($K379*(参考2_エネ使用量経年!AU229+参考2_エネ使用量経年!AU316),"")</f>
        <v/>
      </c>
      <c r="AV379" s="954" t="str">
        <f ca="1">IFERROR($H379*(参考2_エネ使用量経年!AV229+参考2_エネ使用量経年!AV316),"")</f>
        <v/>
      </c>
      <c r="AW379" s="954" t="str">
        <f ca="1">IFERROR($I379*(参考2_エネ使用量経年!AW229+参考2_エネ使用量経年!AW316),"")</f>
        <v/>
      </c>
      <c r="AX379" s="954" t="str">
        <f ca="1">IFERROR($J379*(参考2_エネ使用量経年!AX229+参考2_エネ使用量経年!AX316),"")</f>
        <v/>
      </c>
      <c r="AY379" s="954" t="str">
        <f ca="1">IFERROR($K379*(参考2_エネ使用量経年!AY229+参考2_エネ使用量経年!AY316),"")</f>
        <v/>
      </c>
      <c r="AZ379" s="954" t="str">
        <f ca="1">IFERROR($H379*(参考2_エネ使用量経年!AZ229+参考2_エネ使用量経年!AZ316),"")</f>
        <v/>
      </c>
      <c r="BA379" s="954" t="str">
        <f ca="1">IFERROR($I379*(参考2_エネ使用量経年!BA229+参考2_エネ使用量経年!BA316),"")</f>
        <v/>
      </c>
      <c r="BB379" s="954" t="str">
        <f ca="1">IFERROR($J379*(参考2_エネ使用量経年!BB229+参考2_エネ使用量経年!BB316),"")</f>
        <v/>
      </c>
      <c r="BC379" s="954" t="str">
        <f ca="1">IFERROR($K379*(参考2_エネ使用量経年!BC229+参考2_エネ使用量経年!BC316),"")</f>
        <v/>
      </c>
      <c r="BD379" s="954" t="str">
        <f ca="1">IFERROR($H379*(参考2_エネ使用量経年!BD229+参考2_エネ使用量経年!BD316),"")</f>
        <v/>
      </c>
      <c r="BE379" s="954" t="str">
        <f ca="1">IFERROR($I379*(参考2_エネ使用量経年!BE229+参考2_エネ使用量経年!BE316),"")</f>
        <v/>
      </c>
      <c r="BF379" s="954" t="str">
        <f ca="1">IFERROR($J379*(参考2_エネ使用量経年!BF229+参考2_エネ使用量経年!BF316),"")</f>
        <v/>
      </c>
      <c r="BG379" s="954" t="str">
        <f ca="1">IFERROR($K379*(参考2_エネ使用量経年!BG229+参考2_エネ使用量経年!BG316),"")</f>
        <v/>
      </c>
      <c r="BH379" s="954" t="str">
        <f ca="1">IFERROR($H379*(参考2_エネ使用量経年!BH229+参考2_エネ使用量経年!BH316),"")</f>
        <v/>
      </c>
      <c r="BI379" s="954" t="str">
        <f ca="1">IFERROR($I379*(参考2_エネ使用量経年!BI229+参考2_エネ使用量経年!BI316),"")</f>
        <v/>
      </c>
      <c r="BJ379" s="954" t="str">
        <f ca="1">IFERROR($J379*(参考2_エネ使用量経年!BJ229+参考2_エネ使用量経年!BJ316),"")</f>
        <v/>
      </c>
      <c r="BK379" s="954" t="str">
        <f ca="1">IFERROR($K379*(参考2_エネ使用量経年!BK229+参考2_エネ使用量経年!BK316),"")</f>
        <v/>
      </c>
      <c r="BL379" s="954" t="str">
        <f ca="1">IFERROR($H379*(参考2_エネ使用量経年!BL229+参考2_エネ使用量経年!BL316),"")</f>
        <v/>
      </c>
      <c r="BM379" s="954" t="str">
        <f ca="1">IFERROR($I379*(参考2_エネ使用量経年!BM229+参考2_エネ使用量経年!BM316),"")</f>
        <v/>
      </c>
      <c r="BN379" s="954" t="str">
        <f ca="1">IFERROR($J379*(参考2_エネ使用量経年!BN229+参考2_エネ使用量経年!BN316),"")</f>
        <v/>
      </c>
      <c r="BO379" s="954" t="str">
        <f ca="1">IFERROR($K379*(参考2_エネ使用量経年!BO229+参考2_エネ使用量経年!BO316),"")</f>
        <v/>
      </c>
      <c r="BP379" s="841"/>
    </row>
    <row r="380" spans="1:68" ht="20.100000000000001" customHeight="1">
      <c r="A380" s="952"/>
      <c r="B380" s="1869" t="s">
        <v>4434</v>
      </c>
      <c r="C380" s="1035" t="s">
        <v>4435</v>
      </c>
      <c r="D380" s="1036"/>
      <c r="E380" s="1006"/>
      <c r="F380" s="849"/>
      <c r="G380" s="891" t="s">
        <v>4685</v>
      </c>
      <c r="H380" s="1037"/>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c r="AC380" s="1037"/>
      <c r="AD380" s="1037"/>
      <c r="AE380" s="1037"/>
      <c r="AF380" s="1037"/>
      <c r="AG380" s="1037"/>
      <c r="AH380" s="1037"/>
      <c r="AI380" s="1037"/>
      <c r="AJ380" s="1037"/>
      <c r="AK380" s="1037"/>
      <c r="AL380" s="1037"/>
      <c r="AM380" s="1037"/>
      <c r="AN380" s="1037"/>
      <c r="AO380" s="1037"/>
      <c r="AP380" s="1037"/>
      <c r="AQ380" s="1037"/>
      <c r="AR380" s="1037"/>
      <c r="AS380" s="1037"/>
      <c r="AT380" s="1037"/>
      <c r="AU380" s="1037"/>
      <c r="AV380" s="1037"/>
      <c r="AW380" s="1037"/>
      <c r="AX380" s="1037"/>
      <c r="AY380" s="1037"/>
      <c r="AZ380" s="1037"/>
      <c r="BA380" s="1037"/>
      <c r="BB380" s="1037"/>
      <c r="BC380" s="1037"/>
      <c r="BD380" s="1037"/>
      <c r="BE380" s="1037"/>
      <c r="BF380" s="1037"/>
      <c r="BG380" s="1037"/>
      <c r="BH380" s="1037"/>
      <c r="BI380" s="1037"/>
      <c r="BJ380" s="1037"/>
      <c r="BK380" s="1037"/>
      <c r="BL380" s="1037"/>
      <c r="BM380" s="1037"/>
      <c r="BN380" s="1037"/>
      <c r="BO380" s="1037"/>
      <c r="BP380" s="841"/>
    </row>
    <row r="381" spans="1:68" ht="20.100000000000001" customHeight="1">
      <c r="B381" s="1870"/>
      <c r="C381" s="1921" t="s">
        <v>4436</v>
      </c>
      <c r="D381" s="1038" t="s">
        <v>4437</v>
      </c>
      <c r="E381" s="958"/>
      <c r="F381" s="849"/>
      <c r="G381" s="891" t="s">
        <v>4685</v>
      </c>
      <c r="H381" s="1037"/>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c r="AC381" s="1037"/>
      <c r="AD381" s="1037"/>
      <c r="AE381" s="1037"/>
      <c r="AF381" s="1037"/>
      <c r="AG381" s="1037"/>
      <c r="AH381" s="1037"/>
      <c r="AI381" s="1037"/>
      <c r="AJ381" s="1037"/>
      <c r="AK381" s="1037"/>
      <c r="AL381" s="1037"/>
      <c r="AM381" s="1037"/>
      <c r="AN381" s="1037"/>
      <c r="AO381" s="1037"/>
      <c r="AP381" s="1037"/>
      <c r="AQ381" s="1037"/>
      <c r="AR381" s="1037"/>
      <c r="AS381" s="1037"/>
      <c r="AT381" s="1037"/>
      <c r="AU381" s="1037"/>
      <c r="AV381" s="1037"/>
      <c r="AW381" s="1037"/>
      <c r="AX381" s="1037"/>
      <c r="AY381" s="1037"/>
      <c r="AZ381" s="1037"/>
      <c r="BA381" s="1037"/>
      <c r="BB381" s="1037"/>
      <c r="BC381" s="1037"/>
      <c r="BD381" s="1037"/>
      <c r="BE381" s="1037"/>
      <c r="BF381" s="1037"/>
      <c r="BG381" s="1037"/>
      <c r="BH381" s="1037"/>
      <c r="BI381" s="1037"/>
      <c r="BJ381" s="1037"/>
      <c r="BK381" s="1037"/>
      <c r="BL381" s="1037"/>
      <c r="BM381" s="1037"/>
      <c r="BN381" s="1037"/>
      <c r="BO381" s="1037"/>
      <c r="BP381" s="841"/>
    </row>
    <row r="382" spans="1:68" ht="20.100000000000001" customHeight="1">
      <c r="A382" s="952"/>
      <c r="B382" s="1870"/>
      <c r="C382" s="1922"/>
      <c r="D382" s="961" t="s">
        <v>4438</v>
      </c>
      <c r="E382" s="958"/>
      <c r="F382" s="849"/>
      <c r="G382" s="891" t="s">
        <v>4685</v>
      </c>
      <c r="H382" s="1037"/>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c r="AC382" s="1037"/>
      <c r="AD382" s="1037"/>
      <c r="AE382" s="1037"/>
      <c r="AF382" s="1037"/>
      <c r="AG382" s="1037"/>
      <c r="AH382" s="1037"/>
      <c r="AI382" s="1037"/>
      <c r="AJ382" s="1037"/>
      <c r="AK382" s="1037"/>
      <c r="AL382" s="1037"/>
      <c r="AM382" s="1037"/>
      <c r="AN382" s="1037"/>
      <c r="AO382" s="1037"/>
      <c r="AP382" s="1037"/>
      <c r="AQ382" s="1037"/>
      <c r="AR382" s="1037"/>
      <c r="AS382" s="1037"/>
      <c r="AT382" s="1037"/>
      <c r="AU382" s="1037"/>
      <c r="AV382" s="1037"/>
      <c r="AW382" s="1037"/>
      <c r="AX382" s="1037"/>
      <c r="AY382" s="1037"/>
      <c r="AZ382" s="1037"/>
      <c r="BA382" s="1037"/>
      <c r="BB382" s="1037"/>
      <c r="BC382" s="1037"/>
      <c r="BD382" s="1037"/>
      <c r="BE382" s="1037"/>
      <c r="BF382" s="1037"/>
      <c r="BG382" s="1037"/>
      <c r="BH382" s="1037"/>
      <c r="BI382" s="1037"/>
      <c r="BJ382" s="1037"/>
      <c r="BK382" s="1037"/>
      <c r="BL382" s="1037"/>
      <c r="BM382" s="1037"/>
      <c r="BN382" s="1037"/>
      <c r="BO382" s="1037"/>
      <c r="BP382" s="841"/>
    </row>
    <row r="383" spans="1:68" ht="20.100000000000001" customHeight="1">
      <c r="B383" s="1870"/>
      <c r="C383" s="1922"/>
      <c r="D383" s="961" t="s">
        <v>4250</v>
      </c>
      <c r="E383" s="1038"/>
      <c r="F383" s="833"/>
      <c r="G383" s="891" t="s">
        <v>4685</v>
      </c>
      <c r="H383" s="1037"/>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c r="AC383" s="1037"/>
      <c r="AD383" s="1037"/>
      <c r="AE383" s="1037"/>
      <c r="AF383" s="1037"/>
      <c r="AG383" s="1037"/>
      <c r="AH383" s="1037"/>
      <c r="AI383" s="1037"/>
      <c r="AJ383" s="1037"/>
      <c r="AK383" s="1037"/>
      <c r="AL383" s="1037"/>
      <c r="AM383" s="1037"/>
      <c r="AN383" s="1037"/>
      <c r="AO383" s="1037"/>
      <c r="AP383" s="1037"/>
      <c r="AQ383" s="1037"/>
      <c r="AR383" s="1037"/>
      <c r="AS383" s="1037"/>
      <c r="AT383" s="1037"/>
      <c r="AU383" s="1037"/>
      <c r="AV383" s="1037"/>
      <c r="AW383" s="1037"/>
      <c r="AX383" s="1037"/>
      <c r="AY383" s="1037"/>
      <c r="AZ383" s="1037"/>
      <c r="BA383" s="1037"/>
      <c r="BB383" s="1037"/>
      <c r="BC383" s="1037"/>
      <c r="BD383" s="1037"/>
      <c r="BE383" s="1037"/>
      <c r="BF383" s="1037"/>
      <c r="BG383" s="1037"/>
      <c r="BH383" s="1037"/>
      <c r="BI383" s="1037"/>
      <c r="BJ383" s="1037"/>
      <c r="BK383" s="1037"/>
      <c r="BL383" s="1037"/>
      <c r="BM383" s="1037"/>
      <c r="BN383" s="1037"/>
      <c r="BO383" s="1037"/>
      <c r="BP383" s="841"/>
    </row>
    <row r="384" spans="1:68" ht="20.100000000000001" customHeight="1">
      <c r="A384" s="952"/>
      <c r="B384" s="1870"/>
      <c r="C384" s="1922"/>
      <c r="D384" s="1039" t="s">
        <v>4251</v>
      </c>
      <c r="E384" s="1038"/>
      <c r="F384" s="833"/>
      <c r="G384" s="891" t="s">
        <v>4685</v>
      </c>
      <c r="H384" s="1037"/>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c r="AC384" s="1037"/>
      <c r="AD384" s="1037"/>
      <c r="AE384" s="1037"/>
      <c r="AF384" s="1037"/>
      <c r="AG384" s="1037"/>
      <c r="AH384" s="1037"/>
      <c r="AI384" s="1037"/>
      <c r="AJ384" s="1037"/>
      <c r="AK384" s="1037"/>
      <c r="AL384" s="1037"/>
      <c r="AM384" s="1037"/>
      <c r="AN384" s="1037"/>
      <c r="AO384" s="1037"/>
      <c r="AP384" s="1037"/>
      <c r="AQ384" s="1037"/>
      <c r="AR384" s="1037"/>
      <c r="AS384" s="1037"/>
      <c r="AT384" s="1037"/>
      <c r="AU384" s="1037"/>
      <c r="AV384" s="1037"/>
      <c r="AW384" s="1037"/>
      <c r="AX384" s="1037"/>
      <c r="AY384" s="1037"/>
      <c r="AZ384" s="1037"/>
      <c r="BA384" s="1037"/>
      <c r="BB384" s="1037"/>
      <c r="BC384" s="1037"/>
      <c r="BD384" s="1037"/>
      <c r="BE384" s="1037"/>
      <c r="BF384" s="1037"/>
      <c r="BG384" s="1037"/>
      <c r="BH384" s="1037"/>
      <c r="BI384" s="1037"/>
      <c r="BJ384" s="1037"/>
      <c r="BK384" s="1037"/>
      <c r="BL384" s="1037"/>
      <c r="BM384" s="1037"/>
      <c r="BN384" s="1037"/>
      <c r="BO384" s="1037"/>
      <c r="BP384" s="841"/>
    </row>
    <row r="385" spans="1:68" ht="20.100000000000001" customHeight="1">
      <c r="A385" s="786">
        <v>83</v>
      </c>
      <c r="B385" s="1870"/>
      <c r="C385" s="1872" t="s">
        <v>4439</v>
      </c>
      <c r="D385" s="853" t="s">
        <v>4440</v>
      </c>
      <c r="E385" s="824"/>
      <c r="F385" s="875"/>
      <c r="G385" s="891" t="s">
        <v>4685</v>
      </c>
      <c r="H385" s="1040"/>
      <c r="I385" s="1041"/>
      <c r="J385" s="1041"/>
      <c r="K385" s="1041"/>
      <c r="L385" s="954">
        <f ca="1">IFERROR($H385*(参考2_エネ使用量経年!L235+参考2_エネ使用量経年!L322)*1000,"")</f>
        <v>0</v>
      </c>
      <c r="M385" s="954">
        <f ca="1">IFERROR($I385*(参考2_エネ使用量経年!M235+参考2_エネ使用量経年!M322)*1000,"")</f>
        <v>0</v>
      </c>
      <c r="N385" s="954">
        <f ca="1">IFERROR($J385*(参考2_エネ使用量経年!N235+参考2_エネ使用量経年!N322)*1000,"")</f>
        <v>0</v>
      </c>
      <c r="O385" s="954">
        <f ca="1">IFERROR($K385*(参考2_エネ使用量経年!O235+参考2_エネ使用量経年!O322)*1000,"")</f>
        <v>0</v>
      </c>
      <c r="P385" s="954">
        <f ca="1">IFERROR($H385*(参考2_エネ使用量経年!P235+参考2_エネ使用量経年!P322)*1000,"")</f>
        <v>0</v>
      </c>
      <c r="Q385" s="954">
        <f ca="1">IFERROR($I385*(参考2_エネ使用量経年!Q235+参考2_エネ使用量経年!Q322)*1000,"")</f>
        <v>0</v>
      </c>
      <c r="R385" s="954">
        <f ca="1">IFERROR($J385*(参考2_エネ使用量経年!R235+参考2_エネ使用量経年!R322)*1000,"")</f>
        <v>0</v>
      </c>
      <c r="S385" s="954">
        <f ca="1">IFERROR($K385*(参考2_エネ使用量経年!S235+参考2_エネ使用量経年!S322)*1000,"")</f>
        <v>0</v>
      </c>
      <c r="T385" s="954">
        <f ca="1">IFERROR($H385*(参考2_エネ使用量経年!T235+参考2_エネ使用量経年!T322)*1000,"")</f>
        <v>0</v>
      </c>
      <c r="U385" s="954">
        <f ca="1">IFERROR($I385*(参考2_エネ使用量経年!U235+参考2_エネ使用量経年!U322)*1000,"")</f>
        <v>0</v>
      </c>
      <c r="V385" s="954">
        <f ca="1">IFERROR($J385*(参考2_エネ使用量経年!V235+参考2_エネ使用量経年!V322)*1000,"")</f>
        <v>0</v>
      </c>
      <c r="W385" s="954">
        <f ca="1">IFERROR($K385*(参考2_エネ使用量経年!W235+参考2_エネ使用量経年!W322)*1000,"")</f>
        <v>0</v>
      </c>
      <c r="X385" s="954">
        <f ca="1">IFERROR($H385*(参考2_エネ使用量経年!X235+参考2_エネ使用量経年!X322)*1000,"")</f>
        <v>0</v>
      </c>
      <c r="Y385" s="954">
        <f ca="1">IFERROR($I385*(参考2_エネ使用量経年!Y235+参考2_エネ使用量経年!Y322)*1000,"")</f>
        <v>0</v>
      </c>
      <c r="Z385" s="954">
        <f ca="1">IFERROR($J385*(参考2_エネ使用量経年!Z235+参考2_エネ使用量経年!Z322)*1000,"")</f>
        <v>0</v>
      </c>
      <c r="AA385" s="954">
        <f ca="1">IFERROR($K385*(参考2_エネ使用量経年!AA235+参考2_エネ使用量経年!AA322)*1000,"")</f>
        <v>0</v>
      </c>
      <c r="AB385" s="954" t="str">
        <f ca="1">IFERROR($H385*(参考2_エネ使用量経年!AB235+参考2_エネ使用量経年!AB322)*1000,"")</f>
        <v/>
      </c>
      <c r="AC385" s="954" t="str">
        <f ca="1">IFERROR($I385*(参考2_エネ使用量経年!AC235+参考2_エネ使用量経年!AC322)*1000,"")</f>
        <v/>
      </c>
      <c r="AD385" s="954" t="str">
        <f ca="1">IFERROR($J385*(参考2_エネ使用量経年!AD235+参考2_エネ使用量経年!AD322)*1000,"")</f>
        <v/>
      </c>
      <c r="AE385" s="954" t="str">
        <f ca="1">IFERROR($K385*(参考2_エネ使用量経年!AE235+参考2_エネ使用量経年!AE322)*1000,"")</f>
        <v/>
      </c>
      <c r="AF385" s="954" t="str">
        <f ca="1">IFERROR($H385*(参考2_エネ使用量経年!AF235+参考2_エネ使用量経年!AF322)*1000,"")</f>
        <v/>
      </c>
      <c r="AG385" s="954" t="str">
        <f ca="1">IFERROR($I385*(参考2_エネ使用量経年!AG235+参考2_エネ使用量経年!AG322)*1000,"")</f>
        <v/>
      </c>
      <c r="AH385" s="954" t="str">
        <f ca="1">IFERROR($J385*(参考2_エネ使用量経年!AH235+参考2_エネ使用量経年!AH322)*1000,"")</f>
        <v/>
      </c>
      <c r="AI385" s="954" t="str">
        <f ca="1">IFERROR($K385*(参考2_エネ使用量経年!AI235+参考2_エネ使用量経年!AI322)*1000,"")</f>
        <v/>
      </c>
      <c r="AJ385" s="954" t="str">
        <f ca="1">IFERROR($H385*(参考2_エネ使用量経年!AJ235+参考2_エネ使用量経年!AJ322)*1000,"")</f>
        <v/>
      </c>
      <c r="AK385" s="954" t="str">
        <f ca="1">IFERROR($I385*(参考2_エネ使用量経年!AK235+参考2_エネ使用量経年!AK322)*1000,"")</f>
        <v/>
      </c>
      <c r="AL385" s="954" t="str">
        <f ca="1">IFERROR($J385*(参考2_エネ使用量経年!AL235+参考2_エネ使用量経年!AL322)*1000,"")</f>
        <v/>
      </c>
      <c r="AM385" s="954" t="str">
        <f ca="1">IFERROR($K385*(参考2_エネ使用量経年!AM235+参考2_エネ使用量経年!AM322)*1000,"")</f>
        <v/>
      </c>
      <c r="AN385" s="954" t="str">
        <f ca="1">IFERROR($H385*(参考2_エネ使用量経年!AN235+参考2_エネ使用量経年!AN322)*1000,"")</f>
        <v/>
      </c>
      <c r="AO385" s="954" t="str">
        <f ca="1">IFERROR($I385*(参考2_エネ使用量経年!AO235+参考2_エネ使用量経年!AO322)*1000,"")</f>
        <v/>
      </c>
      <c r="AP385" s="954" t="str">
        <f ca="1">IFERROR($J385*(参考2_エネ使用量経年!AP235+参考2_エネ使用量経年!AP322)*1000,"")</f>
        <v/>
      </c>
      <c r="AQ385" s="954" t="str">
        <f ca="1">IFERROR($K385*(参考2_エネ使用量経年!AQ235+参考2_エネ使用量経年!AQ322)*1000,"")</f>
        <v/>
      </c>
      <c r="AR385" s="954" t="str">
        <f ca="1">IFERROR($H385*(参考2_エネ使用量経年!AR235+参考2_エネ使用量経年!AR322)*1000,"")</f>
        <v/>
      </c>
      <c r="AS385" s="954" t="str">
        <f ca="1">IFERROR($I385*(参考2_エネ使用量経年!AS235+参考2_エネ使用量経年!AS322)*1000,"")</f>
        <v/>
      </c>
      <c r="AT385" s="954" t="str">
        <f ca="1">IFERROR($J385*(参考2_エネ使用量経年!AT235+参考2_エネ使用量経年!AT322)*1000,"")</f>
        <v/>
      </c>
      <c r="AU385" s="954" t="str">
        <f ca="1">IFERROR($K385*(参考2_エネ使用量経年!AU235+参考2_エネ使用量経年!AU322)*1000,"")</f>
        <v/>
      </c>
      <c r="AV385" s="954" t="str">
        <f ca="1">IFERROR($H385*(参考2_エネ使用量経年!AV235+参考2_エネ使用量経年!AV322)*1000,"")</f>
        <v/>
      </c>
      <c r="AW385" s="954" t="str">
        <f ca="1">IFERROR($I385*(参考2_エネ使用量経年!AW235+参考2_エネ使用量経年!AW322)*1000,"")</f>
        <v/>
      </c>
      <c r="AX385" s="954" t="str">
        <f ca="1">IFERROR($J385*(参考2_エネ使用量経年!AX235+参考2_エネ使用量経年!AX322)*1000,"")</f>
        <v/>
      </c>
      <c r="AY385" s="954" t="str">
        <f ca="1">IFERROR($K385*(参考2_エネ使用量経年!AY235+参考2_エネ使用量経年!AY322)*1000,"")</f>
        <v/>
      </c>
      <c r="AZ385" s="954" t="str">
        <f ca="1">IFERROR($H385*(参考2_エネ使用量経年!AZ235+参考2_エネ使用量経年!AZ322)*1000,"")</f>
        <v/>
      </c>
      <c r="BA385" s="954" t="str">
        <f ca="1">IFERROR($I385*(参考2_エネ使用量経年!BA235+参考2_エネ使用量経年!BA322)*1000,"")</f>
        <v/>
      </c>
      <c r="BB385" s="954" t="str">
        <f ca="1">IFERROR($J385*(参考2_エネ使用量経年!BB235+参考2_エネ使用量経年!BB322)*1000,"")</f>
        <v/>
      </c>
      <c r="BC385" s="954" t="str">
        <f ca="1">IFERROR($K385*(参考2_エネ使用量経年!BC235+参考2_エネ使用量経年!BC322)*1000,"")</f>
        <v/>
      </c>
      <c r="BD385" s="954" t="str">
        <f ca="1">IFERROR($H385*(参考2_エネ使用量経年!BD235+参考2_エネ使用量経年!BD322)*1000,"")</f>
        <v/>
      </c>
      <c r="BE385" s="954" t="str">
        <f ca="1">IFERROR($I385*(参考2_エネ使用量経年!BE235+参考2_エネ使用量経年!BE322)*1000,"")</f>
        <v/>
      </c>
      <c r="BF385" s="954" t="str">
        <f ca="1">IFERROR($J385*(参考2_エネ使用量経年!BF235+参考2_エネ使用量経年!BF322)*1000,"")</f>
        <v/>
      </c>
      <c r="BG385" s="954" t="str">
        <f ca="1">IFERROR($K385*(参考2_エネ使用量経年!BG235+参考2_エネ使用量経年!BG322)*1000,"")</f>
        <v/>
      </c>
      <c r="BH385" s="954" t="str">
        <f ca="1">IFERROR($H385*(参考2_エネ使用量経年!BH235+参考2_エネ使用量経年!BH322)*1000,"")</f>
        <v/>
      </c>
      <c r="BI385" s="954" t="str">
        <f ca="1">IFERROR($I385*(参考2_エネ使用量経年!BI235+参考2_エネ使用量経年!BI322)*1000,"")</f>
        <v/>
      </c>
      <c r="BJ385" s="954" t="str">
        <f ca="1">IFERROR($J385*(参考2_エネ使用量経年!BJ235+参考2_エネ使用量経年!BJ322)*1000,"")</f>
        <v/>
      </c>
      <c r="BK385" s="954" t="str">
        <f ca="1">IFERROR($K385*(参考2_エネ使用量経年!BK235+参考2_エネ使用量経年!BK322)*1000,"")</f>
        <v/>
      </c>
      <c r="BL385" s="954" t="str">
        <f ca="1">IFERROR($H385*(参考2_エネ使用量経年!BL235+参考2_エネ使用量経年!BL322)*1000,"")</f>
        <v/>
      </c>
      <c r="BM385" s="954" t="str">
        <f ca="1">IFERROR($I385*(参考2_エネ使用量経年!BM235+参考2_エネ使用量経年!BM322)*1000,"")</f>
        <v/>
      </c>
      <c r="BN385" s="954" t="str">
        <f ca="1">IFERROR($J385*(参考2_エネ使用量経年!BN235+参考2_エネ使用量経年!BN322)*1000,"")</f>
        <v/>
      </c>
      <c r="BO385" s="954" t="str">
        <f ca="1">IFERROR($K385*(参考2_エネ使用量経年!BO235+参考2_エネ使用量経年!BO322)*1000,"")</f>
        <v/>
      </c>
      <c r="BP385" s="841"/>
    </row>
    <row r="386" spans="1:68" ht="20.100000000000001" customHeight="1">
      <c r="A386" s="952"/>
      <c r="B386" s="1870"/>
      <c r="C386" s="1872"/>
      <c r="D386" s="853" t="s">
        <v>4441</v>
      </c>
      <c r="E386" s="824"/>
      <c r="F386" s="875"/>
      <c r="G386" s="891" t="s">
        <v>4685</v>
      </c>
      <c r="H386" s="1040"/>
      <c r="I386" s="1041"/>
      <c r="J386" s="1041"/>
      <c r="K386" s="1041"/>
      <c r="L386" s="1040"/>
      <c r="M386" s="1041"/>
      <c r="N386" s="1041"/>
      <c r="O386" s="1041"/>
      <c r="P386" s="1040"/>
      <c r="Q386" s="1041"/>
      <c r="R386" s="1041"/>
      <c r="S386" s="1041"/>
      <c r="T386" s="1040"/>
      <c r="U386" s="1041"/>
      <c r="V386" s="1041"/>
      <c r="W386" s="1041"/>
      <c r="X386" s="1040"/>
      <c r="Y386" s="1041"/>
      <c r="Z386" s="1041"/>
      <c r="AA386" s="1041"/>
      <c r="AB386" s="1040"/>
      <c r="AC386" s="1041"/>
      <c r="AD386" s="1041"/>
      <c r="AE386" s="1041"/>
      <c r="AF386" s="1040"/>
      <c r="AG386" s="1041"/>
      <c r="AH386" s="1041"/>
      <c r="AI386" s="1041"/>
      <c r="AJ386" s="1040"/>
      <c r="AK386" s="1041"/>
      <c r="AL386" s="1041"/>
      <c r="AM386" s="1041"/>
      <c r="AN386" s="1040"/>
      <c r="AO386" s="1041"/>
      <c r="AP386" s="1041"/>
      <c r="AQ386" s="1041"/>
      <c r="AR386" s="1040"/>
      <c r="AS386" s="1041"/>
      <c r="AT386" s="1041"/>
      <c r="AU386" s="1041"/>
      <c r="AV386" s="1040"/>
      <c r="AW386" s="1041"/>
      <c r="AX386" s="1041"/>
      <c r="AY386" s="1041"/>
      <c r="AZ386" s="1040"/>
      <c r="BA386" s="1041"/>
      <c r="BB386" s="1041"/>
      <c r="BC386" s="1041"/>
      <c r="BD386" s="1040"/>
      <c r="BE386" s="1041"/>
      <c r="BF386" s="1041"/>
      <c r="BG386" s="1041"/>
      <c r="BH386" s="1040"/>
      <c r="BI386" s="1041"/>
      <c r="BJ386" s="1041"/>
      <c r="BK386" s="1041"/>
      <c r="BL386" s="1040"/>
      <c r="BM386" s="1041"/>
      <c r="BN386" s="1041"/>
      <c r="BO386" s="1041"/>
      <c r="BP386" s="841"/>
    </row>
    <row r="387" spans="1:68" ht="20.100000000000001" customHeight="1">
      <c r="A387" s="786">
        <v>85</v>
      </c>
      <c r="B387" s="1870"/>
      <c r="C387" s="1872"/>
      <c r="D387" s="853" t="s">
        <v>4442</v>
      </c>
      <c r="E387" s="824"/>
      <c r="F387" s="875"/>
      <c r="G387" s="891" t="s">
        <v>4685</v>
      </c>
      <c r="H387" s="1040"/>
      <c r="I387" s="1041"/>
      <c r="J387" s="1041"/>
      <c r="K387" s="1041"/>
      <c r="L387" s="954">
        <f ca="1">IFERROR($H387*(参考2_エネ使用量経年!L237+参考2_エネ使用量経年!L324)*1000,"")</f>
        <v>0</v>
      </c>
      <c r="M387" s="954">
        <f ca="1">IFERROR($I387*(参考2_エネ使用量経年!M237+参考2_エネ使用量経年!M324)*1000,"")</f>
        <v>0</v>
      </c>
      <c r="N387" s="954">
        <f ca="1">IFERROR($J387*(参考2_エネ使用量経年!N237+参考2_エネ使用量経年!N324)*1000,"")</f>
        <v>0</v>
      </c>
      <c r="O387" s="954">
        <f ca="1">IFERROR($K387*(参考2_エネ使用量経年!O237+参考2_エネ使用量経年!O324)*1000,"")</f>
        <v>0</v>
      </c>
      <c r="P387" s="954">
        <f ca="1">IFERROR($H387*(参考2_エネ使用量経年!P237+参考2_エネ使用量経年!P324)*1000,"")</f>
        <v>0</v>
      </c>
      <c r="Q387" s="954">
        <f ca="1">IFERROR($I387*(参考2_エネ使用量経年!Q237+参考2_エネ使用量経年!Q324)*1000,"")</f>
        <v>0</v>
      </c>
      <c r="R387" s="954">
        <f ca="1">IFERROR($J387*(参考2_エネ使用量経年!R237+参考2_エネ使用量経年!R324)*1000,"")</f>
        <v>0</v>
      </c>
      <c r="S387" s="954">
        <f ca="1">IFERROR($K387*(参考2_エネ使用量経年!S237+参考2_エネ使用量経年!S324)*1000,"")</f>
        <v>0</v>
      </c>
      <c r="T387" s="954">
        <f ca="1">IFERROR($H387*(参考2_エネ使用量経年!T237+参考2_エネ使用量経年!T324)*1000,"")</f>
        <v>0</v>
      </c>
      <c r="U387" s="954">
        <f ca="1">IFERROR($I387*(参考2_エネ使用量経年!U237+参考2_エネ使用量経年!U324)*1000,"")</f>
        <v>0</v>
      </c>
      <c r="V387" s="954">
        <f ca="1">IFERROR($J387*(参考2_エネ使用量経年!V237+参考2_エネ使用量経年!V324)*1000,"")</f>
        <v>0</v>
      </c>
      <c r="W387" s="954">
        <f ca="1">IFERROR($K387*(参考2_エネ使用量経年!W237+参考2_エネ使用量経年!W324)*1000,"")</f>
        <v>0</v>
      </c>
      <c r="X387" s="954">
        <f ca="1">IFERROR($H387*(参考2_エネ使用量経年!X237+参考2_エネ使用量経年!X324)*1000,"")</f>
        <v>0</v>
      </c>
      <c r="Y387" s="954">
        <f ca="1">IFERROR($I387*(参考2_エネ使用量経年!Y237+参考2_エネ使用量経年!Y324)*1000,"")</f>
        <v>0</v>
      </c>
      <c r="Z387" s="954">
        <f ca="1">IFERROR($J387*(参考2_エネ使用量経年!Z237+参考2_エネ使用量経年!Z324)*1000,"")</f>
        <v>0</v>
      </c>
      <c r="AA387" s="954">
        <f ca="1">IFERROR($K387*(参考2_エネ使用量経年!AA237+参考2_エネ使用量経年!AA324)*1000,"")</f>
        <v>0</v>
      </c>
      <c r="AB387" s="954" t="str">
        <f ca="1">IFERROR($H387*(参考2_エネ使用量経年!AB237+参考2_エネ使用量経年!AB324)*1000,"")</f>
        <v/>
      </c>
      <c r="AC387" s="954" t="str">
        <f ca="1">IFERROR($I387*(参考2_エネ使用量経年!AC237+参考2_エネ使用量経年!AC324)*1000,"")</f>
        <v/>
      </c>
      <c r="AD387" s="954" t="str">
        <f ca="1">IFERROR($J387*(参考2_エネ使用量経年!AD237+参考2_エネ使用量経年!AD324)*1000,"")</f>
        <v/>
      </c>
      <c r="AE387" s="954" t="str">
        <f ca="1">IFERROR($K387*(参考2_エネ使用量経年!AE237+参考2_エネ使用量経年!AE324)*1000,"")</f>
        <v/>
      </c>
      <c r="AF387" s="954" t="str">
        <f ca="1">IFERROR($H387*(参考2_エネ使用量経年!AF237+参考2_エネ使用量経年!AF324)*1000,"")</f>
        <v/>
      </c>
      <c r="AG387" s="954" t="str">
        <f ca="1">IFERROR($I387*(参考2_エネ使用量経年!AG237+参考2_エネ使用量経年!AG324)*1000,"")</f>
        <v/>
      </c>
      <c r="AH387" s="954" t="str">
        <f ca="1">IFERROR($J387*(参考2_エネ使用量経年!AH237+参考2_エネ使用量経年!AH324)*1000,"")</f>
        <v/>
      </c>
      <c r="AI387" s="954" t="str">
        <f ca="1">IFERROR($K387*(参考2_エネ使用量経年!AI237+参考2_エネ使用量経年!AI324)*1000,"")</f>
        <v/>
      </c>
      <c r="AJ387" s="954" t="str">
        <f ca="1">IFERROR($H387*(参考2_エネ使用量経年!AJ237+参考2_エネ使用量経年!AJ324)*1000,"")</f>
        <v/>
      </c>
      <c r="AK387" s="954" t="str">
        <f ca="1">IFERROR($I387*(参考2_エネ使用量経年!AK237+参考2_エネ使用量経年!AK324)*1000,"")</f>
        <v/>
      </c>
      <c r="AL387" s="954" t="str">
        <f ca="1">IFERROR($J387*(参考2_エネ使用量経年!AL237+参考2_エネ使用量経年!AL324)*1000,"")</f>
        <v/>
      </c>
      <c r="AM387" s="954" t="str">
        <f ca="1">IFERROR($K387*(参考2_エネ使用量経年!AM237+参考2_エネ使用量経年!AM324)*1000,"")</f>
        <v/>
      </c>
      <c r="AN387" s="954" t="str">
        <f ca="1">IFERROR($H387*(参考2_エネ使用量経年!AN237+参考2_エネ使用量経年!AN324)*1000,"")</f>
        <v/>
      </c>
      <c r="AO387" s="954" t="str">
        <f ca="1">IFERROR($I387*(参考2_エネ使用量経年!AO237+参考2_エネ使用量経年!AO324)*1000,"")</f>
        <v/>
      </c>
      <c r="AP387" s="954" t="str">
        <f ca="1">IFERROR($J387*(参考2_エネ使用量経年!AP237+参考2_エネ使用量経年!AP324)*1000,"")</f>
        <v/>
      </c>
      <c r="AQ387" s="954" t="str">
        <f ca="1">IFERROR($K387*(参考2_エネ使用量経年!AQ237+参考2_エネ使用量経年!AQ324)*1000,"")</f>
        <v/>
      </c>
      <c r="AR387" s="954" t="str">
        <f ca="1">IFERROR($H387*(参考2_エネ使用量経年!AR237+参考2_エネ使用量経年!AR324)*1000,"")</f>
        <v/>
      </c>
      <c r="AS387" s="954" t="str">
        <f ca="1">IFERROR($I387*(参考2_エネ使用量経年!AS237+参考2_エネ使用量経年!AS324)*1000,"")</f>
        <v/>
      </c>
      <c r="AT387" s="954" t="str">
        <f ca="1">IFERROR($J387*(参考2_エネ使用量経年!AT237+参考2_エネ使用量経年!AT324)*1000,"")</f>
        <v/>
      </c>
      <c r="AU387" s="954" t="str">
        <f ca="1">IFERROR($K387*(参考2_エネ使用量経年!AU237+参考2_エネ使用量経年!AU324)*1000,"")</f>
        <v/>
      </c>
      <c r="AV387" s="954" t="str">
        <f ca="1">IFERROR($H387*(参考2_エネ使用量経年!AV237+参考2_エネ使用量経年!AV324)*1000,"")</f>
        <v/>
      </c>
      <c r="AW387" s="954" t="str">
        <f ca="1">IFERROR($I387*(参考2_エネ使用量経年!AW237+参考2_エネ使用量経年!AW324)*1000,"")</f>
        <v/>
      </c>
      <c r="AX387" s="954" t="str">
        <f ca="1">IFERROR($J387*(参考2_エネ使用量経年!AX237+参考2_エネ使用量経年!AX324)*1000,"")</f>
        <v/>
      </c>
      <c r="AY387" s="954" t="str">
        <f ca="1">IFERROR($K387*(参考2_エネ使用量経年!AY237+参考2_エネ使用量経年!AY324)*1000,"")</f>
        <v/>
      </c>
      <c r="AZ387" s="954" t="str">
        <f ca="1">IFERROR($H387*(参考2_エネ使用量経年!AZ237+参考2_エネ使用量経年!AZ324)*1000,"")</f>
        <v/>
      </c>
      <c r="BA387" s="954" t="str">
        <f ca="1">IFERROR($I387*(参考2_エネ使用量経年!BA237+参考2_エネ使用量経年!BA324)*1000,"")</f>
        <v/>
      </c>
      <c r="BB387" s="954" t="str">
        <f ca="1">IFERROR($J387*(参考2_エネ使用量経年!BB237+参考2_エネ使用量経年!BB324)*1000,"")</f>
        <v/>
      </c>
      <c r="BC387" s="954" t="str">
        <f ca="1">IFERROR($K387*(参考2_エネ使用量経年!BC237+参考2_エネ使用量経年!BC324)*1000,"")</f>
        <v/>
      </c>
      <c r="BD387" s="954" t="str">
        <f ca="1">IFERROR($H387*(参考2_エネ使用量経年!BD237+参考2_エネ使用量経年!BD324)*1000,"")</f>
        <v/>
      </c>
      <c r="BE387" s="954" t="str">
        <f ca="1">IFERROR($I387*(参考2_エネ使用量経年!BE237+参考2_エネ使用量経年!BE324)*1000,"")</f>
        <v/>
      </c>
      <c r="BF387" s="954" t="str">
        <f ca="1">IFERROR($J387*(参考2_エネ使用量経年!BF237+参考2_エネ使用量経年!BF324)*1000,"")</f>
        <v/>
      </c>
      <c r="BG387" s="954" t="str">
        <f ca="1">IFERROR($K387*(参考2_エネ使用量経年!BG237+参考2_エネ使用量経年!BG324)*1000,"")</f>
        <v/>
      </c>
      <c r="BH387" s="954" t="str">
        <f ca="1">IFERROR($H387*(参考2_エネ使用量経年!BH237+参考2_エネ使用量経年!BH324)*1000,"")</f>
        <v/>
      </c>
      <c r="BI387" s="954" t="str">
        <f ca="1">IFERROR($I387*(参考2_エネ使用量経年!BI237+参考2_エネ使用量経年!BI324)*1000,"")</f>
        <v/>
      </c>
      <c r="BJ387" s="954" t="str">
        <f ca="1">IFERROR($J387*(参考2_エネ使用量経年!BJ237+参考2_エネ使用量経年!BJ324)*1000,"")</f>
        <v/>
      </c>
      <c r="BK387" s="954" t="str">
        <f ca="1">IFERROR($K387*(参考2_エネ使用量経年!BK237+参考2_エネ使用量経年!BK324)*1000,"")</f>
        <v/>
      </c>
      <c r="BL387" s="954" t="str">
        <f ca="1">IFERROR($H387*(参考2_エネ使用量経年!BL237+参考2_エネ使用量経年!BL324)*1000,"")</f>
        <v/>
      </c>
      <c r="BM387" s="954" t="str">
        <f ca="1">IFERROR($I387*(参考2_エネ使用量経年!BM237+参考2_エネ使用量経年!BM324)*1000,"")</f>
        <v/>
      </c>
      <c r="BN387" s="954" t="str">
        <f ca="1">IFERROR($J387*(参考2_エネ使用量経年!BN237+参考2_エネ使用量経年!BN324)*1000,"")</f>
        <v/>
      </c>
      <c r="BO387" s="954" t="str">
        <f ca="1">IFERROR($K387*(参考2_エネ使用量経年!BO237+参考2_エネ使用量経年!BO324)*1000,"")</f>
        <v/>
      </c>
      <c r="BP387" s="841"/>
    </row>
    <row r="388" spans="1:68" ht="20.100000000000001" customHeight="1">
      <c r="A388" s="952"/>
      <c r="B388" s="1870"/>
      <c r="C388" s="1872"/>
      <c r="D388" s="853" t="s">
        <v>4443</v>
      </c>
      <c r="E388" s="824"/>
      <c r="F388" s="875"/>
      <c r="G388" s="891" t="s">
        <v>4685</v>
      </c>
      <c r="H388" s="1040"/>
      <c r="I388" s="1041"/>
      <c r="J388" s="1041"/>
      <c r="K388" s="1041"/>
      <c r="L388" s="1040"/>
      <c r="M388" s="1041"/>
      <c r="N388" s="1041"/>
      <c r="O388" s="1041"/>
      <c r="P388" s="1040"/>
      <c r="Q388" s="1041"/>
      <c r="R388" s="1041"/>
      <c r="S388" s="1041"/>
      <c r="T388" s="1040"/>
      <c r="U388" s="1041"/>
      <c r="V388" s="1041"/>
      <c r="W388" s="1041"/>
      <c r="X388" s="1040"/>
      <c r="Y388" s="1041"/>
      <c r="Z388" s="1041"/>
      <c r="AA388" s="1041"/>
      <c r="AB388" s="1040"/>
      <c r="AC388" s="1041"/>
      <c r="AD388" s="1041"/>
      <c r="AE388" s="1041"/>
      <c r="AF388" s="1040"/>
      <c r="AG388" s="1041"/>
      <c r="AH388" s="1041"/>
      <c r="AI388" s="1041"/>
      <c r="AJ388" s="1040"/>
      <c r="AK388" s="1041"/>
      <c r="AL388" s="1041"/>
      <c r="AM388" s="1041"/>
      <c r="AN388" s="1040"/>
      <c r="AO388" s="1041"/>
      <c r="AP388" s="1041"/>
      <c r="AQ388" s="1041"/>
      <c r="AR388" s="1040"/>
      <c r="AS388" s="1041"/>
      <c r="AT388" s="1041"/>
      <c r="AU388" s="1041"/>
      <c r="AV388" s="1040"/>
      <c r="AW388" s="1041"/>
      <c r="AX388" s="1041"/>
      <c r="AY388" s="1041"/>
      <c r="AZ388" s="1040"/>
      <c r="BA388" s="1041"/>
      <c r="BB388" s="1041"/>
      <c r="BC388" s="1041"/>
      <c r="BD388" s="1040"/>
      <c r="BE388" s="1041"/>
      <c r="BF388" s="1041"/>
      <c r="BG388" s="1041"/>
      <c r="BH388" s="1040"/>
      <c r="BI388" s="1041"/>
      <c r="BJ388" s="1041"/>
      <c r="BK388" s="1041"/>
      <c r="BL388" s="1040"/>
      <c r="BM388" s="1041"/>
      <c r="BN388" s="1041"/>
      <c r="BO388" s="1041"/>
      <c r="BP388" s="841"/>
    </row>
    <row r="389" spans="1:68" ht="20.100000000000001" customHeight="1">
      <c r="A389" s="786">
        <v>87</v>
      </c>
      <c r="B389" s="1870"/>
      <c r="C389" s="1872"/>
      <c r="D389" s="853" t="s">
        <v>4444</v>
      </c>
      <c r="E389" s="824"/>
      <c r="F389" s="875"/>
      <c r="G389" s="891" t="s">
        <v>4685</v>
      </c>
      <c r="H389" s="1040"/>
      <c r="I389" s="1041"/>
      <c r="J389" s="1041"/>
      <c r="K389" s="1041"/>
      <c r="L389" s="954">
        <f ca="1">IFERROR($H389*(参考2_エネ使用量経年!L239+参考2_エネ使用量経年!L326)*1000,"")</f>
        <v>0</v>
      </c>
      <c r="M389" s="954">
        <f ca="1">IFERROR($I389*(参考2_エネ使用量経年!M239+参考2_エネ使用量経年!M326)*1000,"")</f>
        <v>0</v>
      </c>
      <c r="N389" s="954">
        <f ca="1">IFERROR($J389*(参考2_エネ使用量経年!N239+参考2_エネ使用量経年!N326)*1000,"")</f>
        <v>0</v>
      </c>
      <c r="O389" s="954">
        <f ca="1">IFERROR($K389*(参考2_エネ使用量経年!O239+参考2_エネ使用量経年!O326)*1000,"")</f>
        <v>0</v>
      </c>
      <c r="P389" s="954">
        <f ca="1">IFERROR($H389*(参考2_エネ使用量経年!P239+参考2_エネ使用量経年!P326)*1000,"")</f>
        <v>0</v>
      </c>
      <c r="Q389" s="954">
        <f ca="1">IFERROR($I389*(参考2_エネ使用量経年!Q239+参考2_エネ使用量経年!Q326)*1000,"")</f>
        <v>0</v>
      </c>
      <c r="R389" s="954">
        <f ca="1">IFERROR($J389*(参考2_エネ使用量経年!R239+参考2_エネ使用量経年!R326)*1000,"")</f>
        <v>0</v>
      </c>
      <c r="S389" s="954">
        <f ca="1">IFERROR($K389*(参考2_エネ使用量経年!S239+参考2_エネ使用量経年!S326)*1000,"")</f>
        <v>0</v>
      </c>
      <c r="T389" s="954">
        <f ca="1">IFERROR($H389*(参考2_エネ使用量経年!T239+参考2_エネ使用量経年!T326)*1000,"")</f>
        <v>0</v>
      </c>
      <c r="U389" s="954">
        <f ca="1">IFERROR($I389*(参考2_エネ使用量経年!U239+参考2_エネ使用量経年!U326)*1000,"")</f>
        <v>0</v>
      </c>
      <c r="V389" s="954">
        <f ca="1">IFERROR($J389*(参考2_エネ使用量経年!V239+参考2_エネ使用量経年!V326)*1000,"")</f>
        <v>0</v>
      </c>
      <c r="W389" s="954">
        <f ca="1">IFERROR($K389*(参考2_エネ使用量経年!W239+参考2_エネ使用量経年!W326)*1000,"")</f>
        <v>0</v>
      </c>
      <c r="X389" s="954">
        <f ca="1">IFERROR($H389*(参考2_エネ使用量経年!X239+参考2_エネ使用量経年!X326)*1000,"")</f>
        <v>0</v>
      </c>
      <c r="Y389" s="954">
        <f ca="1">IFERROR($I389*(参考2_エネ使用量経年!Y239+参考2_エネ使用量経年!Y326)*1000,"")</f>
        <v>0</v>
      </c>
      <c r="Z389" s="954">
        <f ca="1">IFERROR($J389*(参考2_エネ使用量経年!Z239+参考2_エネ使用量経年!Z326)*1000,"")</f>
        <v>0</v>
      </c>
      <c r="AA389" s="954">
        <f ca="1">IFERROR($K389*(参考2_エネ使用量経年!AA239+参考2_エネ使用量経年!AA326)*1000,"")</f>
        <v>0</v>
      </c>
      <c r="AB389" s="954" t="str">
        <f ca="1">IFERROR($H389*(参考2_エネ使用量経年!AB239+参考2_エネ使用量経年!AB326)*1000,"")</f>
        <v/>
      </c>
      <c r="AC389" s="954" t="str">
        <f ca="1">IFERROR($I389*(参考2_エネ使用量経年!AC239+参考2_エネ使用量経年!AC326)*1000,"")</f>
        <v/>
      </c>
      <c r="AD389" s="954" t="str">
        <f ca="1">IFERROR($J389*(参考2_エネ使用量経年!AD239+参考2_エネ使用量経年!AD326)*1000,"")</f>
        <v/>
      </c>
      <c r="AE389" s="954" t="str">
        <f ca="1">IFERROR($K389*(参考2_エネ使用量経年!AE239+参考2_エネ使用量経年!AE326)*1000,"")</f>
        <v/>
      </c>
      <c r="AF389" s="954" t="str">
        <f ca="1">IFERROR($H389*(参考2_エネ使用量経年!AF239+参考2_エネ使用量経年!AF326)*1000,"")</f>
        <v/>
      </c>
      <c r="AG389" s="954" t="str">
        <f ca="1">IFERROR($I389*(参考2_エネ使用量経年!AG239+参考2_エネ使用量経年!AG326)*1000,"")</f>
        <v/>
      </c>
      <c r="AH389" s="954" t="str">
        <f ca="1">IFERROR($J389*(参考2_エネ使用量経年!AH239+参考2_エネ使用量経年!AH326)*1000,"")</f>
        <v/>
      </c>
      <c r="AI389" s="954" t="str">
        <f ca="1">IFERROR($K389*(参考2_エネ使用量経年!AI239+参考2_エネ使用量経年!AI326)*1000,"")</f>
        <v/>
      </c>
      <c r="AJ389" s="954" t="str">
        <f ca="1">IFERROR($H389*(参考2_エネ使用量経年!AJ239+参考2_エネ使用量経年!AJ326)*1000,"")</f>
        <v/>
      </c>
      <c r="AK389" s="954" t="str">
        <f ca="1">IFERROR($I389*(参考2_エネ使用量経年!AK239+参考2_エネ使用量経年!AK326)*1000,"")</f>
        <v/>
      </c>
      <c r="AL389" s="954" t="str">
        <f ca="1">IFERROR($J389*(参考2_エネ使用量経年!AL239+参考2_エネ使用量経年!AL326)*1000,"")</f>
        <v/>
      </c>
      <c r="AM389" s="954" t="str">
        <f ca="1">IFERROR($K389*(参考2_エネ使用量経年!AM239+参考2_エネ使用量経年!AM326)*1000,"")</f>
        <v/>
      </c>
      <c r="AN389" s="954" t="str">
        <f ca="1">IFERROR($H389*(参考2_エネ使用量経年!AN239+参考2_エネ使用量経年!AN326)*1000,"")</f>
        <v/>
      </c>
      <c r="AO389" s="954" t="str">
        <f ca="1">IFERROR($I389*(参考2_エネ使用量経年!AO239+参考2_エネ使用量経年!AO326)*1000,"")</f>
        <v/>
      </c>
      <c r="AP389" s="954" t="str">
        <f ca="1">IFERROR($J389*(参考2_エネ使用量経年!AP239+参考2_エネ使用量経年!AP326)*1000,"")</f>
        <v/>
      </c>
      <c r="AQ389" s="954" t="str">
        <f ca="1">IFERROR($K389*(参考2_エネ使用量経年!AQ239+参考2_エネ使用量経年!AQ326)*1000,"")</f>
        <v/>
      </c>
      <c r="AR389" s="954" t="str">
        <f ca="1">IFERROR($H389*(参考2_エネ使用量経年!AR239+参考2_エネ使用量経年!AR326)*1000,"")</f>
        <v/>
      </c>
      <c r="AS389" s="954" t="str">
        <f ca="1">IFERROR($I389*(参考2_エネ使用量経年!AS239+参考2_エネ使用量経年!AS326)*1000,"")</f>
        <v/>
      </c>
      <c r="AT389" s="954" t="str">
        <f ca="1">IFERROR($J389*(参考2_エネ使用量経年!AT239+参考2_エネ使用量経年!AT326)*1000,"")</f>
        <v/>
      </c>
      <c r="AU389" s="954" t="str">
        <f ca="1">IFERROR($K389*(参考2_エネ使用量経年!AU239+参考2_エネ使用量経年!AU326)*1000,"")</f>
        <v/>
      </c>
      <c r="AV389" s="954" t="str">
        <f ca="1">IFERROR($H389*(参考2_エネ使用量経年!AV239+参考2_エネ使用量経年!AV326)*1000,"")</f>
        <v/>
      </c>
      <c r="AW389" s="954" t="str">
        <f ca="1">IFERROR($I389*(参考2_エネ使用量経年!AW239+参考2_エネ使用量経年!AW326)*1000,"")</f>
        <v/>
      </c>
      <c r="AX389" s="954" t="str">
        <f ca="1">IFERROR($J389*(参考2_エネ使用量経年!AX239+参考2_エネ使用量経年!AX326)*1000,"")</f>
        <v/>
      </c>
      <c r="AY389" s="954" t="str">
        <f ca="1">IFERROR($K389*(参考2_エネ使用量経年!AY239+参考2_エネ使用量経年!AY326)*1000,"")</f>
        <v/>
      </c>
      <c r="AZ389" s="954" t="str">
        <f ca="1">IFERROR($H389*(参考2_エネ使用量経年!AZ239+参考2_エネ使用量経年!AZ326)*1000,"")</f>
        <v/>
      </c>
      <c r="BA389" s="954" t="str">
        <f ca="1">IFERROR($I389*(参考2_エネ使用量経年!BA239+参考2_エネ使用量経年!BA326)*1000,"")</f>
        <v/>
      </c>
      <c r="BB389" s="954" t="str">
        <f ca="1">IFERROR($J389*(参考2_エネ使用量経年!BB239+参考2_エネ使用量経年!BB326)*1000,"")</f>
        <v/>
      </c>
      <c r="BC389" s="954" t="str">
        <f ca="1">IFERROR($K389*(参考2_エネ使用量経年!BC239+参考2_エネ使用量経年!BC326)*1000,"")</f>
        <v/>
      </c>
      <c r="BD389" s="954" t="str">
        <f ca="1">IFERROR($H389*(参考2_エネ使用量経年!BD239+参考2_エネ使用量経年!BD326)*1000,"")</f>
        <v/>
      </c>
      <c r="BE389" s="954" t="str">
        <f ca="1">IFERROR($I389*(参考2_エネ使用量経年!BE239+参考2_エネ使用量経年!BE326)*1000,"")</f>
        <v/>
      </c>
      <c r="BF389" s="954" t="str">
        <f ca="1">IFERROR($J389*(参考2_エネ使用量経年!BF239+参考2_エネ使用量経年!BF326)*1000,"")</f>
        <v/>
      </c>
      <c r="BG389" s="954" t="str">
        <f ca="1">IFERROR($K389*(参考2_エネ使用量経年!BG239+参考2_エネ使用量経年!BG326)*1000,"")</f>
        <v/>
      </c>
      <c r="BH389" s="954" t="str">
        <f ca="1">IFERROR($H389*(参考2_エネ使用量経年!BH239+参考2_エネ使用量経年!BH326)*1000,"")</f>
        <v/>
      </c>
      <c r="BI389" s="954" t="str">
        <f ca="1">IFERROR($I389*(参考2_エネ使用量経年!BI239+参考2_エネ使用量経年!BI326)*1000,"")</f>
        <v/>
      </c>
      <c r="BJ389" s="954" t="str">
        <f ca="1">IFERROR($J389*(参考2_エネ使用量経年!BJ239+参考2_エネ使用量経年!BJ326)*1000,"")</f>
        <v/>
      </c>
      <c r="BK389" s="954" t="str">
        <f ca="1">IFERROR($K389*(参考2_エネ使用量経年!BK239+参考2_エネ使用量経年!BK326)*1000,"")</f>
        <v/>
      </c>
      <c r="BL389" s="954" t="str">
        <f ca="1">IFERROR($H389*(参考2_エネ使用量経年!BL239+参考2_エネ使用量経年!BL326)*1000,"")</f>
        <v/>
      </c>
      <c r="BM389" s="954" t="str">
        <f ca="1">IFERROR($I389*(参考2_エネ使用量経年!BM239+参考2_エネ使用量経年!BM326)*1000,"")</f>
        <v/>
      </c>
      <c r="BN389" s="954" t="str">
        <f ca="1">IFERROR($J389*(参考2_エネ使用量経年!BN239+参考2_エネ使用量経年!BN326)*1000,"")</f>
        <v/>
      </c>
      <c r="BO389" s="954" t="str">
        <f ca="1">IFERROR($K389*(参考2_エネ使用量経年!BO239+参考2_エネ使用量経年!BO326)*1000,"")</f>
        <v/>
      </c>
      <c r="BP389" s="841"/>
    </row>
    <row r="390" spans="1:68" ht="20.100000000000001" customHeight="1">
      <c r="A390" s="952"/>
      <c r="B390" s="1870"/>
      <c r="C390" s="1872"/>
      <c r="D390" s="853" t="s">
        <v>4445</v>
      </c>
      <c r="E390" s="824"/>
      <c r="F390" s="875"/>
      <c r="G390" s="891" t="s">
        <v>4685</v>
      </c>
      <c r="H390" s="1040"/>
      <c r="I390" s="1041"/>
      <c r="J390" s="1041"/>
      <c r="K390" s="1041"/>
      <c r="L390" s="1040"/>
      <c r="M390" s="1041"/>
      <c r="N390" s="1041"/>
      <c r="O390" s="1041"/>
      <c r="P390" s="1040"/>
      <c r="Q390" s="1041"/>
      <c r="R390" s="1041"/>
      <c r="S390" s="1041"/>
      <c r="T390" s="1040"/>
      <c r="U390" s="1041"/>
      <c r="V390" s="1041"/>
      <c r="W390" s="1041"/>
      <c r="X390" s="1040"/>
      <c r="Y390" s="1041"/>
      <c r="Z390" s="1041"/>
      <c r="AA390" s="1041"/>
      <c r="AB390" s="1040"/>
      <c r="AC390" s="1041"/>
      <c r="AD390" s="1041"/>
      <c r="AE390" s="1041"/>
      <c r="AF390" s="1040"/>
      <c r="AG390" s="1041"/>
      <c r="AH390" s="1041"/>
      <c r="AI390" s="1041"/>
      <c r="AJ390" s="1040"/>
      <c r="AK390" s="1041"/>
      <c r="AL390" s="1041"/>
      <c r="AM390" s="1041"/>
      <c r="AN390" s="1040"/>
      <c r="AO390" s="1041"/>
      <c r="AP390" s="1041"/>
      <c r="AQ390" s="1041"/>
      <c r="AR390" s="1040"/>
      <c r="AS390" s="1041"/>
      <c r="AT390" s="1041"/>
      <c r="AU390" s="1041"/>
      <c r="AV390" s="1040"/>
      <c r="AW390" s="1041"/>
      <c r="AX390" s="1041"/>
      <c r="AY390" s="1041"/>
      <c r="AZ390" s="1040"/>
      <c r="BA390" s="1041"/>
      <c r="BB390" s="1041"/>
      <c r="BC390" s="1041"/>
      <c r="BD390" s="1040"/>
      <c r="BE390" s="1041"/>
      <c r="BF390" s="1041"/>
      <c r="BG390" s="1041"/>
      <c r="BH390" s="1040"/>
      <c r="BI390" s="1041"/>
      <c r="BJ390" s="1041"/>
      <c r="BK390" s="1041"/>
      <c r="BL390" s="1040"/>
      <c r="BM390" s="1041"/>
      <c r="BN390" s="1041"/>
      <c r="BO390" s="1041"/>
      <c r="BP390" s="841"/>
    </row>
    <row r="391" spans="1:68" ht="20.100000000000001" customHeight="1">
      <c r="A391" s="786">
        <v>89</v>
      </c>
      <c r="B391" s="1870"/>
      <c r="C391" s="1872"/>
      <c r="D391" s="853" t="s">
        <v>4446</v>
      </c>
      <c r="E391" s="824"/>
      <c r="F391" s="875"/>
      <c r="G391" s="891" t="s">
        <v>4685</v>
      </c>
      <c r="H391" s="1040"/>
      <c r="I391" s="1041"/>
      <c r="J391" s="1041"/>
      <c r="K391" s="1041"/>
      <c r="L391" s="954">
        <f ca="1">IFERROR($H391*(参考2_エネ使用量経年!L241+参考2_エネ使用量経年!L328)*1000,"")</f>
        <v>0</v>
      </c>
      <c r="M391" s="954">
        <f ca="1">IFERROR($I391*(参考2_エネ使用量経年!M241+参考2_エネ使用量経年!M328)*1000,"")</f>
        <v>0</v>
      </c>
      <c r="N391" s="954">
        <f ca="1">IFERROR($J391*(参考2_エネ使用量経年!N241+参考2_エネ使用量経年!N328)*1000,"")</f>
        <v>0</v>
      </c>
      <c r="O391" s="954">
        <f ca="1">IFERROR($K391*(参考2_エネ使用量経年!O241+参考2_エネ使用量経年!O328)*1000,"")</f>
        <v>0</v>
      </c>
      <c r="P391" s="954">
        <f ca="1">IFERROR($H391*(参考2_エネ使用量経年!P241+参考2_エネ使用量経年!P328)*1000,"")</f>
        <v>0</v>
      </c>
      <c r="Q391" s="954">
        <f ca="1">IFERROR($I391*(参考2_エネ使用量経年!Q241+参考2_エネ使用量経年!Q328)*1000,"")</f>
        <v>0</v>
      </c>
      <c r="R391" s="954">
        <f ca="1">IFERROR($J391*(参考2_エネ使用量経年!R241+参考2_エネ使用量経年!R328)*1000,"")</f>
        <v>0</v>
      </c>
      <c r="S391" s="954">
        <f ca="1">IFERROR($K391*(参考2_エネ使用量経年!S241+参考2_エネ使用量経年!S328)*1000,"")</f>
        <v>0</v>
      </c>
      <c r="T391" s="954">
        <f ca="1">IFERROR($H391*(参考2_エネ使用量経年!T241+参考2_エネ使用量経年!T328)*1000,"")</f>
        <v>0</v>
      </c>
      <c r="U391" s="954">
        <f ca="1">IFERROR($I391*(参考2_エネ使用量経年!U241+参考2_エネ使用量経年!U328)*1000,"")</f>
        <v>0</v>
      </c>
      <c r="V391" s="954">
        <f ca="1">IFERROR($J391*(参考2_エネ使用量経年!V241+参考2_エネ使用量経年!V328)*1000,"")</f>
        <v>0</v>
      </c>
      <c r="W391" s="954">
        <f ca="1">IFERROR($K391*(参考2_エネ使用量経年!W241+参考2_エネ使用量経年!W328)*1000,"")</f>
        <v>0</v>
      </c>
      <c r="X391" s="954">
        <f ca="1">IFERROR($H391*(参考2_エネ使用量経年!X241+参考2_エネ使用量経年!X328)*1000,"")</f>
        <v>0</v>
      </c>
      <c r="Y391" s="954">
        <f ca="1">IFERROR($I391*(参考2_エネ使用量経年!Y241+参考2_エネ使用量経年!Y328)*1000,"")</f>
        <v>0</v>
      </c>
      <c r="Z391" s="954">
        <f ca="1">IFERROR($J391*(参考2_エネ使用量経年!Z241+参考2_エネ使用量経年!Z328)*1000,"")</f>
        <v>0</v>
      </c>
      <c r="AA391" s="954">
        <f ca="1">IFERROR($K391*(参考2_エネ使用量経年!AA241+参考2_エネ使用量経年!AA328)*1000,"")</f>
        <v>0</v>
      </c>
      <c r="AB391" s="954" t="str">
        <f ca="1">IFERROR($H391*(参考2_エネ使用量経年!AB241+参考2_エネ使用量経年!AB328)*1000,"")</f>
        <v/>
      </c>
      <c r="AC391" s="954" t="str">
        <f ca="1">IFERROR($I391*(参考2_エネ使用量経年!AC241+参考2_エネ使用量経年!AC328)*1000,"")</f>
        <v/>
      </c>
      <c r="AD391" s="954" t="str">
        <f ca="1">IFERROR($J391*(参考2_エネ使用量経年!AD241+参考2_エネ使用量経年!AD328)*1000,"")</f>
        <v/>
      </c>
      <c r="AE391" s="954" t="str">
        <f ca="1">IFERROR($K391*(参考2_エネ使用量経年!AE241+参考2_エネ使用量経年!AE328)*1000,"")</f>
        <v/>
      </c>
      <c r="AF391" s="954" t="str">
        <f ca="1">IFERROR($H391*(参考2_エネ使用量経年!AF241+参考2_エネ使用量経年!AF328)*1000,"")</f>
        <v/>
      </c>
      <c r="AG391" s="954" t="str">
        <f ca="1">IFERROR($I391*(参考2_エネ使用量経年!AG241+参考2_エネ使用量経年!AG328)*1000,"")</f>
        <v/>
      </c>
      <c r="AH391" s="954" t="str">
        <f ca="1">IFERROR($J391*(参考2_エネ使用量経年!AH241+参考2_エネ使用量経年!AH328)*1000,"")</f>
        <v/>
      </c>
      <c r="AI391" s="954" t="str">
        <f ca="1">IFERROR($K391*(参考2_エネ使用量経年!AI241+参考2_エネ使用量経年!AI328)*1000,"")</f>
        <v/>
      </c>
      <c r="AJ391" s="954" t="str">
        <f ca="1">IFERROR($H391*(参考2_エネ使用量経年!AJ241+参考2_エネ使用量経年!AJ328)*1000,"")</f>
        <v/>
      </c>
      <c r="AK391" s="954" t="str">
        <f ca="1">IFERROR($I391*(参考2_エネ使用量経年!AK241+参考2_エネ使用量経年!AK328)*1000,"")</f>
        <v/>
      </c>
      <c r="AL391" s="954" t="str">
        <f ca="1">IFERROR($J391*(参考2_エネ使用量経年!AL241+参考2_エネ使用量経年!AL328)*1000,"")</f>
        <v/>
      </c>
      <c r="AM391" s="954" t="str">
        <f ca="1">IFERROR($K391*(参考2_エネ使用量経年!AM241+参考2_エネ使用量経年!AM328)*1000,"")</f>
        <v/>
      </c>
      <c r="AN391" s="954" t="str">
        <f ca="1">IFERROR($H391*(参考2_エネ使用量経年!AN241+参考2_エネ使用量経年!AN328)*1000,"")</f>
        <v/>
      </c>
      <c r="AO391" s="954" t="str">
        <f ca="1">IFERROR($I391*(参考2_エネ使用量経年!AO241+参考2_エネ使用量経年!AO328)*1000,"")</f>
        <v/>
      </c>
      <c r="AP391" s="954" t="str">
        <f ca="1">IFERROR($J391*(参考2_エネ使用量経年!AP241+参考2_エネ使用量経年!AP328)*1000,"")</f>
        <v/>
      </c>
      <c r="AQ391" s="954" t="str">
        <f ca="1">IFERROR($K391*(参考2_エネ使用量経年!AQ241+参考2_エネ使用量経年!AQ328)*1000,"")</f>
        <v/>
      </c>
      <c r="AR391" s="954" t="str">
        <f ca="1">IFERROR($H391*(参考2_エネ使用量経年!AR241+参考2_エネ使用量経年!AR328)*1000,"")</f>
        <v/>
      </c>
      <c r="AS391" s="954" t="str">
        <f ca="1">IFERROR($I391*(参考2_エネ使用量経年!AS241+参考2_エネ使用量経年!AS328)*1000,"")</f>
        <v/>
      </c>
      <c r="AT391" s="954" t="str">
        <f ca="1">IFERROR($J391*(参考2_エネ使用量経年!AT241+参考2_エネ使用量経年!AT328)*1000,"")</f>
        <v/>
      </c>
      <c r="AU391" s="954" t="str">
        <f ca="1">IFERROR($K391*(参考2_エネ使用量経年!AU241+参考2_エネ使用量経年!AU328)*1000,"")</f>
        <v/>
      </c>
      <c r="AV391" s="954" t="str">
        <f ca="1">IFERROR($H391*(参考2_エネ使用量経年!AV241+参考2_エネ使用量経年!AV328)*1000,"")</f>
        <v/>
      </c>
      <c r="AW391" s="954" t="str">
        <f ca="1">IFERROR($I391*(参考2_エネ使用量経年!AW241+参考2_エネ使用量経年!AW328)*1000,"")</f>
        <v/>
      </c>
      <c r="AX391" s="954" t="str">
        <f ca="1">IFERROR($J391*(参考2_エネ使用量経年!AX241+参考2_エネ使用量経年!AX328)*1000,"")</f>
        <v/>
      </c>
      <c r="AY391" s="954" t="str">
        <f ca="1">IFERROR($K391*(参考2_エネ使用量経年!AY241+参考2_エネ使用量経年!AY328)*1000,"")</f>
        <v/>
      </c>
      <c r="AZ391" s="954" t="str">
        <f ca="1">IFERROR($H391*(参考2_エネ使用量経年!AZ241+参考2_エネ使用量経年!AZ328)*1000,"")</f>
        <v/>
      </c>
      <c r="BA391" s="954" t="str">
        <f ca="1">IFERROR($I391*(参考2_エネ使用量経年!BA241+参考2_エネ使用量経年!BA328)*1000,"")</f>
        <v/>
      </c>
      <c r="BB391" s="954" t="str">
        <f ca="1">IFERROR($J391*(参考2_エネ使用量経年!BB241+参考2_エネ使用量経年!BB328)*1000,"")</f>
        <v/>
      </c>
      <c r="BC391" s="954" t="str">
        <f ca="1">IFERROR($K391*(参考2_エネ使用量経年!BC241+参考2_エネ使用量経年!BC328)*1000,"")</f>
        <v/>
      </c>
      <c r="BD391" s="954" t="str">
        <f ca="1">IFERROR($H391*(参考2_エネ使用量経年!BD241+参考2_エネ使用量経年!BD328)*1000,"")</f>
        <v/>
      </c>
      <c r="BE391" s="954" t="str">
        <f ca="1">IFERROR($I391*(参考2_エネ使用量経年!BE241+参考2_エネ使用量経年!BE328)*1000,"")</f>
        <v/>
      </c>
      <c r="BF391" s="954" t="str">
        <f ca="1">IFERROR($J391*(参考2_エネ使用量経年!BF241+参考2_エネ使用量経年!BF328)*1000,"")</f>
        <v/>
      </c>
      <c r="BG391" s="954" t="str">
        <f ca="1">IFERROR($K391*(参考2_エネ使用量経年!BG241+参考2_エネ使用量経年!BG328)*1000,"")</f>
        <v/>
      </c>
      <c r="BH391" s="954" t="str">
        <f ca="1">IFERROR($H391*(参考2_エネ使用量経年!BH241+参考2_エネ使用量経年!BH328)*1000,"")</f>
        <v/>
      </c>
      <c r="BI391" s="954" t="str">
        <f ca="1">IFERROR($I391*(参考2_エネ使用量経年!BI241+参考2_エネ使用量経年!BI328)*1000,"")</f>
        <v/>
      </c>
      <c r="BJ391" s="954" t="str">
        <f ca="1">IFERROR($J391*(参考2_エネ使用量経年!BJ241+参考2_エネ使用量経年!BJ328)*1000,"")</f>
        <v/>
      </c>
      <c r="BK391" s="954" t="str">
        <f ca="1">IFERROR($K391*(参考2_エネ使用量経年!BK241+参考2_エネ使用量経年!BK328)*1000,"")</f>
        <v/>
      </c>
      <c r="BL391" s="954" t="str">
        <f ca="1">IFERROR($H391*(参考2_エネ使用量経年!BL241+参考2_エネ使用量経年!BL328)*1000,"")</f>
        <v/>
      </c>
      <c r="BM391" s="954" t="str">
        <f ca="1">IFERROR($I391*(参考2_エネ使用量経年!BM241+参考2_エネ使用量経年!BM328)*1000,"")</f>
        <v/>
      </c>
      <c r="BN391" s="954" t="str">
        <f ca="1">IFERROR($J391*(参考2_エネ使用量経年!BN241+参考2_エネ使用量経年!BN328)*1000,"")</f>
        <v/>
      </c>
      <c r="BO391" s="954" t="str">
        <f ca="1">IFERROR($K391*(参考2_エネ使用量経年!BO241+参考2_エネ使用量経年!BO328)*1000,"")</f>
        <v/>
      </c>
      <c r="BP391" s="841"/>
    </row>
    <row r="392" spans="1:68" ht="20.100000000000001" customHeight="1">
      <c r="A392" s="952"/>
      <c r="B392" s="1870"/>
      <c r="C392" s="1872"/>
      <c r="D392" s="853" t="s">
        <v>4447</v>
      </c>
      <c r="E392" s="824"/>
      <c r="F392" s="875"/>
      <c r="G392" s="891" t="s">
        <v>4685</v>
      </c>
      <c r="H392" s="1040"/>
      <c r="I392" s="1041"/>
      <c r="J392" s="1041"/>
      <c r="K392" s="1041"/>
      <c r="L392" s="1040"/>
      <c r="M392" s="1041"/>
      <c r="N392" s="1041"/>
      <c r="O392" s="1041"/>
      <c r="P392" s="1040"/>
      <c r="Q392" s="1041"/>
      <c r="R392" s="1041"/>
      <c r="S392" s="1041"/>
      <c r="T392" s="1040"/>
      <c r="U392" s="1041"/>
      <c r="V392" s="1041"/>
      <c r="W392" s="1041"/>
      <c r="X392" s="1040"/>
      <c r="Y392" s="1041"/>
      <c r="Z392" s="1041"/>
      <c r="AA392" s="1041"/>
      <c r="AB392" s="1040"/>
      <c r="AC392" s="1041"/>
      <c r="AD392" s="1041"/>
      <c r="AE392" s="1041"/>
      <c r="AF392" s="1040"/>
      <c r="AG392" s="1041"/>
      <c r="AH392" s="1041"/>
      <c r="AI392" s="1041"/>
      <c r="AJ392" s="1040"/>
      <c r="AK392" s="1041"/>
      <c r="AL392" s="1041"/>
      <c r="AM392" s="1041"/>
      <c r="AN392" s="1040"/>
      <c r="AO392" s="1041"/>
      <c r="AP392" s="1041"/>
      <c r="AQ392" s="1041"/>
      <c r="AR392" s="1040"/>
      <c r="AS392" s="1041"/>
      <c r="AT392" s="1041"/>
      <c r="AU392" s="1041"/>
      <c r="AV392" s="1040"/>
      <c r="AW392" s="1041"/>
      <c r="AX392" s="1041"/>
      <c r="AY392" s="1041"/>
      <c r="AZ392" s="1040"/>
      <c r="BA392" s="1041"/>
      <c r="BB392" s="1041"/>
      <c r="BC392" s="1041"/>
      <c r="BD392" s="1040"/>
      <c r="BE392" s="1041"/>
      <c r="BF392" s="1041"/>
      <c r="BG392" s="1041"/>
      <c r="BH392" s="1040"/>
      <c r="BI392" s="1041"/>
      <c r="BJ392" s="1041"/>
      <c r="BK392" s="1041"/>
      <c r="BL392" s="1040"/>
      <c r="BM392" s="1041"/>
      <c r="BN392" s="1041"/>
      <c r="BO392" s="1041"/>
      <c r="BP392" s="841"/>
    </row>
    <row r="393" spans="1:68" ht="20.100000000000001" customHeight="1">
      <c r="A393" s="786">
        <v>91</v>
      </c>
      <c r="B393" s="1870"/>
      <c r="C393" s="1872"/>
      <c r="D393" s="1893" t="s">
        <v>4448</v>
      </c>
      <c r="E393" s="877" t="str">
        <f ca="1">参考2_エネ使用量経年!E419</f>
        <v/>
      </c>
      <c r="F393" s="878"/>
      <c r="G393" s="891" t="s">
        <v>4685</v>
      </c>
      <c r="H393" s="953">
        <f t="shared" ref="H393" ca="1" si="119">IFERROR(OFFSET(貼付け_2024実績,$A393,6),"")</f>
        <v>0</v>
      </c>
      <c r="I393" s="953">
        <f t="shared" ref="I393" ca="1" si="120">IFERROR(OFFSET(貼付け_2025実績,$A393,6),"")</f>
        <v>0</v>
      </c>
      <c r="J393" s="953">
        <f t="shared" ref="J393" ca="1" si="121">IFERROR(OFFSET(貼付け_2026実績,$A393,6),"")</f>
        <v>0</v>
      </c>
      <c r="K393" s="953">
        <f t="shared" ref="K393" ca="1" si="122">IFERROR(OFFSET(貼付け_2027実績,$A393,6),"")</f>
        <v>0</v>
      </c>
      <c r="L393" s="954">
        <f ca="1">IFERROR($H393*(参考2_エネ使用量経年!L243+参考2_エネ使用量経年!L330)*1000,"")</f>
        <v>0</v>
      </c>
      <c r="M393" s="954">
        <f ca="1">IFERROR($I393*(参考2_エネ使用量経年!M243+参考2_エネ使用量経年!M330)*1000,"")</f>
        <v>0</v>
      </c>
      <c r="N393" s="954">
        <f ca="1">IFERROR($J393*(参考2_エネ使用量経年!N243+参考2_エネ使用量経年!N330)*1000,"")</f>
        <v>0</v>
      </c>
      <c r="O393" s="954">
        <f ca="1">IFERROR($K393*(参考2_エネ使用量経年!O243+参考2_エネ使用量経年!O330)*1000,"")</f>
        <v>0</v>
      </c>
      <c r="P393" s="954">
        <f ca="1">IFERROR($H393*(参考2_エネ使用量経年!P243+参考2_エネ使用量経年!P330)*1000,"")</f>
        <v>0</v>
      </c>
      <c r="Q393" s="954">
        <f ca="1">IFERROR($I393*(参考2_エネ使用量経年!Q243+参考2_エネ使用量経年!Q330)*1000,"")</f>
        <v>0</v>
      </c>
      <c r="R393" s="954">
        <f ca="1">IFERROR($J393*(参考2_エネ使用量経年!R243+参考2_エネ使用量経年!R330)*1000,"")</f>
        <v>0</v>
      </c>
      <c r="S393" s="954">
        <f ca="1">IFERROR($K393*(参考2_エネ使用量経年!S243+参考2_エネ使用量経年!S330)*1000,"")</f>
        <v>0</v>
      </c>
      <c r="T393" s="954">
        <f ca="1">IFERROR($H393*(参考2_エネ使用量経年!T243+参考2_エネ使用量経年!T330)*1000,"")</f>
        <v>0</v>
      </c>
      <c r="U393" s="954">
        <f ca="1">IFERROR($I393*(参考2_エネ使用量経年!U243+参考2_エネ使用量経年!U330)*1000,"")</f>
        <v>0</v>
      </c>
      <c r="V393" s="954">
        <f ca="1">IFERROR($J393*(参考2_エネ使用量経年!V243+参考2_エネ使用量経年!V330)*1000,"")</f>
        <v>0</v>
      </c>
      <c r="W393" s="954">
        <f ca="1">IFERROR($K393*(参考2_エネ使用量経年!W243+参考2_エネ使用量経年!W330)*1000,"")</f>
        <v>0</v>
      </c>
      <c r="X393" s="954">
        <f ca="1">IFERROR($H393*(参考2_エネ使用量経年!X243+参考2_エネ使用量経年!X330)*1000,"")</f>
        <v>0</v>
      </c>
      <c r="Y393" s="954">
        <f ca="1">IFERROR($I393*(参考2_エネ使用量経年!Y243+参考2_エネ使用量経年!Y330)*1000,"")</f>
        <v>0</v>
      </c>
      <c r="Z393" s="954">
        <f ca="1">IFERROR($J393*(参考2_エネ使用量経年!Z243+参考2_エネ使用量経年!Z330)*1000,"")</f>
        <v>0</v>
      </c>
      <c r="AA393" s="954">
        <f ca="1">IFERROR($K393*(参考2_エネ使用量経年!AA243+参考2_エネ使用量経年!AA330)*1000,"")</f>
        <v>0</v>
      </c>
      <c r="AB393" s="954" t="str">
        <f ca="1">IFERROR($H393*(参考2_エネ使用量経年!AB243+参考2_エネ使用量経年!AB330)*1000,"")</f>
        <v/>
      </c>
      <c r="AC393" s="954" t="str">
        <f ca="1">IFERROR($I393*(参考2_エネ使用量経年!AC243+参考2_エネ使用量経年!AC330)*1000,"")</f>
        <v/>
      </c>
      <c r="AD393" s="954" t="str">
        <f ca="1">IFERROR($J393*(参考2_エネ使用量経年!AD243+参考2_エネ使用量経年!AD330)*1000,"")</f>
        <v/>
      </c>
      <c r="AE393" s="954" t="str">
        <f ca="1">IFERROR($K393*(参考2_エネ使用量経年!AE243+参考2_エネ使用量経年!AE330)*1000,"")</f>
        <v/>
      </c>
      <c r="AF393" s="954" t="str">
        <f ca="1">IFERROR($H393*(参考2_エネ使用量経年!AF243+参考2_エネ使用量経年!AF330)*1000,"")</f>
        <v/>
      </c>
      <c r="AG393" s="954" t="str">
        <f ca="1">IFERROR($I393*(参考2_エネ使用量経年!AG243+参考2_エネ使用量経年!AG330)*1000,"")</f>
        <v/>
      </c>
      <c r="AH393" s="954" t="str">
        <f ca="1">IFERROR($J393*(参考2_エネ使用量経年!AH243+参考2_エネ使用量経年!AH330)*1000,"")</f>
        <v/>
      </c>
      <c r="AI393" s="954" t="str">
        <f ca="1">IFERROR($K393*(参考2_エネ使用量経年!AI243+参考2_エネ使用量経年!AI330)*1000,"")</f>
        <v/>
      </c>
      <c r="AJ393" s="954" t="str">
        <f ca="1">IFERROR($H393*(参考2_エネ使用量経年!AJ243+参考2_エネ使用量経年!AJ330)*1000,"")</f>
        <v/>
      </c>
      <c r="AK393" s="954" t="str">
        <f ca="1">IFERROR($I393*(参考2_エネ使用量経年!AK243+参考2_エネ使用量経年!AK330)*1000,"")</f>
        <v/>
      </c>
      <c r="AL393" s="954" t="str">
        <f ca="1">IFERROR($J393*(参考2_エネ使用量経年!AL243+参考2_エネ使用量経年!AL330)*1000,"")</f>
        <v/>
      </c>
      <c r="AM393" s="954" t="str">
        <f ca="1">IFERROR($K393*(参考2_エネ使用量経年!AM243+参考2_エネ使用量経年!AM330)*1000,"")</f>
        <v/>
      </c>
      <c r="AN393" s="954" t="str">
        <f ca="1">IFERROR($H393*(参考2_エネ使用量経年!AN243+参考2_エネ使用量経年!AN330)*1000,"")</f>
        <v/>
      </c>
      <c r="AO393" s="954" t="str">
        <f ca="1">IFERROR($I393*(参考2_エネ使用量経年!AO243+参考2_エネ使用量経年!AO330)*1000,"")</f>
        <v/>
      </c>
      <c r="AP393" s="954" t="str">
        <f ca="1">IFERROR($J393*(参考2_エネ使用量経年!AP243+参考2_エネ使用量経年!AP330)*1000,"")</f>
        <v/>
      </c>
      <c r="AQ393" s="954" t="str">
        <f ca="1">IFERROR($K393*(参考2_エネ使用量経年!AQ243+参考2_エネ使用量経年!AQ330)*1000,"")</f>
        <v/>
      </c>
      <c r="AR393" s="954" t="str">
        <f ca="1">IFERROR($H393*(参考2_エネ使用量経年!AR243+参考2_エネ使用量経年!AR330)*1000,"")</f>
        <v/>
      </c>
      <c r="AS393" s="954" t="str">
        <f ca="1">IFERROR($I393*(参考2_エネ使用量経年!AS243+参考2_エネ使用量経年!AS330)*1000,"")</f>
        <v/>
      </c>
      <c r="AT393" s="954" t="str">
        <f ca="1">IFERROR($J393*(参考2_エネ使用量経年!AT243+参考2_エネ使用量経年!AT330)*1000,"")</f>
        <v/>
      </c>
      <c r="AU393" s="954" t="str">
        <f ca="1">IFERROR($K393*(参考2_エネ使用量経年!AU243+参考2_エネ使用量経年!AU330)*1000,"")</f>
        <v/>
      </c>
      <c r="AV393" s="954" t="str">
        <f ca="1">IFERROR($H393*(参考2_エネ使用量経年!AV243+参考2_エネ使用量経年!AV330)*1000,"")</f>
        <v/>
      </c>
      <c r="AW393" s="954" t="str">
        <f ca="1">IFERROR($I393*(参考2_エネ使用量経年!AW243+参考2_エネ使用量経年!AW330)*1000,"")</f>
        <v/>
      </c>
      <c r="AX393" s="954" t="str">
        <f ca="1">IFERROR($J393*(参考2_エネ使用量経年!AX243+参考2_エネ使用量経年!AX330)*1000,"")</f>
        <v/>
      </c>
      <c r="AY393" s="954" t="str">
        <f ca="1">IFERROR($K393*(参考2_エネ使用量経年!AY243+参考2_エネ使用量経年!AY330)*1000,"")</f>
        <v/>
      </c>
      <c r="AZ393" s="954" t="str">
        <f ca="1">IFERROR($H393*(参考2_エネ使用量経年!AZ243+参考2_エネ使用量経年!AZ330)*1000,"")</f>
        <v/>
      </c>
      <c r="BA393" s="954" t="str">
        <f ca="1">IFERROR($I393*(参考2_エネ使用量経年!BA243+参考2_エネ使用量経年!BA330)*1000,"")</f>
        <v/>
      </c>
      <c r="BB393" s="954" t="str">
        <f ca="1">IFERROR($J393*(参考2_エネ使用量経年!BB243+参考2_エネ使用量経年!BB330)*1000,"")</f>
        <v/>
      </c>
      <c r="BC393" s="954" t="str">
        <f ca="1">IFERROR($K393*(参考2_エネ使用量経年!BC243+参考2_エネ使用量経年!BC330)*1000,"")</f>
        <v/>
      </c>
      <c r="BD393" s="954" t="str">
        <f ca="1">IFERROR($H393*(参考2_エネ使用量経年!BD243+参考2_エネ使用量経年!BD330)*1000,"")</f>
        <v/>
      </c>
      <c r="BE393" s="954" t="str">
        <f ca="1">IFERROR($I393*(参考2_エネ使用量経年!BE243+参考2_エネ使用量経年!BE330)*1000,"")</f>
        <v/>
      </c>
      <c r="BF393" s="954" t="str">
        <f ca="1">IFERROR($J393*(参考2_エネ使用量経年!BF243+参考2_エネ使用量経年!BF330)*1000,"")</f>
        <v/>
      </c>
      <c r="BG393" s="954" t="str">
        <f ca="1">IFERROR($K393*(参考2_エネ使用量経年!BG243+参考2_エネ使用量経年!BG330)*1000,"")</f>
        <v/>
      </c>
      <c r="BH393" s="954" t="str">
        <f ca="1">IFERROR($H393*(参考2_エネ使用量経年!BH243+参考2_エネ使用量経年!BH330)*1000,"")</f>
        <v/>
      </c>
      <c r="BI393" s="954" t="str">
        <f ca="1">IFERROR($I393*(参考2_エネ使用量経年!BI243+参考2_エネ使用量経年!BI330)*1000,"")</f>
        <v/>
      </c>
      <c r="BJ393" s="954" t="str">
        <f ca="1">IFERROR($J393*(参考2_エネ使用量経年!BJ243+参考2_エネ使用量経年!BJ330)*1000,"")</f>
        <v/>
      </c>
      <c r="BK393" s="954" t="str">
        <f ca="1">IFERROR($K393*(参考2_エネ使用量経年!BK243+参考2_エネ使用量経年!BK330)*1000,"")</f>
        <v/>
      </c>
      <c r="BL393" s="954" t="str">
        <f ca="1">IFERROR($H393*(参考2_エネ使用量経年!BL243+参考2_エネ使用量経年!BL330)*1000,"")</f>
        <v/>
      </c>
      <c r="BM393" s="954" t="str">
        <f ca="1">IFERROR($I393*(参考2_エネ使用量経年!BM243+参考2_エネ使用量経年!BM330)*1000,"")</f>
        <v/>
      </c>
      <c r="BN393" s="954" t="str">
        <f ca="1">IFERROR($J393*(参考2_エネ使用量経年!BN243+参考2_エネ使用量経年!BN330)*1000,"")</f>
        <v/>
      </c>
      <c r="BO393" s="954" t="str">
        <f ca="1">IFERROR($K393*(参考2_エネ使用量経年!BO243+参考2_エネ使用量経年!BO330)*1000,"")</f>
        <v/>
      </c>
      <c r="BP393" s="841"/>
    </row>
    <row r="394" spans="1:68" ht="20.100000000000001" customHeight="1">
      <c r="A394" s="952"/>
      <c r="B394" s="1870"/>
      <c r="C394" s="1872"/>
      <c r="D394" s="1893"/>
      <c r="E394" s="879"/>
      <c r="F394" s="880"/>
      <c r="G394" s="891"/>
      <c r="H394" s="1040"/>
      <c r="I394" s="1041"/>
      <c r="J394" s="1041"/>
      <c r="K394" s="1041"/>
      <c r="L394" s="1040"/>
      <c r="M394" s="1041"/>
      <c r="N394" s="1041"/>
      <c r="O394" s="1041"/>
      <c r="P394" s="1040"/>
      <c r="Q394" s="1041"/>
      <c r="R394" s="1041"/>
      <c r="S394" s="1041"/>
      <c r="T394" s="1040"/>
      <c r="U394" s="1041"/>
      <c r="V394" s="1041"/>
      <c r="W394" s="1041"/>
      <c r="X394" s="1040"/>
      <c r="Y394" s="1041"/>
      <c r="Z394" s="1041"/>
      <c r="AA394" s="1041"/>
      <c r="AB394" s="1040"/>
      <c r="AC394" s="1041"/>
      <c r="AD394" s="1041"/>
      <c r="AE394" s="1041"/>
      <c r="AF394" s="1040"/>
      <c r="AG394" s="1041"/>
      <c r="AH394" s="1041"/>
      <c r="AI394" s="1041"/>
      <c r="AJ394" s="1040"/>
      <c r="AK394" s="1041"/>
      <c r="AL394" s="1041"/>
      <c r="AM394" s="1041"/>
      <c r="AN394" s="1040"/>
      <c r="AO394" s="1041"/>
      <c r="AP394" s="1041"/>
      <c r="AQ394" s="1041"/>
      <c r="AR394" s="1040"/>
      <c r="AS394" s="1041"/>
      <c r="AT394" s="1041"/>
      <c r="AU394" s="1041"/>
      <c r="AV394" s="1040"/>
      <c r="AW394" s="1041"/>
      <c r="AX394" s="1041"/>
      <c r="AY394" s="1041"/>
      <c r="AZ394" s="1040"/>
      <c r="BA394" s="1041"/>
      <c r="BB394" s="1041"/>
      <c r="BC394" s="1041"/>
      <c r="BD394" s="1040"/>
      <c r="BE394" s="1041"/>
      <c r="BF394" s="1041"/>
      <c r="BG394" s="1041"/>
      <c r="BH394" s="1040"/>
      <c r="BI394" s="1041"/>
      <c r="BJ394" s="1041"/>
      <c r="BK394" s="1041"/>
      <c r="BL394" s="1040"/>
      <c r="BM394" s="1041"/>
      <c r="BN394" s="1041"/>
      <c r="BO394" s="1041"/>
      <c r="BP394" s="841"/>
    </row>
    <row r="395" spans="1:68" ht="20.100000000000001" customHeight="1">
      <c r="A395" s="786">
        <v>93</v>
      </c>
      <c r="B395" s="1870"/>
      <c r="C395" s="1872"/>
      <c r="D395" s="1893" t="s">
        <v>4449</v>
      </c>
      <c r="E395" s="877" t="str">
        <f ca="1">参考2_エネ使用量経年!E421</f>
        <v/>
      </c>
      <c r="F395" s="878"/>
      <c r="G395" s="891" t="s">
        <v>4685</v>
      </c>
      <c r="H395" s="953">
        <f t="shared" ref="H395" ca="1" si="123">IFERROR(OFFSET(貼付け_2024実績,$A395,6),"")</f>
        <v>0</v>
      </c>
      <c r="I395" s="953">
        <f t="shared" ref="I395" ca="1" si="124">IFERROR(OFFSET(貼付け_2025実績,$A395,6),"")</f>
        <v>0</v>
      </c>
      <c r="J395" s="953">
        <f t="shared" ref="J395" ca="1" si="125">IFERROR(OFFSET(貼付け_2026実績,$A395,6),"")</f>
        <v>0</v>
      </c>
      <c r="K395" s="953">
        <f t="shared" ref="K395" ca="1" si="126">IFERROR(OFFSET(貼付け_2027実績,$A395,6),"")</f>
        <v>0</v>
      </c>
      <c r="L395" s="954">
        <f ca="1">IFERROR($H395*(参考2_エネ使用量経年!L245+参考2_エネ使用量経年!L332)*1000,"")</f>
        <v>0</v>
      </c>
      <c r="M395" s="954">
        <f ca="1">IFERROR($I395*(参考2_エネ使用量経年!M245+参考2_エネ使用量経年!M332)*1000,"")</f>
        <v>0</v>
      </c>
      <c r="N395" s="954">
        <f ca="1">IFERROR($J395*(参考2_エネ使用量経年!N245+参考2_エネ使用量経年!N332)*1000,"")</f>
        <v>0</v>
      </c>
      <c r="O395" s="954">
        <f ca="1">IFERROR($K395*(参考2_エネ使用量経年!O245+参考2_エネ使用量経年!O332)*1000,"")</f>
        <v>0</v>
      </c>
      <c r="P395" s="954">
        <f ca="1">IFERROR($H395*(参考2_エネ使用量経年!P245+参考2_エネ使用量経年!P332)*1000,"")</f>
        <v>0</v>
      </c>
      <c r="Q395" s="954">
        <f ca="1">IFERROR($I395*(参考2_エネ使用量経年!Q245+参考2_エネ使用量経年!Q332)*1000,"")</f>
        <v>0</v>
      </c>
      <c r="R395" s="954">
        <f ca="1">IFERROR($J395*(参考2_エネ使用量経年!R245+参考2_エネ使用量経年!R332)*1000,"")</f>
        <v>0</v>
      </c>
      <c r="S395" s="954">
        <f ca="1">IFERROR($K395*(参考2_エネ使用量経年!S245+参考2_エネ使用量経年!S332)*1000,"")</f>
        <v>0</v>
      </c>
      <c r="T395" s="954">
        <f ca="1">IFERROR($H395*(参考2_エネ使用量経年!T245+参考2_エネ使用量経年!T332)*1000,"")</f>
        <v>0</v>
      </c>
      <c r="U395" s="954">
        <f ca="1">IFERROR($I395*(参考2_エネ使用量経年!U245+参考2_エネ使用量経年!U332)*1000,"")</f>
        <v>0</v>
      </c>
      <c r="V395" s="954">
        <f ca="1">IFERROR($J395*(参考2_エネ使用量経年!V245+参考2_エネ使用量経年!V332)*1000,"")</f>
        <v>0</v>
      </c>
      <c r="W395" s="954">
        <f ca="1">IFERROR($K395*(参考2_エネ使用量経年!W245+参考2_エネ使用量経年!W332)*1000,"")</f>
        <v>0</v>
      </c>
      <c r="X395" s="954">
        <f ca="1">IFERROR($H395*(参考2_エネ使用量経年!X245+参考2_エネ使用量経年!X332)*1000,"")</f>
        <v>0</v>
      </c>
      <c r="Y395" s="954">
        <f ca="1">IFERROR($I395*(参考2_エネ使用量経年!Y245+参考2_エネ使用量経年!Y332)*1000,"")</f>
        <v>0</v>
      </c>
      <c r="Z395" s="954">
        <f ca="1">IFERROR($J395*(参考2_エネ使用量経年!Z245+参考2_エネ使用量経年!Z332)*1000,"")</f>
        <v>0</v>
      </c>
      <c r="AA395" s="954">
        <f ca="1">IFERROR($K395*(参考2_エネ使用量経年!AA245+参考2_エネ使用量経年!AA332)*1000,"")</f>
        <v>0</v>
      </c>
      <c r="AB395" s="954" t="str">
        <f ca="1">IFERROR($H395*(参考2_エネ使用量経年!AB245+参考2_エネ使用量経年!AB332)*1000,"")</f>
        <v/>
      </c>
      <c r="AC395" s="954" t="str">
        <f ca="1">IFERROR($I395*(参考2_エネ使用量経年!AC245+参考2_エネ使用量経年!AC332)*1000,"")</f>
        <v/>
      </c>
      <c r="AD395" s="954" t="str">
        <f ca="1">IFERROR($J395*(参考2_エネ使用量経年!AD245+参考2_エネ使用量経年!AD332)*1000,"")</f>
        <v/>
      </c>
      <c r="AE395" s="954" t="str">
        <f ca="1">IFERROR($K395*(参考2_エネ使用量経年!AE245+参考2_エネ使用量経年!AE332)*1000,"")</f>
        <v/>
      </c>
      <c r="AF395" s="954" t="str">
        <f ca="1">IFERROR($H395*(参考2_エネ使用量経年!AF245+参考2_エネ使用量経年!AF332)*1000,"")</f>
        <v/>
      </c>
      <c r="AG395" s="954" t="str">
        <f ca="1">IFERROR($I395*(参考2_エネ使用量経年!AG245+参考2_エネ使用量経年!AG332)*1000,"")</f>
        <v/>
      </c>
      <c r="AH395" s="954" t="str">
        <f ca="1">IFERROR($J395*(参考2_エネ使用量経年!AH245+参考2_エネ使用量経年!AH332)*1000,"")</f>
        <v/>
      </c>
      <c r="AI395" s="954" t="str">
        <f ca="1">IFERROR($K395*(参考2_エネ使用量経年!AI245+参考2_エネ使用量経年!AI332)*1000,"")</f>
        <v/>
      </c>
      <c r="AJ395" s="954" t="str">
        <f ca="1">IFERROR($H395*(参考2_エネ使用量経年!AJ245+参考2_エネ使用量経年!AJ332)*1000,"")</f>
        <v/>
      </c>
      <c r="AK395" s="954" t="str">
        <f ca="1">IFERROR($I395*(参考2_エネ使用量経年!AK245+参考2_エネ使用量経年!AK332)*1000,"")</f>
        <v/>
      </c>
      <c r="AL395" s="954" t="str">
        <f ca="1">IFERROR($J395*(参考2_エネ使用量経年!AL245+参考2_エネ使用量経年!AL332)*1000,"")</f>
        <v/>
      </c>
      <c r="AM395" s="954" t="str">
        <f ca="1">IFERROR($K395*(参考2_エネ使用量経年!AM245+参考2_エネ使用量経年!AM332)*1000,"")</f>
        <v/>
      </c>
      <c r="AN395" s="954" t="str">
        <f ca="1">IFERROR($H395*(参考2_エネ使用量経年!AN245+参考2_エネ使用量経年!AN332)*1000,"")</f>
        <v/>
      </c>
      <c r="AO395" s="954" t="str">
        <f ca="1">IFERROR($I395*(参考2_エネ使用量経年!AO245+参考2_エネ使用量経年!AO332)*1000,"")</f>
        <v/>
      </c>
      <c r="AP395" s="954" t="str">
        <f ca="1">IFERROR($J395*(参考2_エネ使用量経年!AP245+参考2_エネ使用量経年!AP332)*1000,"")</f>
        <v/>
      </c>
      <c r="AQ395" s="954" t="str">
        <f ca="1">IFERROR($K395*(参考2_エネ使用量経年!AQ245+参考2_エネ使用量経年!AQ332)*1000,"")</f>
        <v/>
      </c>
      <c r="AR395" s="954" t="str">
        <f ca="1">IFERROR($H395*(参考2_エネ使用量経年!AR245+参考2_エネ使用量経年!AR332)*1000,"")</f>
        <v/>
      </c>
      <c r="AS395" s="954" t="str">
        <f ca="1">IFERROR($I395*(参考2_エネ使用量経年!AS245+参考2_エネ使用量経年!AS332)*1000,"")</f>
        <v/>
      </c>
      <c r="AT395" s="954" t="str">
        <f ca="1">IFERROR($J395*(参考2_エネ使用量経年!AT245+参考2_エネ使用量経年!AT332)*1000,"")</f>
        <v/>
      </c>
      <c r="AU395" s="954" t="str">
        <f ca="1">IFERROR($K395*(参考2_エネ使用量経年!AU245+参考2_エネ使用量経年!AU332)*1000,"")</f>
        <v/>
      </c>
      <c r="AV395" s="954" t="str">
        <f ca="1">IFERROR($H395*(参考2_エネ使用量経年!AV245+参考2_エネ使用量経年!AV332)*1000,"")</f>
        <v/>
      </c>
      <c r="AW395" s="954" t="str">
        <f ca="1">IFERROR($I395*(参考2_エネ使用量経年!AW245+参考2_エネ使用量経年!AW332)*1000,"")</f>
        <v/>
      </c>
      <c r="AX395" s="954" t="str">
        <f ca="1">IFERROR($J395*(参考2_エネ使用量経年!AX245+参考2_エネ使用量経年!AX332)*1000,"")</f>
        <v/>
      </c>
      <c r="AY395" s="954" t="str">
        <f ca="1">IFERROR($K395*(参考2_エネ使用量経年!AY245+参考2_エネ使用量経年!AY332)*1000,"")</f>
        <v/>
      </c>
      <c r="AZ395" s="954" t="str">
        <f ca="1">IFERROR($H395*(参考2_エネ使用量経年!AZ245+参考2_エネ使用量経年!AZ332)*1000,"")</f>
        <v/>
      </c>
      <c r="BA395" s="954" t="str">
        <f ca="1">IFERROR($I395*(参考2_エネ使用量経年!BA245+参考2_エネ使用量経年!BA332)*1000,"")</f>
        <v/>
      </c>
      <c r="BB395" s="954" t="str">
        <f ca="1">IFERROR($J395*(参考2_エネ使用量経年!BB245+参考2_エネ使用量経年!BB332)*1000,"")</f>
        <v/>
      </c>
      <c r="BC395" s="954" t="str">
        <f ca="1">IFERROR($K395*(参考2_エネ使用量経年!BC245+参考2_エネ使用量経年!BC332)*1000,"")</f>
        <v/>
      </c>
      <c r="BD395" s="954" t="str">
        <f ca="1">IFERROR($H395*(参考2_エネ使用量経年!BD245+参考2_エネ使用量経年!BD332)*1000,"")</f>
        <v/>
      </c>
      <c r="BE395" s="954" t="str">
        <f ca="1">IFERROR($I395*(参考2_エネ使用量経年!BE245+参考2_エネ使用量経年!BE332)*1000,"")</f>
        <v/>
      </c>
      <c r="BF395" s="954" t="str">
        <f ca="1">IFERROR($J395*(参考2_エネ使用量経年!BF245+参考2_エネ使用量経年!BF332)*1000,"")</f>
        <v/>
      </c>
      <c r="BG395" s="954" t="str">
        <f ca="1">IFERROR($K395*(参考2_エネ使用量経年!BG245+参考2_エネ使用量経年!BG332)*1000,"")</f>
        <v/>
      </c>
      <c r="BH395" s="954" t="str">
        <f ca="1">IFERROR($H395*(参考2_エネ使用量経年!BH245+参考2_エネ使用量経年!BH332)*1000,"")</f>
        <v/>
      </c>
      <c r="BI395" s="954" t="str">
        <f ca="1">IFERROR($I395*(参考2_エネ使用量経年!BI245+参考2_エネ使用量経年!BI332)*1000,"")</f>
        <v/>
      </c>
      <c r="BJ395" s="954" t="str">
        <f ca="1">IFERROR($J395*(参考2_エネ使用量経年!BJ245+参考2_エネ使用量経年!BJ332)*1000,"")</f>
        <v/>
      </c>
      <c r="BK395" s="954" t="str">
        <f ca="1">IFERROR($K395*(参考2_エネ使用量経年!BK245+参考2_エネ使用量経年!BK332)*1000,"")</f>
        <v/>
      </c>
      <c r="BL395" s="954" t="str">
        <f ca="1">IFERROR($H395*(参考2_エネ使用量経年!BL245+参考2_エネ使用量経年!BL332)*1000,"")</f>
        <v/>
      </c>
      <c r="BM395" s="954" t="str">
        <f ca="1">IFERROR($I395*(参考2_エネ使用量経年!BM245+参考2_エネ使用量経年!BM332)*1000,"")</f>
        <v/>
      </c>
      <c r="BN395" s="954" t="str">
        <f ca="1">IFERROR($J395*(参考2_エネ使用量経年!BN245+参考2_エネ使用量経年!BN332)*1000,"")</f>
        <v/>
      </c>
      <c r="BO395" s="954" t="str">
        <f ca="1">IFERROR($K395*(参考2_エネ使用量経年!BO245+参考2_エネ使用量経年!BO332)*1000,"")</f>
        <v/>
      </c>
      <c r="BP395" s="841"/>
    </row>
    <row r="396" spans="1:68" ht="20.100000000000001" customHeight="1">
      <c r="A396" s="952"/>
      <c r="B396" s="1870"/>
      <c r="C396" s="1872"/>
      <c r="D396" s="1893"/>
      <c r="E396" s="879"/>
      <c r="F396" s="880"/>
      <c r="G396" s="891"/>
      <c r="H396" s="1040"/>
      <c r="I396" s="1041"/>
      <c r="J396" s="1041"/>
      <c r="K396" s="1041"/>
      <c r="L396" s="1040"/>
      <c r="M396" s="1041"/>
      <c r="N396" s="1041"/>
      <c r="O396" s="1041"/>
      <c r="P396" s="1040"/>
      <c r="Q396" s="1041"/>
      <c r="R396" s="1041"/>
      <c r="S396" s="1041"/>
      <c r="T396" s="1040"/>
      <c r="U396" s="1041"/>
      <c r="V396" s="1041"/>
      <c r="W396" s="1041"/>
      <c r="X396" s="1040"/>
      <c r="Y396" s="1041"/>
      <c r="Z396" s="1041"/>
      <c r="AA396" s="1041"/>
      <c r="AB396" s="1040"/>
      <c r="AC396" s="1041"/>
      <c r="AD396" s="1041"/>
      <c r="AE396" s="1041"/>
      <c r="AF396" s="1040"/>
      <c r="AG396" s="1041"/>
      <c r="AH396" s="1041"/>
      <c r="AI396" s="1041"/>
      <c r="AJ396" s="1040"/>
      <c r="AK396" s="1041"/>
      <c r="AL396" s="1041"/>
      <c r="AM396" s="1041"/>
      <c r="AN396" s="1040"/>
      <c r="AO396" s="1041"/>
      <c r="AP396" s="1041"/>
      <c r="AQ396" s="1041"/>
      <c r="AR396" s="1040"/>
      <c r="AS396" s="1041"/>
      <c r="AT396" s="1041"/>
      <c r="AU396" s="1041"/>
      <c r="AV396" s="1040"/>
      <c r="AW396" s="1041"/>
      <c r="AX396" s="1041"/>
      <c r="AY396" s="1041"/>
      <c r="AZ396" s="1040"/>
      <c r="BA396" s="1041"/>
      <c r="BB396" s="1041"/>
      <c r="BC396" s="1041"/>
      <c r="BD396" s="1040"/>
      <c r="BE396" s="1041"/>
      <c r="BF396" s="1041"/>
      <c r="BG396" s="1041"/>
      <c r="BH396" s="1040"/>
      <c r="BI396" s="1041"/>
      <c r="BJ396" s="1041"/>
      <c r="BK396" s="1041"/>
      <c r="BL396" s="1040"/>
      <c r="BM396" s="1041"/>
      <c r="BN396" s="1041"/>
      <c r="BO396" s="1041"/>
      <c r="BP396" s="841"/>
    </row>
    <row r="397" spans="1:68" ht="20.100000000000001" customHeight="1">
      <c r="A397" s="786">
        <v>95</v>
      </c>
      <c r="B397" s="1870"/>
      <c r="C397" s="1872"/>
      <c r="D397" s="853" t="s">
        <v>4254</v>
      </c>
      <c r="E397" s="877" t="str">
        <f ca="1">参考2_エネ使用量経年!E423</f>
        <v/>
      </c>
      <c r="F397" s="825"/>
      <c r="G397" s="891" t="s">
        <v>4685</v>
      </c>
      <c r="H397" s="953">
        <f t="shared" ref="H397:H400" ca="1" si="127">IFERROR(OFFSET(貼付け_2024実績,$A397,6),"")</f>
        <v>0</v>
      </c>
      <c r="I397" s="953">
        <f t="shared" ref="I397:I400" ca="1" si="128">IFERROR(OFFSET(貼付け_2025実績,$A397,6),"")</f>
        <v>0</v>
      </c>
      <c r="J397" s="953">
        <f t="shared" ref="J397:J400" ca="1" si="129">IFERROR(OFFSET(貼付け_2026実績,$A397,6),"")</f>
        <v>0</v>
      </c>
      <c r="K397" s="953">
        <f t="shared" ref="K397:K400" ca="1" si="130">IFERROR(OFFSET(貼付け_2027実績,$A397,6),"")</f>
        <v>0</v>
      </c>
      <c r="L397" s="954">
        <f ca="1">IFERROR($H397*(参考2_エネ使用量経年!L247+参考2_エネ使用量経年!L334)*1000,"")</f>
        <v>0</v>
      </c>
      <c r="M397" s="954">
        <f ca="1">IFERROR($I397*(参考2_エネ使用量経年!M247+参考2_エネ使用量経年!M334)*1000,"")</f>
        <v>0</v>
      </c>
      <c r="N397" s="954">
        <f ca="1">IFERROR($J397*(参考2_エネ使用量経年!N247+参考2_エネ使用量経年!N334)*1000,"")</f>
        <v>0</v>
      </c>
      <c r="O397" s="954">
        <f ca="1">IFERROR($K397*(参考2_エネ使用量経年!O247+参考2_エネ使用量経年!O334)*1000,"")</f>
        <v>0</v>
      </c>
      <c r="P397" s="954">
        <f ca="1">IFERROR($H397*(参考2_エネ使用量経年!P247+参考2_エネ使用量経年!P334)*1000,"")</f>
        <v>0</v>
      </c>
      <c r="Q397" s="954">
        <f ca="1">IFERROR($I397*(参考2_エネ使用量経年!Q247+参考2_エネ使用量経年!Q334)*1000,"")</f>
        <v>0</v>
      </c>
      <c r="R397" s="954">
        <f ca="1">IFERROR($J397*(参考2_エネ使用量経年!R247+参考2_エネ使用量経年!R334)*1000,"")</f>
        <v>0</v>
      </c>
      <c r="S397" s="954">
        <f ca="1">IFERROR($K397*(参考2_エネ使用量経年!S247+参考2_エネ使用量経年!S334)*1000,"")</f>
        <v>0</v>
      </c>
      <c r="T397" s="954">
        <f ca="1">IFERROR($H397*(参考2_エネ使用量経年!T247+参考2_エネ使用量経年!T334)*1000,"")</f>
        <v>0</v>
      </c>
      <c r="U397" s="954">
        <f ca="1">IFERROR($I397*(参考2_エネ使用量経年!U247+参考2_エネ使用量経年!U334)*1000,"")</f>
        <v>0</v>
      </c>
      <c r="V397" s="954">
        <f ca="1">IFERROR($J397*(参考2_エネ使用量経年!V247+参考2_エネ使用量経年!V334)*1000,"")</f>
        <v>0</v>
      </c>
      <c r="W397" s="954">
        <f ca="1">IFERROR($K397*(参考2_エネ使用量経年!W247+参考2_エネ使用量経年!W334)*1000,"")</f>
        <v>0</v>
      </c>
      <c r="X397" s="954">
        <f ca="1">IFERROR($H397*(参考2_エネ使用量経年!X247+参考2_エネ使用量経年!X334)*1000,"")</f>
        <v>0</v>
      </c>
      <c r="Y397" s="954">
        <f ca="1">IFERROR($I397*(参考2_エネ使用量経年!Y247+参考2_エネ使用量経年!Y334)*1000,"")</f>
        <v>0</v>
      </c>
      <c r="Z397" s="954">
        <f ca="1">IFERROR($J397*(参考2_エネ使用量経年!Z247+参考2_エネ使用量経年!Z334)*1000,"")</f>
        <v>0</v>
      </c>
      <c r="AA397" s="954">
        <f ca="1">IFERROR($K397*(参考2_エネ使用量経年!AA247+参考2_エネ使用量経年!AA334)*1000,"")</f>
        <v>0</v>
      </c>
      <c r="AB397" s="954" t="str">
        <f ca="1">IFERROR($H397*(参考2_エネ使用量経年!AB247+参考2_エネ使用量経年!AB334)*1000,"")</f>
        <v/>
      </c>
      <c r="AC397" s="954" t="str">
        <f ca="1">IFERROR($I397*(参考2_エネ使用量経年!AC247+参考2_エネ使用量経年!AC334)*1000,"")</f>
        <v/>
      </c>
      <c r="AD397" s="954" t="str">
        <f ca="1">IFERROR($J397*(参考2_エネ使用量経年!AD247+参考2_エネ使用量経年!AD334)*1000,"")</f>
        <v/>
      </c>
      <c r="AE397" s="954" t="str">
        <f ca="1">IFERROR($K397*(参考2_エネ使用量経年!AE247+参考2_エネ使用量経年!AE334)*1000,"")</f>
        <v/>
      </c>
      <c r="AF397" s="954" t="str">
        <f ca="1">IFERROR($H397*(参考2_エネ使用量経年!AF247+参考2_エネ使用量経年!AF334)*1000,"")</f>
        <v/>
      </c>
      <c r="AG397" s="954" t="str">
        <f ca="1">IFERROR($I397*(参考2_エネ使用量経年!AG247+参考2_エネ使用量経年!AG334)*1000,"")</f>
        <v/>
      </c>
      <c r="AH397" s="954" t="str">
        <f ca="1">IFERROR($J397*(参考2_エネ使用量経年!AH247+参考2_エネ使用量経年!AH334)*1000,"")</f>
        <v/>
      </c>
      <c r="AI397" s="954" t="str">
        <f ca="1">IFERROR($K397*(参考2_エネ使用量経年!AI247+参考2_エネ使用量経年!AI334)*1000,"")</f>
        <v/>
      </c>
      <c r="AJ397" s="954" t="str">
        <f ca="1">IFERROR($H397*(参考2_エネ使用量経年!AJ247+参考2_エネ使用量経年!AJ334)*1000,"")</f>
        <v/>
      </c>
      <c r="AK397" s="954" t="str">
        <f ca="1">IFERROR($I397*(参考2_エネ使用量経年!AK247+参考2_エネ使用量経年!AK334)*1000,"")</f>
        <v/>
      </c>
      <c r="AL397" s="954" t="str">
        <f ca="1">IFERROR($J397*(参考2_エネ使用量経年!AL247+参考2_エネ使用量経年!AL334)*1000,"")</f>
        <v/>
      </c>
      <c r="AM397" s="954" t="str">
        <f ca="1">IFERROR($K397*(参考2_エネ使用量経年!AM247+参考2_エネ使用量経年!AM334)*1000,"")</f>
        <v/>
      </c>
      <c r="AN397" s="954" t="str">
        <f ca="1">IFERROR($H397*(参考2_エネ使用量経年!AN247+参考2_エネ使用量経年!AN334)*1000,"")</f>
        <v/>
      </c>
      <c r="AO397" s="954" t="str">
        <f ca="1">IFERROR($I397*(参考2_エネ使用量経年!AO247+参考2_エネ使用量経年!AO334)*1000,"")</f>
        <v/>
      </c>
      <c r="AP397" s="954" t="str">
        <f ca="1">IFERROR($J397*(参考2_エネ使用量経年!AP247+参考2_エネ使用量経年!AP334)*1000,"")</f>
        <v/>
      </c>
      <c r="AQ397" s="954" t="str">
        <f ca="1">IFERROR($K397*(参考2_エネ使用量経年!AQ247+参考2_エネ使用量経年!AQ334)*1000,"")</f>
        <v/>
      </c>
      <c r="AR397" s="954" t="str">
        <f ca="1">IFERROR($H397*(参考2_エネ使用量経年!AR247+参考2_エネ使用量経年!AR334)*1000,"")</f>
        <v/>
      </c>
      <c r="AS397" s="954" t="str">
        <f ca="1">IFERROR($I397*(参考2_エネ使用量経年!AS247+参考2_エネ使用量経年!AS334)*1000,"")</f>
        <v/>
      </c>
      <c r="AT397" s="954" t="str">
        <f ca="1">IFERROR($J397*(参考2_エネ使用量経年!AT247+参考2_エネ使用量経年!AT334)*1000,"")</f>
        <v/>
      </c>
      <c r="AU397" s="954" t="str">
        <f ca="1">IFERROR($K397*(参考2_エネ使用量経年!AU247+参考2_エネ使用量経年!AU334)*1000,"")</f>
        <v/>
      </c>
      <c r="AV397" s="954" t="str">
        <f ca="1">IFERROR($H397*(参考2_エネ使用量経年!AV247+参考2_エネ使用量経年!AV334)*1000,"")</f>
        <v/>
      </c>
      <c r="AW397" s="954" t="str">
        <f ca="1">IFERROR($I397*(参考2_エネ使用量経年!AW247+参考2_エネ使用量経年!AW334)*1000,"")</f>
        <v/>
      </c>
      <c r="AX397" s="954" t="str">
        <f ca="1">IFERROR($J397*(参考2_エネ使用量経年!AX247+参考2_エネ使用量経年!AX334)*1000,"")</f>
        <v/>
      </c>
      <c r="AY397" s="954" t="str">
        <f ca="1">IFERROR($K397*(参考2_エネ使用量経年!AY247+参考2_エネ使用量経年!AY334)*1000,"")</f>
        <v/>
      </c>
      <c r="AZ397" s="954" t="str">
        <f ca="1">IFERROR($H397*(参考2_エネ使用量経年!AZ247+参考2_エネ使用量経年!AZ334)*1000,"")</f>
        <v/>
      </c>
      <c r="BA397" s="954" t="str">
        <f ca="1">IFERROR($I397*(参考2_エネ使用量経年!BA247+参考2_エネ使用量経年!BA334)*1000,"")</f>
        <v/>
      </c>
      <c r="BB397" s="954" t="str">
        <f ca="1">IFERROR($J397*(参考2_エネ使用量経年!BB247+参考2_エネ使用量経年!BB334)*1000,"")</f>
        <v/>
      </c>
      <c r="BC397" s="954" t="str">
        <f ca="1">IFERROR($K397*(参考2_エネ使用量経年!BC247+参考2_エネ使用量経年!BC334)*1000,"")</f>
        <v/>
      </c>
      <c r="BD397" s="954" t="str">
        <f ca="1">IFERROR($H397*(参考2_エネ使用量経年!BD247+参考2_エネ使用量経年!BD334)*1000,"")</f>
        <v/>
      </c>
      <c r="BE397" s="954" t="str">
        <f ca="1">IFERROR($I397*(参考2_エネ使用量経年!BE247+参考2_エネ使用量経年!BE334)*1000,"")</f>
        <v/>
      </c>
      <c r="BF397" s="954" t="str">
        <f ca="1">IFERROR($J397*(参考2_エネ使用量経年!BF247+参考2_エネ使用量経年!BF334)*1000,"")</f>
        <v/>
      </c>
      <c r="BG397" s="954" t="str">
        <f ca="1">IFERROR($K397*(参考2_エネ使用量経年!BG247+参考2_エネ使用量経年!BG334)*1000,"")</f>
        <v/>
      </c>
      <c r="BH397" s="954" t="str">
        <f ca="1">IFERROR($H397*(参考2_エネ使用量経年!BH247+参考2_エネ使用量経年!BH334)*1000,"")</f>
        <v/>
      </c>
      <c r="BI397" s="954" t="str">
        <f ca="1">IFERROR($I397*(参考2_エネ使用量経年!BI247+参考2_エネ使用量経年!BI334)*1000,"")</f>
        <v/>
      </c>
      <c r="BJ397" s="954" t="str">
        <f ca="1">IFERROR($J397*(参考2_エネ使用量経年!BJ247+参考2_エネ使用量経年!BJ334)*1000,"")</f>
        <v/>
      </c>
      <c r="BK397" s="954" t="str">
        <f ca="1">IFERROR($K397*(参考2_エネ使用量経年!BK247+参考2_エネ使用量経年!BK334)*1000,"")</f>
        <v/>
      </c>
      <c r="BL397" s="954" t="str">
        <f ca="1">IFERROR($H397*(参考2_エネ使用量経年!BL247+参考2_エネ使用量経年!BL334)*1000,"")</f>
        <v/>
      </c>
      <c r="BM397" s="954" t="str">
        <f ca="1">IFERROR($I397*(参考2_エネ使用量経年!BM247+参考2_エネ使用量経年!BM334)*1000,"")</f>
        <v/>
      </c>
      <c r="BN397" s="954" t="str">
        <f ca="1">IFERROR($J397*(参考2_エネ使用量経年!BN247+参考2_エネ使用量経年!BN334)*1000,"")</f>
        <v/>
      </c>
      <c r="BO397" s="954" t="str">
        <f ca="1">IFERROR($K397*(参考2_エネ使用量経年!BO247+参考2_エネ使用量経年!BO334)*1000,"")</f>
        <v/>
      </c>
      <c r="BP397" s="841"/>
    </row>
    <row r="398" spans="1:68" ht="20.100000000000001" customHeight="1">
      <c r="A398" s="952">
        <v>96</v>
      </c>
      <c r="B398" s="1870"/>
      <c r="C398" s="1872"/>
      <c r="D398" s="853" t="s">
        <v>4255</v>
      </c>
      <c r="E398" s="877" t="str">
        <f ca="1">参考2_エネ使用量経年!E424</f>
        <v/>
      </c>
      <c r="F398" s="881"/>
      <c r="G398" s="891" t="s">
        <v>4685</v>
      </c>
      <c r="H398" s="953">
        <f t="shared" ca="1" si="127"/>
        <v>0</v>
      </c>
      <c r="I398" s="953">
        <f t="shared" ca="1" si="128"/>
        <v>0</v>
      </c>
      <c r="J398" s="953">
        <f t="shared" ca="1" si="129"/>
        <v>0</v>
      </c>
      <c r="K398" s="953">
        <f t="shared" ca="1" si="130"/>
        <v>0</v>
      </c>
      <c r="L398" s="954">
        <f ca="1">IFERROR($H398*(参考2_エネ使用量経年!L248+参考2_エネ使用量経年!L335)*1000,"")</f>
        <v>0</v>
      </c>
      <c r="M398" s="954">
        <f ca="1">IFERROR($I398*(参考2_エネ使用量経年!M248+参考2_エネ使用量経年!M335)*1000,"")</f>
        <v>0</v>
      </c>
      <c r="N398" s="954">
        <f ca="1">IFERROR($J398*(参考2_エネ使用量経年!N248+参考2_エネ使用量経年!N335)*1000,"")</f>
        <v>0</v>
      </c>
      <c r="O398" s="954">
        <f ca="1">IFERROR($K398*(参考2_エネ使用量経年!O248+参考2_エネ使用量経年!O335)*1000,"")</f>
        <v>0</v>
      </c>
      <c r="P398" s="954">
        <f ca="1">IFERROR($H398*(参考2_エネ使用量経年!P248+参考2_エネ使用量経年!P335)*1000,"")</f>
        <v>0</v>
      </c>
      <c r="Q398" s="954">
        <f ca="1">IFERROR($I398*(参考2_エネ使用量経年!Q248+参考2_エネ使用量経年!Q335)*1000,"")</f>
        <v>0</v>
      </c>
      <c r="R398" s="954">
        <f ca="1">IFERROR($J398*(参考2_エネ使用量経年!R248+参考2_エネ使用量経年!R335)*1000,"")</f>
        <v>0</v>
      </c>
      <c r="S398" s="954">
        <f ca="1">IFERROR($K398*(参考2_エネ使用量経年!S248+参考2_エネ使用量経年!S335)*1000,"")</f>
        <v>0</v>
      </c>
      <c r="T398" s="954">
        <f ca="1">IFERROR($H398*(参考2_エネ使用量経年!T248+参考2_エネ使用量経年!T335)*1000,"")</f>
        <v>0</v>
      </c>
      <c r="U398" s="954">
        <f ca="1">IFERROR($I398*(参考2_エネ使用量経年!U248+参考2_エネ使用量経年!U335)*1000,"")</f>
        <v>0</v>
      </c>
      <c r="V398" s="954">
        <f ca="1">IFERROR($J398*(参考2_エネ使用量経年!V248+参考2_エネ使用量経年!V335)*1000,"")</f>
        <v>0</v>
      </c>
      <c r="W398" s="954">
        <f ca="1">IFERROR($K398*(参考2_エネ使用量経年!W248+参考2_エネ使用量経年!W335)*1000,"")</f>
        <v>0</v>
      </c>
      <c r="X398" s="954">
        <f ca="1">IFERROR($H398*(参考2_エネ使用量経年!X248+参考2_エネ使用量経年!X335)*1000,"")</f>
        <v>0</v>
      </c>
      <c r="Y398" s="954">
        <f ca="1">IFERROR($I398*(参考2_エネ使用量経年!Y248+参考2_エネ使用量経年!Y335)*1000,"")</f>
        <v>0</v>
      </c>
      <c r="Z398" s="954">
        <f ca="1">IFERROR($J398*(参考2_エネ使用量経年!Z248+参考2_エネ使用量経年!Z335)*1000,"")</f>
        <v>0</v>
      </c>
      <c r="AA398" s="954">
        <f ca="1">IFERROR($K398*(参考2_エネ使用量経年!AA248+参考2_エネ使用量経年!AA335)*1000,"")</f>
        <v>0</v>
      </c>
      <c r="AB398" s="954" t="str">
        <f ca="1">IFERROR($H398*(参考2_エネ使用量経年!AB248+参考2_エネ使用量経年!AB335)*1000,"")</f>
        <v/>
      </c>
      <c r="AC398" s="954" t="str">
        <f ca="1">IFERROR($I398*(参考2_エネ使用量経年!AC248+参考2_エネ使用量経年!AC335)*1000,"")</f>
        <v/>
      </c>
      <c r="AD398" s="954" t="str">
        <f ca="1">IFERROR($J398*(参考2_エネ使用量経年!AD248+参考2_エネ使用量経年!AD335)*1000,"")</f>
        <v/>
      </c>
      <c r="AE398" s="954" t="str">
        <f ca="1">IFERROR($K398*(参考2_エネ使用量経年!AE248+参考2_エネ使用量経年!AE335)*1000,"")</f>
        <v/>
      </c>
      <c r="AF398" s="954" t="str">
        <f ca="1">IFERROR($H398*(参考2_エネ使用量経年!AF248+参考2_エネ使用量経年!AF335)*1000,"")</f>
        <v/>
      </c>
      <c r="AG398" s="954" t="str">
        <f ca="1">IFERROR($I398*(参考2_エネ使用量経年!AG248+参考2_エネ使用量経年!AG335)*1000,"")</f>
        <v/>
      </c>
      <c r="AH398" s="954" t="str">
        <f ca="1">IFERROR($J398*(参考2_エネ使用量経年!AH248+参考2_エネ使用量経年!AH335)*1000,"")</f>
        <v/>
      </c>
      <c r="AI398" s="954" t="str">
        <f ca="1">IFERROR($K398*(参考2_エネ使用量経年!AI248+参考2_エネ使用量経年!AI335)*1000,"")</f>
        <v/>
      </c>
      <c r="AJ398" s="954" t="str">
        <f ca="1">IFERROR($H398*(参考2_エネ使用量経年!AJ248+参考2_エネ使用量経年!AJ335)*1000,"")</f>
        <v/>
      </c>
      <c r="AK398" s="954" t="str">
        <f ca="1">IFERROR($I398*(参考2_エネ使用量経年!AK248+参考2_エネ使用量経年!AK335)*1000,"")</f>
        <v/>
      </c>
      <c r="AL398" s="954" t="str">
        <f ca="1">IFERROR($J398*(参考2_エネ使用量経年!AL248+参考2_エネ使用量経年!AL335)*1000,"")</f>
        <v/>
      </c>
      <c r="AM398" s="954" t="str">
        <f ca="1">IFERROR($K398*(参考2_エネ使用量経年!AM248+参考2_エネ使用量経年!AM335)*1000,"")</f>
        <v/>
      </c>
      <c r="AN398" s="954" t="str">
        <f ca="1">IFERROR($H398*(参考2_エネ使用量経年!AN248+参考2_エネ使用量経年!AN335)*1000,"")</f>
        <v/>
      </c>
      <c r="AO398" s="954" t="str">
        <f ca="1">IFERROR($I398*(参考2_エネ使用量経年!AO248+参考2_エネ使用量経年!AO335)*1000,"")</f>
        <v/>
      </c>
      <c r="AP398" s="954" t="str">
        <f ca="1">IFERROR($J398*(参考2_エネ使用量経年!AP248+参考2_エネ使用量経年!AP335)*1000,"")</f>
        <v/>
      </c>
      <c r="AQ398" s="954" t="str">
        <f ca="1">IFERROR($K398*(参考2_エネ使用量経年!AQ248+参考2_エネ使用量経年!AQ335)*1000,"")</f>
        <v/>
      </c>
      <c r="AR398" s="954" t="str">
        <f ca="1">IFERROR($H398*(参考2_エネ使用量経年!AR248+参考2_エネ使用量経年!AR335)*1000,"")</f>
        <v/>
      </c>
      <c r="AS398" s="954" t="str">
        <f ca="1">IFERROR($I398*(参考2_エネ使用量経年!AS248+参考2_エネ使用量経年!AS335)*1000,"")</f>
        <v/>
      </c>
      <c r="AT398" s="954" t="str">
        <f ca="1">IFERROR($J398*(参考2_エネ使用量経年!AT248+参考2_エネ使用量経年!AT335)*1000,"")</f>
        <v/>
      </c>
      <c r="AU398" s="954" t="str">
        <f ca="1">IFERROR($K398*(参考2_エネ使用量経年!AU248+参考2_エネ使用量経年!AU335)*1000,"")</f>
        <v/>
      </c>
      <c r="AV398" s="954" t="str">
        <f ca="1">IFERROR($H398*(参考2_エネ使用量経年!AV248+参考2_エネ使用量経年!AV335)*1000,"")</f>
        <v/>
      </c>
      <c r="AW398" s="954" t="str">
        <f ca="1">IFERROR($I398*(参考2_エネ使用量経年!AW248+参考2_エネ使用量経年!AW335)*1000,"")</f>
        <v/>
      </c>
      <c r="AX398" s="954" t="str">
        <f ca="1">IFERROR($J398*(参考2_エネ使用量経年!AX248+参考2_エネ使用量経年!AX335)*1000,"")</f>
        <v/>
      </c>
      <c r="AY398" s="954" t="str">
        <f ca="1">IFERROR($K398*(参考2_エネ使用量経年!AY248+参考2_エネ使用量経年!AY335)*1000,"")</f>
        <v/>
      </c>
      <c r="AZ398" s="954" t="str">
        <f ca="1">IFERROR($H398*(参考2_エネ使用量経年!AZ248+参考2_エネ使用量経年!AZ335)*1000,"")</f>
        <v/>
      </c>
      <c r="BA398" s="954" t="str">
        <f ca="1">IFERROR($I398*(参考2_エネ使用量経年!BA248+参考2_エネ使用量経年!BA335)*1000,"")</f>
        <v/>
      </c>
      <c r="BB398" s="954" t="str">
        <f ca="1">IFERROR($J398*(参考2_エネ使用量経年!BB248+参考2_エネ使用量経年!BB335)*1000,"")</f>
        <v/>
      </c>
      <c r="BC398" s="954" t="str">
        <f ca="1">IFERROR($K398*(参考2_エネ使用量経年!BC248+参考2_エネ使用量経年!BC335)*1000,"")</f>
        <v/>
      </c>
      <c r="BD398" s="954" t="str">
        <f ca="1">IFERROR($H398*(参考2_エネ使用量経年!BD248+参考2_エネ使用量経年!BD335)*1000,"")</f>
        <v/>
      </c>
      <c r="BE398" s="954" t="str">
        <f ca="1">IFERROR($I398*(参考2_エネ使用量経年!BE248+参考2_エネ使用量経年!BE335)*1000,"")</f>
        <v/>
      </c>
      <c r="BF398" s="954" t="str">
        <f ca="1">IFERROR($J398*(参考2_エネ使用量経年!BF248+参考2_エネ使用量経年!BF335)*1000,"")</f>
        <v/>
      </c>
      <c r="BG398" s="954" t="str">
        <f ca="1">IFERROR($K398*(参考2_エネ使用量経年!BG248+参考2_エネ使用量経年!BG335)*1000,"")</f>
        <v/>
      </c>
      <c r="BH398" s="954" t="str">
        <f ca="1">IFERROR($H398*(参考2_エネ使用量経年!BH248+参考2_エネ使用量経年!BH335)*1000,"")</f>
        <v/>
      </c>
      <c r="BI398" s="954" t="str">
        <f ca="1">IFERROR($I398*(参考2_エネ使用量経年!BI248+参考2_エネ使用量経年!BI335)*1000,"")</f>
        <v/>
      </c>
      <c r="BJ398" s="954" t="str">
        <f ca="1">IFERROR($J398*(参考2_エネ使用量経年!BJ248+参考2_エネ使用量経年!BJ335)*1000,"")</f>
        <v/>
      </c>
      <c r="BK398" s="954" t="str">
        <f ca="1">IFERROR($K398*(参考2_エネ使用量経年!BK248+参考2_エネ使用量経年!BK335)*1000,"")</f>
        <v/>
      </c>
      <c r="BL398" s="954" t="str">
        <f ca="1">IFERROR($H398*(参考2_エネ使用量経年!BL248+参考2_エネ使用量経年!BL335)*1000,"")</f>
        <v/>
      </c>
      <c r="BM398" s="954" t="str">
        <f ca="1">IFERROR($I398*(参考2_エネ使用量経年!BM248+参考2_エネ使用量経年!BM335)*1000,"")</f>
        <v/>
      </c>
      <c r="BN398" s="954" t="str">
        <f ca="1">IFERROR($J398*(参考2_エネ使用量経年!BN248+参考2_エネ使用量経年!BN335)*1000,"")</f>
        <v/>
      </c>
      <c r="BO398" s="954" t="str">
        <f ca="1">IFERROR($K398*(参考2_エネ使用量経年!BO248+参考2_エネ使用量経年!BO335)*1000,"")</f>
        <v/>
      </c>
      <c r="BP398" s="841"/>
    </row>
    <row r="399" spans="1:68" ht="20.100000000000001" customHeight="1">
      <c r="A399" s="786">
        <v>97</v>
      </c>
      <c r="B399" s="1870"/>
      <c r="C399" s="1872"/>
      <c r="D399" s="853" t="s">
        <v>4256</v>
      </c>
      <c r="E399" s="877" t="str">
        <f ca="1">参考2_エネ使用量経年!E425</f>
        <v/>
      </c>
      <c r="F399" s="881"/>
      <c r="G399" s="891" t="s">
        <v>4685</v>
      </c>
      <c r="H399" s="953">
        <f t="shared" ca="1" si="127"/>
        <v>0</v>
      </c>
      <c r="I399" s="953">
        <f t="shared" ca="1" si="128"/>
        <v>0</v>
      </c>
      <c r="J399" s="953">
        <f t="shared" ca="1" si="129"/>
        <v>0</v>
      </c>
      <c r="K399" s="953">
        <f t="shared" ca="1" si="130"/>
        <v>0</v>
      </c>
      <c r="L399" s="954">
        <f ca="1">IFERROR($H399*(参考2_エネ使用量経年!L249+参考2_エネ使用量経年!L336)*1000,"")</f>
        <v>0</v>
      </c>
      <c r="M399" s="954">
        <f ca="1">IFERROR($I399*(参考2_エネ使用量経年!M249+参考2_エネ使用量経年!M336)*1000,"")</f>
        <v>0</v>
      </c>
      <c r="N399" s="954">
        <f ca="1">IFERROR($J399*(参考2_エネ使用量経年!N249+参考2_エネ使用量経年!N336)*1000,"")</f>
        <v>0</v>
      </c>
      <c r="O399" s="954">
        <f ca="1">IFERROR($K399*(参考2_エネ使用量経年!O249+参考2_エネ使用量経年!O336)*1000,"")</f>
        <v>0</v>
      </c>
      <c r="P399" s="954">
        <f ca="1">IFERROR($H399*(参考2_エネ使用量経年!P249+参考2_エネ使用量経年!P336)*1000,"")</f>
        <v>0</v>
      </c>
      <c r="Q399" s="954">
        <f ca="1">IFERROR($I399*(参考2_エネ使用量経年!Q249+参考2_エネ使用量経年!Q336)*1000,"")</f>
        <v>0</v>
      </c>
      <c r="R399" s="954">
        <f ca="1">IFERROR($J399*(参考2_エネ使用量経年!R249+参考2_エネ使用量経年!R336)*1000,"")</f>
        <v>0</v>
      </c>
      <c r="S399" s="954">
        <f ca="1">IFERROR($K399*(参考2_エネ使用量経年!S249+参考2_エネ使用量経年!S336)*1000,"")</f>
        <v>0</v>
      </c>
      <c r="T399" s="954">
        <f ca="1">IFERROR($H399*(参考2_エネ使用量経年!T249+参考2_エネ使用量経年!T336)*1000,"")</f>
        <v>0</v>
      </c>
      <c r="U399" s="954">
        <f ca="1">IFERROR($I399*(参考2_エネ使用量経年!U249+参考2_エネ使用量経年!U336)*1000,"")</f>
        <v>0</v>
      </c>
      <c r="V399" s="954">
        <f ca="1">IFERROR($J399*(参考2_エネ使用量経年!V249+参考2_エネ使用量経年!V336)*1000,"")</f>
        <v>0</v>
      </c>
      <c r="W399" s="954">
        <f ca="1">IFERROR($K399*(参考2_エネ使用量経年!W249+参考2_エネ使用量経年!W336)*1000,"")</f>
        <v>0</v>
      </c>
      <c r="X399" s="954">
        <f ca="1">IFERROR($H399*(参考2_エネ使用量経年!X249+参考2_エネ使用量経年!X336)*1000,"")</f>
        <v>0</v>
      </c>
      <c r="Y399" s="954">
        <f ca="1">IFERROR($I399*(参考2_エネ使用量経年!Y249+参考2_エネ使用量経年!Y336)*1000,"")</f>
        <v>0</v>
      </c>
      <c r="Z399" s="954">
        <f ca="1">IFERROR($J399*(参考2_エネ使用量経年!Z249+参考2_エネ使用量経年!Z336)*1000,"")</f>
        <v>0</v>
      </c>
      <c r="AA399" s="954">
        <f ca="1">IFERROR($K399*(参考2_エネ使用量経年!AA249+参考2_エネ使用量経年!AA336)*1000,"")</f>
        <v>0</v>
      </c>
      <c r="AB399" s="954" t="str">
        <f ca="1">IFERROR($H399*(参考2_エネ使用量経年!AB249+参考2_エネ使用量経年!AB336)*1000,"")</f>
        <v/>
      </c>
      <c r="AC399" s="954" t="str">
        <f ca="1">IFERROR($I399*(参考2_エネ使用量経年!AC249+参考2_エネ使用量経年!AC336)*1000,"")</f>
        <v/>
      </c>
      <c r="AD399" s="954" t="str">
        <f ca="1">IFERROR($J399*(参考2_エネ使用量経年!AD249+参考2_エネ使用量経年!AD336)*1000,"")</f>
        <v/>
      </c>
      <c r="AE399" s="954" t="str">
        <f ca="1">IFERROR($K399*(参考2_エネ使用量経年!AE249+参考2_エネ使用量経年!AE336)*1000,"")</f>
        <v/>
      </c>
      <c r="AF399" s="954" t="str">
        <f ca="1">IFERROR($H399*(参考2_エネ使用量経年!AF249+参考2_エネ使用量経年!AF336)*1000,"")</f>
        <v/>
      </c>
      <c r="AG399" s="954" t="str">
        <f ca="1">IFERROR($I399*(参考2_エネ使用量経年!AG249+参考2_エネ使用量経年!AG336)*1000,"")</f>
        <v/>
      </c>
      <c r="AH399" s="954" t="str">
        <f ca="1">IFERROR($J399*(参考2_エネ使用量経年!AH249+参考2_エネ使用量経年!AH336)*1000,"")</f>
        <v/>
      </c>
      <c r="AI399" s="954" t="str">
        <f ca="1">IFERROR($K399*(参考2_エネ使用量経年!AI249+参考2_エネ使用量経年!AI336)*1000,"")</f>
        <v/>
      </c>
      <c r="AJ399" s="954" t="str">
        <f ca="1">IFERROR($H399*(参考2_エネ使用量経年!AJ249+参考2_エネ使用量経年!AJ336)*1000,"")</f>
        <v/>
      </c>
      <c r="AK399" s="954" t="str">
        <f ca="1">IFERROR($I399*(参考2_エネ使用量経年!AK249+参考2_エネ使用量経年!AK336)*1000,"")</f>
        <v/>
      </c>
      <c r="AL399" s="954" t="str">
        <f ca="1">IFERROR($J399*(参考2_エネ使用量経年!AL249+参考2_エネ使用量経年!AL336)*1000,"")</f>
        <v/>
      </c>
      <c r="AM399" s="954" t="str">
        <f ca="1">IFERROR($K399*(参考2_エネ使用量経年!AM249+参考2_エネ使用量経年!AM336)*1000,"")</f>
        <v/>
      </c>
      <c r="AN399" s="954" t="str">
        <f ca="1">IFERROR($H399*(参考2_エネ使用量経年!AN249+参考2_エネ使用量経年!AN336)*1000,"")</f>
        <v/>
      </c>
      <c r="AO399" s="954" t="str">
        <f ca="1">IFERROR($I399*(参考2_エネ使用量経年!AO249+参考2_エネ使用量経年!AO336)*1000,"")</f>
        <v/>
      </c>
      <c r="AP399" s="954" t="str">
        <f ca="1">IFERROR($J399*(参考2_エネ使用量経年!AP249+参考2_エネ使用量経年!AP336)*1000,"")</f>
        <v/>
      </c>
      <c r="AQ399" s="954" t="str">
        <f ca="1">IFERROR($K399*(参考2_エネ使用量経年!AQ249+参考2_エネ使用量経年!AQ336)*1000,"")</f>
        <v/>
      </c>
      <c r="AR399" s="954" t="str">
        <f ca="1">IFERROR($H399*(参考2_エネ使用量経年!AR249+参考2_エネ使用量経年!AR336)*1000,"")</f>
        <v/>
      </c>
      <c r="AS399" s="954" t="str">
        <f ca="1">IFERROR($I399*(参考2_エネ使用量経年!AS249+参考2_エネ使用量経年!AS336)*1000,"")</f>
        <v/>
      </c>
      <c r="AT399" s="954" t="str">
        <f ca="1">IFERROR($J399*(参考2_エネ使用量経年!AT249+参考2_エネ使用量経年!AT336)*1000,"")</f>
        <v/>
      </c>
      <c r="AU399" s="954" t="str">
        <f ca="1">IFERROR($K399*(参考2_エネ使用量経年!AU249+参考2_エネ使用量経年!AU336)*1000,"")</f>
        <v/>
      </c>
      <c r="AV399" s="954" t="str">
        <f ca="1">IFERROR($H399*(参考2_エネ使用量経年!AV249+参考2_エネ使用量経年!AV336)*1000,"")</f>
        <v/>
      </c>
      <c r="AW399" s="954" t="str">
        <f ca="1">IFERROR($I399*(参考2_エネ使用量経年!AW249+参考2_エネ使用量経年!AW336)*1000,"")</f>
        <v/>
      </c>
      <c r="AX399" s="954" t="str">
        <f ca="1">IFERROR($J399*(参考2_エネ使用量経年!AX249+参考2_エネ使用量経年!AX336)*1000,"")</f>
        <v/>
      </c>
      <c r="AY399" s="954" t="str">
        <f ca="1">IFERROR($K399*(参考2_エネ使用量経年!AY249+参考2_エネ使用量経年!AY336)*1000,"")</f>
        <v/>
      </c>
      <c r="AZ399" s="954" t="str">
        <f ca="1">IFERROR($H399*(参考2_エネ使用量経年!AZ249+参考2_エネ使用量経年!AZ336)*1000,"")</f>
        <v/>
      </c>
      <c r="BA399" s="954" t="str">
        <f ca="1">IFERROR($I399*(参考2_エネ使用量経年!BA249+参考2_エネ使用量経年!BA336)*1000,"")</f>
        <v/>
      </c>
      <c r="BB399" s="954" t="str">
        <f ca="1">IFERROR($J399*(参考2_エネ使用量経年!BB249+参考2_エネ使用量経年!BB336)*1000,"")</f>
        <v/>
      </c>
      <c r="BC399" s="954" t="str">
        <f ca="1">IFERROR($K399*(参考2_エネ使用量経年!BC249+参考2_エネ使用量経年!BC336)*1000,"")</f>
        <v/>
      </c>
      <c r="BD399" s="954" t="str">
        <f ca="1">IFERROR($H399*(参考2_エネ使用量経年!BD249+参考2_エネ使用量経年!BD336)*1000,"")</f>
        <v/>
      </c>
      <c r="BE399" s="954" t="str">
        <f ca="1">IFERROR($I399*(参考2_エネ使用量経年!BE249+参考2_エネ使用量経年!BE336)*1000,"")</f>
        <v/>
      </c>
      <c r="BF399" s="954" t="str">
        <f ca="1">IFERROR($J399*(参考2_エネ使用量経年!BF249+参考2_エネ使用量経年!BF336)*1000,"")</f>
        <v/>
      </c>
      <c r="BG399" s="954" t="str">
        <f ca="1">IFERROR($K399*(参考2_エネ使用量経年!BG249+参考2_エネ使用量経年!BG336)*1000,"")</f>
        <v/>
      </c>
      <c r="BH399" s="954" t="str">
        <f ca="1">IFERROR($H399*(参考2_エネ使用量経年!BH249+参考2_エネ使用量経年!BH336)*1000,"")</f>
        <v/>
      </c>
      <c r="BI399" s="954" t="str">
        <f ca="1">IFERROR($I399*(参考2_エネ使用量経年!BI249+参考2_エネ使用量経年!BI336)*1000,"")</f>
        <v/>
      </c>
      <c r="BJ399" s="954" t="str">
        <f ca="1">IFERROR($J399*(参考2_エネ使用量経年!BJ249+参考2_エネ使用量経年!BJ336)*1000,"")</f>
        <v/>
      </c>
      <c r="BK399" s="954" t="str">
        <f ca="1">IFERROR($K399*(参考2_エネ使用量経年!BK249+参考2_エネ使用量経年!BK336)*1000,"")</f>
        <v/>
      </c>
      <c r="BL399" s="954" t="str">
        <f ca="1">IFERROR($H399*(参考2_エネ使用量経年!BL249+参考2_エネ使用量経年!BL336)*1000,"")</f>
        <v/>
      </c>
      <c r="BM399" s="954" t="str">
        <f ca="1">IFERROR($I399*(参考2_エネ使用量経年!BM249+参考2_エネ使用量経年!BM336)*1000,"")</f>
        <v/>
      </c>
      <c r="BN399" s="954" t="str">
        <f ca="1">IFERROR($J399*(参考2_エネ使用量経年!BN249+参考2_エネ使用量経年!BN336)*1000,"")</f>
        <v/>
      </c>
      <c r="BO399" s="954" t="str">
        <f ca="1">IFERROR($K399*(参考2_エネ使用量経年!BO249+参考2_エネ使用量経年!BO336)*1000,"")</f>
        <v/>
      </c>
      <c r="BP399" s="841"/>
    </row>
    <row r="400" spans="1:68" ht="20.100000000000001" customHeight="1">
      <c r="A400" s="952">
        <v>98</v>
      </c>
      <c r="B400" s="1870"/>
      <c r="C400" s="1872"/>
      <c r="D400" s="853" t="s">
        <v>4257</v>
      </c>
      <c r="E400" s="877" t="str">
        <f ca="1">参考2_エネ使用量経年!E426</f>
        <v/>
      </c>
      <c r="F400" s="881"/>
      <c r="G400" s="891" t="s">
        <v>4685</v>
      </c>
      <c r="H400" s="953">
        <f t="shared" ca="1" si="127"/>
        <v>0</v>
      </c>
      <c r="I400" s="953">
        <f t="shared" ca="1" si="128"/>
        <v>0</v>
      </c>
      <c r="J400" s="953">
        <f t="shared" ca="1" si="129"/>
        <v>0</v>
      </c>
      <c r="K400" s="953">
        <f t="shared" ca="1" si="130"/>
        <v>0</v>
      </c>
      <c r="L400" s="954">
        <f ca="1">IFERROR($H400*(参考2_エネ使用量経年!L250+参考2_エネ使用量経年!L337)*1000,"")</f>
        <v>0</v>
      </c>
      <c r="M400" s="954">
        <f ca="1">IFERROR($I400*(参考2_エネ使用量経年!M250+参考2_エネ使用量経年!M337)*1000,"")</f>
        <v>0</v>
      </c>
      <c r="N400" s="954">
        <f ca="1">IFERROR($J400*(参考2_エネ使用量経年!N250+参考2_エネ使用量経年!N337)*1000,"")</f>
        <v>0</v>
      </c>
      <c r="O400" s="954">
        <f ca="1">IFERROR($K400*(参考2_エネ使用量経年!O250+参考2_エネ使用量経年!O337)*1000,"")</f>
        <v>0</v>
      </c>
      <c r="P400" s="954">
        <f ca="1">IFERROR($H400*(参考2_エネ使用量経年!P250+参考2_エネ使用量経年!P337)*1000,"")</f>
        <v>0</v>
      </c>
      <c r="Q400" s="954">
        <f ca="1">IFERROR($I400*(参考2_エネ使用量経年!Q250+参考2_エネ使用量経年!Q337)*1000,"")</f>
        <v>0</v>
      </c>
      <c r="R400" s="954">
        <f ca="1">IFERROR($J400*(参考2_エネ使用量経年!R250+参考2_エネ使用量経年!R337)*1000,"")</f>
        <v>0</v>
      </c>
      <c r="S400" s="954">
        <f ca="1">IFERROR($K400*(参考2_エネ使用量経年!S250+参考2_エネ使用量経年!S337)*1000,"")</f>
        <v>0</v>
      </c>
      <c r="T400" s="954">
        <f ca="1">IFERROR($H400*(参考2_エネ使用量経年!T250+参考2_エネ使用量経年!T337)*1000,"")</f>
        <v>0</v>
      </c>
      <c r="U400" s="954">
        <f ca="1">IFERROR($I400*(参考2_エネ使用量経年!U250+参考2_エネ使用量経年!U337)*1000,"")</f>
        <v>0</v>
      </c>
      <c r="V400" s="954">
        <f ca="1">IFERROR($J400*(参考2_エネ使用量経年!V250+参考2_エネ使用量経年!V337)*1000,"")</f>
        <v>0</v>
      </c>
      <c r="W400" s="954">
        <f ca="1">IFERROR($K400*(参考2_エネ使用量経年!W250+参考2_エネ使用量経年!W337)*1000,"")</f>
        <v>0</v>
      </c>
      <c r="X400" s="954">
        <f ca="1">IFERROR($H400*(参考2_エネ使用量経年!X250+参考2_エネ使用量経年!X337)*1000,"")</f>
        <v>0</v>
      </c>
      <c r="Y400" s="954">
        <f ca="1">IFERROR($I400*(参考2_エネ使用量経年!Y250+参考2_エネ使用量経年!Y337)*1000,"")</f>
        <v>0</v>
      </c>
      <c r="Z400" s="954">
        <f ca="1">IFERROR($J400*(参考2_エネ使用量経年!Z250+参考2_エネ使用量経年!Z337)*1000,"")</f>
        <v>0</v>
      </c>
      <c r="AA400" s="954">
        <f ca="1">IFERROR($K400*(参考2_エネ使用量経年!AA250+参考2_エネ使用量経年!AA337)*1000,"")</f>
        <v>0</v>
      </c>
      <c r="AB400" s="954" t="str">
        <f ca="1">IFERROR($H400*(参考2_エネ使用量経年!AB250+参考2_エネ使用量経年!AB337)*1000,"")</f>
        <v/>
      </c>
      <c r="AC400" s="954" t="str">
        <f ca="1">IFERROR($I400*(参考2_エネ使用量経年!AC250+参考2_エネ使用量経年!AC337)*1000,"")</f>
        <v/>
      </c>
      <c r="AD400" s="954" t="str">
        <f ca="1">IFERROR($J400*(参考2_エネ使用量経年!AD250+参考2_エネ使用量経年!AD337)*1000,"")</f>
        <v/>
      </c>
      <c r="AE400" s="954" t="str">
        <f ca="1">IFERROR($K400*(参考2_エネ使用量経年!AE250+参考2_エネ使用量経年!AE337)*1000,"")</f>
        <v/>
      </c>
      <c r="AF400" s="954" t="str">
        <f ca="1">IFERROR($H400*(参考2_エネ使用量経年!AF250+参考2_エネ使用量経年!AF337)*1000,"")</f>
        <v/>
      </c>
      <c r="AG400" s="954" t="str">
        <f ca="1">IFERROR($I400*(参考2_エネ使用量経年!AG250+参考2_エネ使用量経年!AG337)*1000,"")</f>
        <v/>
      </c>
      <c r="AH400" s="954" t="str">
        <f ca="1">IFERROR($J400*(参考2_エネ使用量経年!AH250+参考2_エネ使用量経年!AH337)*1000,"")</f>
        <v/>
      </c>
      <c r="AI400" s="954" t="str">
        <f ca="1">IFERROR($K400*(参考2_エネ使用量経年!AI250+参考2_エネ使用量経年!AI337)*1000,"")</f>
        <v/>
      </c>
      <c r="AJ400" s="954" t="str">
        <f ca="1">IFERROR($H400*(参考2_エネ使用量経年!AJ250+参考2_エネ使用量経年!AJ337)*1000,"")</f>
        <v/>
      </c>
      <c r="AK400" s="954" t="str">
        <f ca="1">IFERROR($I400*(参考2_エネ使用量経年!AK250+参考2_エネ使用量経年!AK337)*1000,"")</f>
        <v/>
      </c>
      <c r="AL400" s="954" t="str">
        <f ca="1">IFERROR($J400*(参考2_エネ使用量経年!AL250+参考2_エネ使用量経年!AL337)*1000,"")</f>
        <v/>
      </c>
      <c r="AM400" s="954" t="str">
        <f ca="1">IFERROR($K400*(参考2_エネ使用量経年!AM250+参考2_エネ使用量経年!AM337)*1000,"")</f>
        <v/>
      </c>
      <c r="AN400" s="954" t="str">
        <f ca="1">IFERROR($H400*(参考2_エネ使用量経年!AN250+参考2_エネ使用量経年!AN337)*1000,"")</f>
        <v/>
      </c>
      <c r="AO400" s="954" t="str">
        <f ca="1">IFERROR($I400*(参考2_エネ使用量経年!AO250+参考2_エネ使用量経年!AO337)*1000,"")</f>
        <v/>
      </c>
      <c r="AP400" s="954" t="str">
        <f ca="1">IFERROR($J400*(参考2_エネ使用量経年!AP250+参考2_エネ使用量経年!AP337)*1000,"")</f>
        <v/>
      </c>
      <c r="AQ400" s="954" t="str">
        <f ca="1">IFERROR($K400*(参考2_エネ使用量経年!AQ250+参考2_エネ使用量経年!AQ337)*1000,"")</f>
        <v/>
      </c>
      <c r="AR400" s="954" t="str">
        <f ca="1">IFERROR($H400*(参考2_エネ使用量経年!AR250+参考2_エネ使用量経年!AR337)*1000,"")</f>
        <v/>
      </c>
      <c r="AS400" s="954" t="str">
        <f ca="1">IFERROR($I400*(参考2_エネ使用量経年!AS250+参考2_エネ使用量経年!AS337)*1000,"")</f>
        <v/>
      </c>
      <c r="AT400" s="954" t="str">
        <f ca="1">IFERROR($J400*(参考2_エネ使用量経年!AT250+参考2_エネ使用量経年!AT337)*1000,"")</f>
        <v/>
      </c>
      <c r="AU400" s="954" t="str">
        <f ca="1">IFERROR($K400*(参考2_エネ使用量経年!AU250+参考2_エネ使用量経年!AU337)*1000,"")</f>
        <v/>
      </c>
      <c r="AV400" s="954" t="str">
        <f ca="1">IFERROR($H400*(参考2_エネ使用量経年!AV250+参考2_エネ使用量経年!AV337)*1000,"")</f>
        <v/>
      </c>
      <c r="AW400" s="954" t="str">
        <f ca="1">IFERROR($I400*(参考2_エネ使用量経年!AW250+参考2_エネ使用量経年!AW337)*1000,"")</f>
        <v/>
      </c>
      <c r="AX400" s="954" t="str">
        <f ca="1">IFERROR($J400*(参考2_エネ使用量経年!AX250+参考2_エネ使用量経年!AX337)*1000,"")</f>
        <v/>
      </c>
      <c r="AY400" s="954" t="str">
        <f ca="1">IFERROR($K400*(参考2_エネ使用量経年!AY250+参考2_エネ使用量経年!AY337)*1000,"")</f>
        <v/>
      </c>
      <c r="AZ400" s="954" t="str">
        <f ca="1">IFERROR($H400*(参考2_エネ使用量経年!AZ250+参考2_エネ使用量経年!AZ337)*1000,"")</f>
        <v/>
      </c>
      <c r="BA400" s="954" t="str">
        <f ca="1">IFERROR($I400*(参考2_エネ使用量経年!BA250+参考2_エネ使用量経年!BA337)*1000,"")</f>
        <v/>
      </c>
      <c r="BB400" s="954" t="str">
        <f ca="1">IFERROR($J400*(参考2_エネ使用量経年!BB250+参考2_エネ使用量経年!BB337)*1000,"")</f>
        <v/>
      </c>
      <c r="BC400" s="954" t="str">
        <f ca="1">IFERROR($K400*(参考2_エネ使用量経年!BC250+参考2_エネ使用量経年!BC337)*1000,"")</f>
        <v/>
      </c>
      <c r="BD400" s="954" t="str">
        <f ca="1">IFERROR($H400*(参考2_エネ使用量経年!BD250+参考2_エネ使用量経年!BD337)*1000,"")</f>
        <v/>
      </c>
      <c r="BE400" s="954" t="str">
        <f ca="1">IFERROR($I400*(参考2_エネ使用量経年!BE250+参考2_エネ使用量経年!BE337)*1000,"")</f>
        <v/>
      </c>
      <c r="BF400" s="954" t="str">
        <f ca="1">IFERROR($J400*(参考2_エネ使用量経年!BF250+参考2_エネ使用量経年!BF337)*1000,"")</f>
        <v/>
      </c>
      <c r="BG400" s="954" t="str">
        <f ca="1">IFERROR($K400*(参考2_エネ使用量経年!BG250+参考2_エネ使用量経年!BG337)*1000,"")</f>
        <v/>
      </c>
      <c r="BH400" s="954" t="str">
        <f ca="1">IFERROR($H400*(参考2_エネ使用量経年!BH250+参考2_エネ使用量経年!BH337)*1000,"")</f>
        <v/>
      </c>
      <c r="BI400" s="954" t="str">
        <f ca="1">IFERROR($I400*(参考2_エネ使用量経年!BI250+参考2_エネ使用量経年!BI337)*1000,"")</f>
        <v/>
      </c>
      <c r="BJ400" s="954" t="str">
        <f ca="1">IFERROR($J400*(参考2_エネ使用量経年!BJ250+参考2_エネ使用量経年!BJ337)*1000,"")</f>
        <v/>
      </c>
      <c r="BK400" s="954" t="str">
        <f ca="1">IFERROR($K400*(参考2_エネ使用量経年!BK250+参考2_エネ使用量経年!BK337)*1000,"")</f>
        <v/>
      </c>
      <c r="BL400" s="954" t="str">
        <f ca="1">IFERROR($H400*(参考2_エネ使用量経年!BL250+参考2_エネ使用量経年!BL337)*1000,"")</f>
        <v/>
      </c>
      <c r="BM400" s="954" t="str">
        <f ca="1">IFERROR($I400*(参考2_エネ使用量経年!BM250+参考2_エネ使用量経年!BM337)*1000,"")</f>
        <v/>
      </c>
      <c r="BN400" s="954" t="str">
        <f ca="1">IFERROR($J400*(参考2_エネ使用量経年!BN250+参考2_エネ使用量経年!BN337)*1000,"")</f>
        <v/>
      </c>
      <c r="BO400" s="954" t="str">
        <f ca="1">IFERROR($K400*(参考2_エネ使用量経年!BO250+参考2_エネ使用量経年!BO337)*1000,"")</f>
        <v/>
      </c>
      <c r="BP400" s="841"/>
    </row>
    <row r="401" spans="1:68" ht="20.100000000000001" customHeight="1">
      <c r="B401" s="1042" t="s">
        <v>4565</v>
      </c>
      <c r="C401" s="1043"/>
      <c r="D401" s="824"/>
      <c r="E401" s="824"/>
      <c r="F401" s="849"/>
      <c r="G401" s="891" t="s">
        <v>4685</v>
      </c>
      <c r="H401" s="959"/>
      <c r="I401" s="959"/>
      <c r="J401" s="959"/>
      <c r="K401" s="959"/>
      <c r="L401" s="966">
        <f t="shared" ref="L401:O401" ca="1" si="131">SUM(L321:L400)</f>
        <v>0</v>
      </c>
      <c r="M401" s="966">
        <f t="shared" ca="1" si="131"/>
        <v>0</v>
      </c>
      <c r="N401" s="966">
        <f t="shared" ca="1" si="131"/>
        <v>0</v>
      </c>
      <c r="O401" s="966">
        <f t="shared" ca="1" si="131"/>
        <v>0</v>
      </c>
      <c r="P401" s="967">
        <f t="shared" ref="P401:BO401" ca="1" si="132">SUM(P321:P400)</f>
        <v>0</v>
      </c>
      <c r="Q401" s="967">
        <f t="shared" ca="1" si="132"/>
        <v>0</v>
      </c>
      <c r="R401" s="967">
        <f t="shared" ca="1" si="132"/>
        <v>0</v>
      </c>
      <c r="S401" s="967">
        <f t="shared" ca="1" si="132"/>
        <v>0</v>
      </c>
      <c r="T401" s="967">
        <f t="shared" ca="1" si="132"/>
        <v>0</v>
      </c>
      <c r="U401" s="967">
        <f t="shared" ca="1" si="132"/>
        <v>0</v>
      </c>
      <c r="V401" s="967">
        <f t="shared" ca="1" si="132"/>
        <v>0</v>
      </c>
      <c r="W401" s="967">
        <f t="shared" ca="1" si="132"/>
        <v>0</v>
      </c>
      <c r="X401" s="967">
        <f t="shared" ca="1" si="132"/>
        <v>0</v>
      </c>
      <c r="Y401" s="967">
        <f t="shared" ca="1" si="132"/>
        <v>0</v>
      </c>
      <c r="Z401" s="967">
        <f t="shared" ca="1" si="132"/>
        <v>0</v>
      </c>
      <c r="AA401" s="967">
        <f t="shared" ca="1" si="132"/>
        <v>0</v>
      </c>
      <c r="AB401" s="967">
        <f t="shared" ca="1" si="132"/>
        <v>0</v>
      </c>
      <c r="AC401" s="967">
        <f t="shared" ca="1" si="132"/>
        <v>0</v>
      </c>
      <c r="AD401" s="967">
        <f t="shared" ca="1" si="132"/>
        <v>0</v>
      </c>
      <c r="AE401" s="967">
        <f t="shared" ca="1" si="132"/>
        <v>0</v>
      </c>
      <c r="AF401" s="967">
        <f t="shared" ca="1" si="132"/>
        <v>0</v>
      </c>
      <c r="AG401" s="967">
        <f t="shared" ca="1" si="132"/>
        <v>0</v>
      </c>
      <c r="AH401" s="967">
        <f t="shared" ca="1" si="132"/>
        <v>0</v>
      </c>
      <c r="AI401" s="967">
        <f t="shared" ca="1" si="132"/>
        <v>0</v>
      </c>
      <c r="AJ401" s="967">
        <f t="shared" ca="1" si="132"/>
        <v>0</v>
      </c>
      <c r="AK401" s="967">
        <f t="shared" ca="1" si="132"/>
        <v>0</v>
      </c>
      <c r="AL401" s="967">
        <f t="shared" ca="1" si="132"/>
        <v>0</v>
      </c>
      <c r="AM401" s="967">
        <f t="shared" ca="1" si="132"/>
        <v>0</v>
      </c>
      <c r="AN401" s="967">
        <f t="shared" ca="1" si="132"/>
        <v>0</v>
      </c>
      <c r="AO401" s="967">
        <f t="shared" ca="1" si="132"/>
        <v>0</v>
      </c>
      <c r="AP401" s="967">
        <f t="shared" ca="1" si="132"/>
        <v>0</v>
      </c>
      <c r="AQ401" s="967">
        <f t="shared" ca="1" si="132"/>
        <v>0</v>
      </c>
      <c r="AR401" s="967">
        <f t="shared" ca="1" si="132"/>
        <v>0</v>
      </c>
      <c r="AS401" s="967">
        <f t="shared" ca="1" si="132"/>
        <v>0</v>
      </c>
      <c r="AT401" s="967">
        <f t="shared" ca="1" si="132"/>
        <v>0</v>
      </c>
      <c r="AU401" s="967">
        <f t="shared" ca="1" si="132"/>
        <v>0</v>
      </c>
      <c r="AV401" s="967">
        <f t="shared" ca="1" si="132"/>
        <v>0</v>
      </c>
      <c r="AW401" s="967">
        <f t="shared" ca="1" si="132"/>
        <v>0</v>
      </c>
      <c r="AX401" s="967">
        <f t="shared" ca="1" si="132"/>
        <v>0</v>
      </c>
      <c r="AY401" s="967">
        <f t="shared" ca="1" si="132"/>
        <v>0</v>
      </c>
      <c r="AZ401" s="967">
        <f t="shared" ca="1" si="132"/>
        <v>0</v>
      </c>
      <c r="BA401" s="967">
        <f t="shared" ca="1" si="132"/>
        <v>0</v>
      </c>
      <c r="BB401" s="967">
        <f t="shared" ca="1" si="132"/>
        <v>0</v>
      </c>
      <c r="BC401" s="967">
        <f t="shared" ca="1" si="132"/>
        <v>0</v>
      </c>
      <c r="BD401" s="967">
        <f t="shared" ca="1" si="132"/>
        <v>0</v>
      </c>
      <c r="BE401" s="967">
        <f t="shared" ca="1" si="132"/>
        <v>0</v>
      </c>
      <c r="BF401" s="967">
        <f t="shared" ca="1" si="132"/>
        <v>0</v>
      </c>
      <c r="BG401" s="967">
        <f t="shared" ca="1" si="132"/>
        <v>0</v>
      </c>
      <c r="BH401" s="967">
        <f t="shared" ca="1" si="132"/>
        <v>0</v>
      </c>
      <c r="BI401" s="967">
        <f t="shared" ca="1" si="132"/>
        <v>0</v>
      </c>
      <c r="BJ401" s="967">
        <f t="shared" ca="1" si="132"/>
        <v>0</v>
      </c>
      <c r="BK401" s="967">
        <f t="shared" ca="1" si="132"/>
        <v>0</v>
      </c>
      <c r="BL401" s="967">
        <f t="shared" ca="1" si="132"/>
        <v>0</v>
      </c>
      <c r="BM401" s="967">
        <f t="shared" ca="1" si="132"/>
        <v>0</v>
      </c>
      <c r="BN401" s="967">
        <f t="shared" ca="1" si="132"/>
        <v>0</v>
      </c>
      <c r="BO401" s="967">
        <f t="shared" ca="1" si="132"/>
        <v>0</v>
      </c>
      <c r="BP401" s="841"/>
    </row>
    <row r="402" spans="1:68" ht="20.100000000000001" customHeight="1">
      <c r="A402" s="786">
        <v>8</v>
      </c>
      <c r="B402" s="1938" t="s">
        <v>4566</v>
      </c>
      <c r="C402" s="1939"/>
      <c r="D402" s="824" t="s">
        <v>4405</v>
      </c>
      <c r="E402" s="829"/>
      <c r="F402" s="825"/>
      <c r="G402" s="891" t="s">
        <v>4685</v>
      </c>
      <c r="H402" s="1034"/>
      <c r="I402" s="1034"/>
      <c r="J402" s="1034"/>
      <c r="K402" s="1034"/>
      <c r="L402" s="954">
        <f ca="1">SUM(SUMIFS(OFFSET(A1_集計2024,$A402,10,1,200),OFFSET(貼付け_2024実績,4,9,1,200),{"横浜*","川崎*","県域*","エネルギー管理指定工場等*"}))+SUM(SUMIFS(OFFSET(A1_集計2024,$A402,11,1,200),OFFSET(貼付け_2024実績,4,9,1,200),{"横浜*","川崎*","県域*","エネルギー管理指定工場等*"}))</f>
        <v>0</v>
      </c>
      <c r="M402" s="954">
        <f ca="1">SUM(SUMIFS(OFFSET(A1_集計2025,$A402,10,1,200),OFFSET(貼付け_2025実績,4,9,1,200),{"横浜*","川崎*","県域*","エネルギー管理指定工場等*"}))+SUM(SUMIFS(OFFSET(A1_集計2025,$A402,11,1,200),OFFSET(貼付け_2025実績,4,9,1,200),{"横浜*","川崎*","県域*","エネルギー管理指定工場等*"}))</f>
        <v>0</v>
      </c>
      <c r="N402" s="954">
        <f ca="1">SUM(SUMIFS(OFFSET(A1_集計2026,$A402,10,1,200),OFFSET(貼付け_2026実績,4,9,1,200),{"横浜*","川崎*","県域*","エネルギー管理指定工場等*"}))+SUM(SUMIFS(OFFSET(A1_集計2026,$A402,11,1,200),OFFSET(貼付け_2026実績,4,9,1,200),{"横浜*","川崎*","県域*","エネルギー管理指定工場等*"}))</f>
        <v>0</v>
      </c>
      <c r="O402" s="954">
        <f ca="1">SUM(SUMIFS(OFFSET(A1_集計2027,$A402,10,1,200),OFFSET(貼付け_2027実績,4,9,1,200),{"横浜*","川崎*","県域*","エネルギー管理指定工場等*"}))+SUM(SUMIFS(OFFSET(A1_集計2027,$A402,11,1,200),OFFSET(貼付け_2027実績,4,9,1,200),{"横浜*","川崎*","県域*","エネルギー管理指定工場等*"}))</f>
        <v>0</v>
      </c>
      <c r="P402" s="954">
        <f ca="1">SUM(SUMIFS(OFFSET(A1_集計2024,$A402,10,1,200),OFFSET(貼付け_2024実績,4,9,1,200),{"横浜*","川崎*"}))+SUM(SUMIFS(OFFSET(A1_集計2024,$A402,11,1,200),OFFSET(貼付け_2024実績,4,9,1,200),{"横浜*","川崎*"}))</f>
        <v>0</v>
      </c>
      <c r="Q402" s="954">
        <f ca="1">SUM(SUMIFS(OFFSET(A1_集計2025,$A402,10,1,200),OFFSET(貼付け_2025実績,4,9,1,200),{"横浜*","川崎*"}))+SUM(SUMIFS(OFFSET(A1_集計2025,$A402,11,1,200),OFFSET(貼付け_2025実績,4,9,1,200),{"横浜*","川崎*"}))</f>
        <v>0</v>
      </c>
      <c r="R402" s="954">
        <f ca="1">SUM(SUMIFS(OFFSET(A1_集計2026,$A402,10,1,200),OFFSET(貼付け_2026実績,4,9,1,200),{"横浜*","川崎*"}))+SUM(SUMIFS(OFFSET(A1_集計2026,$A402,11,1,200),OFFSET(貼付け_2026実績,4,9,1,200),{"横浜*","川崎*"}))</f>
        <v>0</v>
      </c>
      <c r="S402" s="954">
        <f ca="1">SUM(SUMIFS(OFFSET(A1_集計2027,$A402,10,1,200),OFFSET(貼付け_2027実績,4,9,1,200),{"横浜*","川崎*"}))+SUM(SUMIFS(OFFSET(A1_集計2027,$A402,11,1,200),OFFSET(貼付け_2027実績,4,9,1,200),{"横浜*","川崎*"}))</f>
        <v>0</v>
      </c>
      <c r="T402" s="954">
        <f ca="1">SUM(SUMIFS(OFFSET(A1_集計2024,$A402,10,1,200),OFFSET(貼付け_2024実績,4,9,1,200),{"県域*","エネルギー管理指定工場等*"}))+SUM(SUMIFS(OFFSET(A1_集計2024,$A402,11,1,200),OFFSET(貼付け_2024実績,4,9,1,200),{"県域*","エネルギー管理指定工場等*"}))</f>
        <v>0</v>
      </c>
      <c r="U402" s="954">
        <f ca="1">SUM(SUMIFS(OFFSET(A1_集計2025,$A402,10,1,200),OFFSET(貼付け_2025実績,4,9,1,200),{"県域*","エネルギー管理指定工場等*"}))+SUM(SUMIFS(OFFSET(A1_集計2025,$A402,11,1,200),OFFSET(貼付け_2025実績,4,9,1,200),{"県域*","エネルギー管理指定工場等*"}))</f>
        <v>0</v>
      </c>
      <c r="V402" s="954">
        <f ca="1">SUM(SUMIFS(OFFSET(A1_集計2026,$A402,10,1,200),OFFSET(貼付け_2026実績,4,9,1,200),{"県域*","エネルギー管理指定工場等*"}))+SUM(SUMIFS(OFFSET(A1_集計2026,$A402,11,1,200),OFFSET(貼付け_2026実績,4,9,1,200),{"県域*","エネルギー管理指定工場等*"}))</f>
        <v>0</v>
      </c>
      <c r="W402" s="954">
        <f ca="1">SUM(SUMIFS(OFFSET(A1_集計2027,$A402,10,1,200),OFFSET(貼付け_2027実績,4,9,1,200),{"県域*","エネルギー管理指定工場等*"}))+SUM(SUMIFS(OFFSET(A1_集計2027,$A402,11,1,200),OFFSET(貼付け_2027実績,4,9,1,200),{"県域*","エネルギー管理指定工場等*"}))</f>
        <v>0</v>
      </c>
      <c r="X402" s="954">
        <f ca="1">SUMIFS(OFFSET(A1_集計2024,$A402,10,1,200),OFFSET(貼付け_2024実績,4,9,1,200),"県域*")+SUMIFS(OFFSET(A1_集計2024,$A402,11,1,200),OFFSET(貼付け_2024実績,4,9,1,200),"県域*")</f>
        <v>0</v>
      </c>
      <c r="Y402" s="954">
        <f ca="1">SUMIFS(OFFSET(A1_集計2025,$A402,10,1,200),OFFSET(貼付け_2025実績,4,9,1,200),"県域*")+SUMIFS(OFFSET(A1_集計2025,$A402,11,1,200),OFFSET(貼付け_2025実績,4,9,1,200),"県域*")</f>
        <v>0</v>
      </c>
      <c r="Z402" s="954">
        <f ca="1">SUMIFS(OFFSET(A1_集計2026,$A402,10,1,200),OFFSET(貼付け_2026実績,4,9,1,200),"県域*")+SUMIFS(OFFSET(A1_集計2026,$A402,11,1,200),OFFSET(貼付け_2026実績,4,9,1,200),"県域*")</f>
        <v>0</v>
      </c>
      <c r="AA402" s="954">
        <f ca="1">SUMIFS(OFFSET(A1_集計2027,$A402,10,1,200),OFFSET(貼付け_2027実績,4,9,1,200),"県域*")+SUMIFS(OFFSET(A1_集計2027,$A402,11,1,200),OFFSET(貼付け_2027実績,4,9,1,200),"県域*")</f>
        <v>0</v>
      </c>
      <c r="AB402" s="954" t="str">
        <f t="shared" ref="AB402:AK405" ca="1" si="133">IFERROR(SUM(OFFSET(A1_集計2024,$A402,AB$1+1,1,2)),"")</f>
        <v/>
      </c>
      <c r="AC402" s="954" t="str">
        <f t="shared" ca="1" si="133"/>
        <v/>
      </c>
      <c r="AD402" s="954" t="str">
        <f t="shared" ca="1" si="133"/>
        <v/>
      </c>
      <c r="AE402" s="954" t="str">
        <f t="shared" ca="1" si="133"/>
        <v/>
      </c>
      <c r="AF402" s="954" t="str">
        <f t="shared" ca="1" si="133"/>
        <v/>
      </c>
      <c r="AG402" s="954" t="str">
        <f t="shared" ca="1" si="133"/>
        <v/>
      </c>
      <c r="AH402" s="954" t="str">
        <f t="shared" ca="1" si="133"/>
        <v/>
      </c>
      <c r="AI402" s="954" t="str">
        <f t="shared" ca="1" si="133"/>
        <v/>
      </c>
      <c r="AJ402" s="954" t="str">
        <f t="shared" ca="1" si="133"/>
        <v/>
      </c>
      <c r="AK402" s="954" t="str">
        <f t="shared" ca="1" si="133"/>
        <v/>
      </c>
      <c r="AL402" s="954" t="str">
        <f t="shared" ref="AL402:AU405" ca="1" si="134">IFERROR(SUM(OFFSET(A1_集計2024,$A402,AL$1+1,1,2)),"")</f>
        <v/>
      </c>
      <c r="AM402" s="954" t="str">
        <f t="shared" ca="1" si="134"/>
        <v/>
      </c>
      <c r="AN402" s="954" t="str">
        <f t="shared" ca="1" si="134"/>
        <v/>
      </c>
      <c r="AO402" s="954" t="str">
        <f t="shared" ca="1" si="134"/>
        <v/>
      </c>
      <c r="AP402" s="954" t="str">
        <f t="shared" ca="1" si="134"/>
        <v/>
      </c>
      <c r="AQ402" s="954" t="str">
        <f t="shared" ca="1" si="134"/>
        <v/>
      </c>
      <c r="AR402" s="954" t="str">
        <f t="shared" ca="1" si="134"/>
        <v/>
      </c>
      <c r="AS402" s="954" t="str">
        <f t="shared" ca="1" si="134"/>
        <v/>
      </c>
      <c r="AT402" s="954" t="str">
        <f t="shared" ca="1" si="134"/>
        <v/>
      </c>
      <c r="AU402" s="954" t="str">
        <f t="shared" ca="1" si="134"/>
        <v/>
      </c>
      <c r="AV402" s="954" t="str">
        <f t="shared" ref="AV402:BE405" ca="1" si="135">IFERROR(SUM(OFFSET(A1_集計2024,$A402,AV$1+1,1,2)),"")</f>
        <v/>
      </c>
      <c r="AW402" s="954" t="str">
        <f t="shared" ca="1" si="135"/>
        <v/>
      </c>
      <c r="AX402" s="954" t="str">
        <f t="shared" ca="1" si="135"/>
        <v/>
      </c>
      <c r="AY402" s="954" t="str">
        <f t="shared" ca="1" si="135"/>
        <v/>
      </c>
      <c r="AZ402" s="954" t="str">
        <f t="shared" ca="1" si="135"/>
        <v/>
      </c>
      <c r="BA402" s="954" t="str">
        <f t="shared" ca="1" si="135"/>
        <v/>
      </c>
      <c r="BB402" s="954" t="str">
        <f t="shared" ca="1" si="135"/>
        <v/>
      </c>
      <c r="BC402" s="954" t="str">
        <f t="shared" ca="1" si="135"/>
        <v/>
      </c>
      <c r="BD402" s="954" t="str">
        <f t="shared" ca="1" si="135"/>
        <v/>
      </c>
      <c r="BE402" s="954" t="str">
        <f t="shared" ca="1" si="135"/>
        <v/>
      </c>
      <c r="BF402" s="954" t="str">
        <f t="shared" ref="BF402:BO405" ca="1" si="136">IFERROR(SUM(OFFSET(A1_集計2024,$A402,BF$1+1,1,2)),"")</f>
        <v/>
      </c>
      <c r="BG402" s="954" t="str">
        <f t="shared" ca="1" si="136"/>
        <v/>
      </c>
      <c r="BH402" s="954" t="str">
        <f t="shared" ca="1" si="136"/>
        <v/>
      </c>
      <c r="BI402" s="954" t="str">
        <f t="shared" ca="1" si="136"/>
        <v/>
      </c>
      <c r="BJ402" s="954" t="str">
        <f t="shared" ca="1" si="136"/>
        <v/>
      </c>
      <c r="BK402" s="954" t="str">
        <f t="shared" ca="1" si="136"/>
        <v/>
      </c>
      <c r="BL402" s="954" t="str">
        <f t="shared" ca="1" si="136"/>
        <v/>
      </c>
      <c r="BM402" s="954" t="str">
        <f t="shared" ca="1" si="136"/>
        <v/>
      </c>
      <c r="BN402" s="954" t="str">
        <f t="shared" ca="1" si="136"/>
        <v/>
      </c>
      <c r="BO402" s="954" t="str">
        <f t="shared" ca="1" si="136"/>
        <v/>
      </c>
      <c r="BP402" s="841"/>
    </row>
    <row r="403" spans="1:68" ht="20.100000000000001" customHeight="1">
      <c r="A403" s="952">
        <v>10</v>
      </c>
      <c r="B403" s="1940"/>
      <c r="C403" s="1941"/>
      <c r="D403" s="824" t="s">
        <v>4423</v>
      </c>
      <c r="E403" s="829"/>
      <c r="F403" s="849"/>
      <c r="G403" s="891" t="s">
        <v>4685</v>
      </c>
      <c r="H403" s="1034"/>
      <c r="I403" s="1034"/>
      <c r="J403" s="1034"/>
      <c r="K403" s="1034"/>
      <c r="L403" s="954">
        <f ca="1">SUM(SUMIFS(OFFSET(A1_集計2024,$A403,10,1,200),OFFSET(貼付け_2024実績,4,9,1,200),{"横浜*","川崎*","県域*","エネルギー管理指定工場等*"}))+SUM(SUMIFS(OFFSET(A1_集計2024,$A403,11,1,200),OFFSET(貼付け_2024実績,4,9,1,200),{"横浜*","川崎*","県域*","エネルギー管理指定工場等*"}))</f>
        <v>0</v>
      </c>
      <c r="M403" s="954">
        <f ca="1">SUM(SUMIFS(OFFSET(A1_集計2025,$A403,10,1,200),OFFSET(貼付け_2025実績,4,9,1,200),{"横浜*","川崎*","県域*","エネルギー管理指定工場等*"}))+SUM(SUMIFS(OFFSET(A1_集計2025,$A403,11,1,200),OFFSET(貼付け_2025実績,4,9,1,200),{"横浜*","川崎*","県域*","エネルギー管理指定工場等*"}))</f>
        <v>0</v>
      </c>
      <c r="N403" s="954">
        <f ca="1">SUM(SUMIFS(OFFSET(A1_集計2026,$A403,10,1,200),OFFSET(貼付け_2026実績,4,9,1,200),{"横浜*","川崎*","県域*","エネルギー管理指定工場等*"}))+SUM(SUMIFS(OFFSET(A1_集計2026,$A403,11,1,200),OFFSET(貼付け_2026実績,4,9,1,200),{"横浜*","川崎*","県域*","エネルギー管理指定工場等*"}))</f>
        <v>0</v>
      </c>
      <c r="O403" s="954">
        <f ca="1">SUM(SUMIFS(OFFSET(A1_集計2027,$A403,10,1,200),OFFSET(貼付け_2027実績,4,9,1,200),{"横浜*","川崎*","県域*","エネルギー管理指定工場等*"}))+SUM(SUMIFS(OFFSET(A1_集計2027,$A403,11,1,200),OFFSET(貼付け_2027実績,4,9,1,200),{"横浜*","川崎*","県域*","エネルギー管理指定工場等*"}))</f>
        <v>0</v>
      </c>
      <c r="P403" s="954">
        <f ca="1">SUM(SUMIFS(OFFSET(A1_集計2024,$A403,10,1,200),OFFSET(貼付け_2024実績,4,9,1,200),{"横浜*","川崎*"}))+SUM(SUMIFS(OFFSET(A1_集計2024,$A403,11,1,200),OFFSET(貼付け_2024実績,4,9,1,200),{"横浜*","川崎*"}))</f>
        <v>0</v>
      </c>
      <c r="Q403" s="954">
        <f ca="1">SUM(SUMIFS(OFFSET(A1_集計2025,$A403,10,1,200),OFFSET(貼付け_2025実績,4,9,1,200),{"横浜*","川崎*"}))+SUM(SUMIFS(OFFSET(A1_集計2025,$A403,11,1,200),OFFSET(貼付け_2025実績,4,9,1,200),{"横浜*","川崎*"}))</f>
        <v>0</v>
      </c>
      <c r="R403" s="954">
        <f ca="1">SUM(SUMIFS(OFFSET(A1_集計2026,$A403,10,1,200),OFFSET(貼付け_2026実績,4,9,1,200),{"横浜*","川崎*"}))+SUM(SUMIFS(OFFSET(A1_集計2026,$A403,11,1,200),OFFSET(貼付け_2026実績,4,9,1,200),{"横浜*","川崎*"}))</f>
        <v>0</v>
      </c>
      <c r="S403" s="954">
        <f ca="1">SUM(SUMIFS(OFFSET(A1_集計2027,$A403,10,1,200),OFFSET(貼付け_2027実績,4,9,1,200),{"横浜*","川崎*"}))+SUM(SUMIFS(OFFSET(A1_集計2027,$A403,11,1,200),OFFSET(貼付け_2027実績,4,9,1,200),{"横浜*","川崎*"}))</f>
        <v>0</v>
      </c>
      <c r="T403" s="954">
        <f ca="1">SUM(SUMIFS(OFFSET(A1_集計2024,$A403,10,1,200),OFFSET(貼付け_2024実績,4,9,1,200),{"県域*","エネルギー管理指定工場等*"}))+SUM(SUMIFS(OFFSET(A1_集計2024,$A403,11,1,200),OFFSET(貼付け_2024実績,4,9,1,200),{"県域*","エネルギー管理指定工場等*"}))</f>
        <v>0</v>
      </c>
      <c r="U403" s="954">
        <f ca="1">SUM(SUMIFS(OFFSET(A1_集計2025,$A403,10,1,200),OFFSET(貼付け_2025実績,4,9,1,200),{"県域*","エネルギー管理指定工場等*"}))+SUM(SUMIFS(OFFSET(A1_集計2025,$A403,11,1,200),OFFSET(貼付け_2025実績,4,9,1,200),{"県域*","エネルギー管理指定工場等*"}))</f>
        <v>0</v>
      </c>
      <c r="V403" s="954">
        <f ca="1">SUM(SUMIFS(OFFSET(A1_集計2026,$A403,10,1,200),OFFSET(貼付け_2026実績,4,9,1,200),{"県域*","エネルギー管理指定工場等*"}))+SUM(SUMIFS(OFFSET(A1_集計2026,$A403,11,1,200),OFFSET(貼付け_2026実績,4,9,1,200),{"県域*","エネルギー管理指定工場等*"}))</f>
        <v>0</v>
      </c>
      <c r="W403" s="954">
        <f ca="1">SUM(SUMIFS(OFFSET(A1_集計2027,$A403,10,1,200),OFFSET(貼付け_2027実績,4,9,1,200),{"県域*","エネルギー管理指定工場等*"}))+SUM(SUMIFS(OFFSET(A1_集計2027,$A403,11,1,200),OFFSET(貼付け_2027実績,4,9,1,200),{"県域*","エネルギー管理指定工場等*"}))</f>
        <v>0</v>
      </c>
      <c r="X403" s="954">
        <f ca="1">SUMIFS(OFFSET(A1_集計2024,$A403,10,1,200),OFFSET(貼付け_2024実績,4,9,1,200),"県域*")+SUMIFS(OFFSET(A1_集計2024,$A403,11,1,200),OFFSET(貼付け_2024実績,4,9,1,200),"県域*")</f>
        <v>0</v>
      </c>
      <c r="Y403" s="954">
        <f ca="1">SUMIFS(OFFSET(A1_集計2025,$A403,10,1,200),OFFSET(貼付け_2025実績,4,9,1,200),"県域*")+SUMIFS(OFFSET(A1_集計2025,$A403,11,1,200),OFFSET(貼付け_2025実績,4,9,1,200),"県域*")</f>
        <v>0</v>
      </c>
      <c r="Z403" s="954">
        <f ca="1">SUMIFS(OFFSET(A1_集計2026,$A403,10,1,200),OFFSET(貼付け_2026実績,4,9,1,200),"県域*")+SUMIFS(OFFSET(A1_集計2026,$A403,11,1,200),OFFSET(貼付け_2026実績,4,9,1,200),"県域*")</f>
        <v>0</v>
      </c>
      <c r="AA403" s="954">
        <f ca="1">SUMIFS(OFFSET(A1_集計2027,$A403,10,1,200),OFFSET(貼付け_2027実績,4,9,1,200),"県域*")+SUMIFS(OFFSET(A1_集計2027,$A403,11,1,200),OFFSET(貼付け_2027実績,4,9,1,200),"県域*")</f>
        <v>0</v>
      </c>
      <c r="AB403" s="954" t="str">
        <f t="shared" ca="1" si="133"/>
        <v/>
      </c>
      <c r="AC403" s="954" t="str">
        <f t="shared" ca="1" si="133"/>
        <v/>
      </c>
      <c r="AD403" s="954" t="str">
        <f t="shared" ca="1" si="133"/>
        <v/>
      </c>
      <c r="AE403" s="954" t="str">
        <f t="shared" ca="1" si="133"/>
        <v/>
      </c>
      <c r="AF403" s="954" t="str">
        <f t="shared" ca="1" si="133"/>
        <v/>
      </c>
      <c r="AG403" s="954" t="str">
        <f t="shared" ca="1" si="133"/>
        <v/>
      </c>
      <c r="AH403" s="954" t="str">
        <f t="shared" ca="1" si="133"/>
        <v/>
      </c>
      <c r="AI403" s="954" t="str">
        <f t="shared" ca="1" si="133"/>
        <v/>
      </c>
      <c r="AJ403" s="954" t="str">
        <f t="shared" ca="1" si="133"/>
        <v/>
      </c>
      <c r="AK403" s="954" t="str">
        <f t="shared" ca="1" si="133"/>
        <v/>
      </c>
      <c r="AL403" s="954" t="str">
        <f t="shared" ca="1" si="134"/>
        <v/>
      </c>
      <c r="AM403" s="954" t="str">
        <f t="shared" ca="1" si="134"/>
        <v/>
      </c>
      <c r="AN403" s="954" t="str">
        <f t="shared" ca="1" si="134"/>
        <v/>
      </c>
      <c r="AO403" s="954" t="str">
        <f t="shared" ca="1" si="134"/>
        <v/>
      </c>
      <c r="AP403" s="954" t="str">
        <f t="shared" ca="1" si="134"/>
        <v/>
      </c>
      <c r="AQ403" s="954" t="str">
        <f t="shared" ca="1" si="134"/>
        <v/>
      </c>
      <c r="AR403" s="954" t="str">
        <f t="shared" ca="1" si="134"/>
        <v/>
      </c>
      <c r="AS403" s="954" t="str">
        <f t="shared" ca="1" si="134"/>
        <v/>
      </c>
      <c r="AT403" s="954" t="str">
        <f t="shared" ca="1" si="134"/>
        <v/>
      </c>
      <c r="AU403" s="954" t="str">
        <f t="shared" ca="1" si="134"/>
        <v/>
      </c>
      <c r="AV403" s="954" t="str">
        <f t="shared" ca="1" si="135"/>
        <v/>
      </c>
      <c r="AW403" s="954" t="str">
        <f t="shared" ca="1" si="135"/>
        <v/>
      </c>
      <c r="AX403" s="954" t="str">
        <f t="shared" ca="1" si="135"/>
        <v/>
      </c>
      <c r="AY403" s="954" t="str">
        <f t="shared" ca="1" si="135"/>
        <v/>
      </c>
      <c r="AZ403" s="954" t="str">
        <f t="shared" ca="1" si="135"/>
        <v/>
      </c>
      <c r="BA403" s="954" t="str">
        <f t="shared" ca="1" si="135"/>
        <v/>
      </c>
      <c r="BB403" s="954" t="str">
        <f t="shared" ca="1" si="135"/>
        <v/>
      </c>
      <c r="BC403" s="954" t="str">
        <f t="shared" ca="1" si="135"/>
        <v/>
      </c>
      <c r="BD403" s="954" t="str">
        <f t="shared" ca="1" si="135"/>
        <v/>
      </c>
      <c r="BE403" s="954" t="str">
        <f t="shared" ca="1" si="135"/>
        <v/>
      </c>
      <c r="BF403" s="954" t="str">
        <f t="shared" ca="1" si="136"/>
        <v/>
      </c>
      <c r="BG403" s="954" t="str">
        <f t="shared" ca="1" si="136"/>
        <v/>
      </c>
      <c r="BH403" s="954" t="str">
        <f t="shared" ca="1" si="136"/>
        <v/>
      </c>
      <c r="BI403" s="954" t="str">
        <f t="shared" ca="1" si="136"/>
        <v/>
      </c>
      <c r="BJ403" s="954" t="str">
        <f t="shared" ca="1" si="136"/>
        <v/>
      </c>
      <c r="BK403" s="954" t="str">
        <f t="shared" ca="1" si="136"/>
        <v/>
      </c>
      <c r="BL403" s="954" t="str">
        <f t="shared" ca="1" si="136"/>
        <v/>
      </c>
      <c r="BM403" s="954" t="str">
        <f t="shared" ca="1" si="136"/>
        <v/>
      </c>
      <c r="BN403" s="954" t="str">
        <f t="shared" ca="1" si="136"/>
        <v/>
      </c>
      <c r="BO403" s="954" t="str">
        <f t="shared" ca="1" si="136"/>
        <v/>
      </c>
      <c r="BP403" s="841"/>
    </row>
    <row r="404" spans="1:68" ht="20.100000000000001" customHeight="1">
      <c r="A404" s="786">
        <v>12</v>
      </c>
      <c r="B404" s="1940"/>
      <c r="C404" s="1941"/>
      <c r="D404" s="824" t="s">
        <v>4424</v>
      </c>
      <c r="E404" s="829"/>
      <c r="F404" s="849"/>
      <c r="G404" s="891" t="s">
        <v>4685</v>
      </c>
      <c r="H404" s="1034"/>
      <c r="I404" s="1034"/>
      <c r="J404" s="1034"/>
      <c r="K404" s="1034"/>
      <c r="L404" s="954">
        <f ca="1">SUM(SUMIFS(OFFSET(A1_集計2024,$A404,10,1,200),OFFSET(貼付け_2024実績,4,9,1,200),{"横浜*","川崎*","県域*","エネルギー管理指定工場等*"}))+SUM(SUMIFS(OFFSET(A1_集計2024,$A404,11,1,200),OFFSET(貼付け_2024実績,4,9,1,200),{"横浜*","川崎*","県域*","エネルギー管理指定工場等*"}))</f>
        <v>0</v>
      </c>
      <c r="M404" s="954">
        <f ca="1">SUM(SUMIFS(OFFSET(A1_集計2025,$A404,10,1,200),OFFSET(貼付け_2025実績,4,9,1,200),{"横浜*","川崎*","県域*","エネルギー管理指定工場等*"}))+SUM(SUMIFS(OFFSET(A1_集計2025,$A404,11,1,200),OFFSET(貼付け_2025実績,4,9,1,200),{"横浜*","川崎*","県域*","エネルギー管理指定工場等*"}))</f>
        <v>0</v>
      </c>
      <c r="N404" s="954">
        <f ca="1">SUM(SUMIFS(OFFSET(A1_集計2026,$A404,10,1,200),OFFSET(貼付け_2026実績,4,9,1,200),{"横浜*","川崎*","県域*","エネルギー管理指定工場等*"}))+SUM(SUMIFS(OFFSET(A1_集計2026,$A404,11,1,200),OFFSET(貼付け_2026実績,4,9,1,200),{"横浜*","川崎*","県域*","エネルギー管理指定工場等*"}))</f>
        <v>0</v>
      </c>
      <c r="O404" s="954">
        <f ca="1">SUM(SUMIFS(OFFSET(A1_集計2027,$A404,10,1,200),OFFSET(貼付け_2027実績,4,9,1,200),{"横浜*","川崎*","県域*","エネルギー管理指定工場等*"}))+SUM(SUMIFS(OFFSET(A1_集計2027,$A404,11,1,200),OFFSET(貼付け_2027実績,4,9,1,200),{"横浜*","川崎*","県域*","エネルギー管理指定工場等*"}))</f>
        <v>0</v>
      </c>
      <c r="P404" s="954">
        <f ca="1">SUM(SUMIFS(OFFSET(A1_集計2024,$A404,10,1,200),OFFSET(貼付け_2024実績,4,9,1,200),{"横浜*","川崎*"}))+SUM(SUMIFS(OFFSET(A1_集計2024,$A404,11,1,200),OFFSET(貼付け_2024実績,4,9,1,200),{"横浜*","川崎*"}))</f>
        <v>0</v>
      </c>
      <c r="Q404" s="954">
        <f ca="1">SUM(SUMIFS(OFFSET(A1_集計2025,$A404,10,1,200),OFFSET(貼付け_2025実績,4,9,1,200),{"横浜*","川崎*"}))+SUM(SUMIFS(OFFSET(A1_集計2025,$A404,11,1,200),OFFSET(貼付け_2025実績,4,9,1,200),{"横浜*","川崎*"}))</f>
        <v>0</v>
      </c>
      <c r="R404" s="954">
        <f ca="1">SUM(SUMIFS(OFFSET(A1_集計2026,$A404,10,1,200),OFFSET(貼付け_2026実績,4,9,1,200),{"横浜*","川崎*"}))+SUM(SUMIFS(OFFSET(A1_集計2026,$A404,11,1,200),OFFSET(貼付け_2026実績,4,9,1,200),{"横浜*","川崎*"}))</f>
        <v>0</v>
      </c>
      <c r="S404" s="954">
        <f ca="1">SUM(SUMIFS(OFFSET(A1_集計2027,$A404,10,1,200),OFFSET(貼付け_2027実績,4,9,1,200),{"横浜*","川崎*"}))+SUM(SUMIFS(OFFSET(A1_集計2027,$A404,11,1,200),OFFSET(貼付け_2027実績,4,9,1,200),{"横浜*","川崎*"}))</f>
        <v>0</v>
      </c>
      <c r="T404" s="954">
        <f ca="1">SUM(SUMIFS(OFFSET(A1_集計2024,$A404,10,1,200),OFFSET(貼付け_2024実績,4,9,1,200),{"県域*","エネルギー管理指定工場等*"}))+SUM(SUMIFS(OFFSET(A1_集計2024,$A404,11,1,200),OFFSET(貼付け_2024実績,4,9,1,200),{"県域*","エネルギー管理指定工場等*"}))</f>
        <v>0</v>
      </c>
      <c r="U404" s="954">
        <f ca="1">SUM(SUMIFS(OFFSET(A1_集計2025,$A404,10,1,200),OFFSET(貼付け_2025実績,4,9,1,200),{"県域*","エネルギー管理指定工場等*"}))+SUM(SUMIFS(OFFSET(A1_集計2025,$A404,11,1,200),OFFSET(貼付け_2025実績,4,9,1,200),{"県域*","エネルギー管理指定工場等*"}))</f>
        <v>0</v>
      </c>
      <c r="V404" s="954">
        <f ca="1">SUM(SUMIFS(OFFSET(A1_集計2026,$A404,10,1,200),OFFSET(貼付け_2026実績,4,9,1,200),{"県域*","エネルギー管理指定工場等*"}))+SUM(SUMIFS(OFFSET(A1_集計2026,$A404,11,1,200),OFFSET(貼付け_2026実績,4,9,1,200),{"県域*","エネルギー管理指定工場等*"}))</f>
        <v>0</v>
      </c>
      <c r="W404" s="954">
        <f ca="1">SUM(SUMIFS(OFFSET(A1_集計2027,$A404,10,1,200),OFFSET(貼付け_2027実績,4,9,1,200),{"県域*","エネルギー管理指定工場等*"}))+SUM(SUMIFS(OFFSET(A1_集計2027,$A404,11,1,200),OFFSET(貼付け_2027実績,4,9,1,200),{"県域*","エネルギー管理指定工場等*"}))</f>
        <v>0</v>
      </c>
      <c r="X404" s="954">
        <f ca="1">SUMIFS(OFFSET(A1_集計2024,$A404,10,1,200),OFFSET(貼付け_2024実績,4,9,1,200),"県域*")+SUMIFS(OFFSET(A1_集計2024,$A404,11,1,200),OFFSET(貼付け_2024実績,4,9,1,200),"県域*")</f>
        <v>0</v>
      </c>
      <c r="Y404" s="954">
        <f ca="1">SUMIFS(OFFSET(A1_集計2025,$A404,10,1,200),OFFSET(貼付け_2025実績,4,9,1,200),"県域*")+SUMIFS(OFFSET(A1_集計2025,$A404,11,1,200),OFFSET(貼付け_2025実績,4,9,1,200),"県域*")</f>
        <v>0</v>
      </c>
      <c r="Z404" s="954">
        <f ca="1">SUMIFS(OFFSET(A1_集計2026,$A404,10,1,200),OFFSET(貼付け_2026実績,4,9,1,200),"県域*")+SUMIFS(OFFSET(A1_集計2026,$A404,11,1,200),OFFSET(貼付け_2026実績,4,9,1,200),"県域*")</f>
        <v>0</v>
      </c>
      <c r="AA404" s="954">
        <f ca="1">SUMIFS(OFFSET(A1_集計2027,$A404,10,1,200),OFFSET(貼付け_2027実績,4,9,1,200),"県域*")+SUMIFS(OFFSET(A1_集計2027,$A404,11,1,200),OFFSET(貼付け_2027実績,4,9,1,200),"県域*")</f>
        <v>0</v>
      </c>
      <c r="AB404" s="954" t="str">
        <f t="shared" ca="1" si="133"/>
        <v/>
      </c>
      <c r="AC404" s="954" t="str">
        <f t="shared" ca="1" si="133"/>
        <v/>
      </c>
      <c r="AD404" s="954" t="str">
        <f t="shared" ca="1" si="133"/>
        <v/>
      </c>
      <c r="AE404" s="954" t="str">
        <f t="shared" ca="1" si="133"/>
        <v/>
      </c>
      <c r="AF404" s="954" t="str">
        <f t="shared" ca="1" si="133"/>
        <v/>
      </c>
      <c r="AG404" s="954" t="str">
        <f t="shared" ca="1" si="133"/>
        <v/>
      </c>
      <c r="AH404" s="954" t="str">
        <f t="shared" ca="1" si="133"/>
        <v/>
      </c>
      <c r="AI404" s="954" t="str">
        <f t="shared" ca="1" si="133"/>
        <v/>
      </c>
      <c r="AJ404" s="954" t="str">
        <f t="shared" ca="1" si="133"/>
        <v/>
      </c>
      <c r="AK404" s="954" t="str">
        <f t="shared" ca="1" si="133"/>
        <v/>
      </c>
      <c r="AL404" s="954" t="str">
        <f t="shared" ca="1" si="134"/>
        <v/>
      </c>
      <c r="AM404" s="954" t="str">
        <f t="shared" ca="1" si="134"/>
        <v/>
      </c>
      <c r="AN404" s="954" t="str">
        <f t="shared" ca="1" si="134"/>
        <v/>
      </c>
      <c r="AO404" s="954" t="str">
        <f t="shared" ca="1" si="134"/>
        <v/>
      </c>
      <c r="AP404" s="954" t="str">
        <f t="shared" ca="1" si="134"/>
        <v/>
      </c>
      <c r="AQ404" s="954" t="str">
        <f t="shared" ca="1" si="134"/>
        <v/>
      </c>
      <c r="AR404" s="954" t="str">
        <f t="shared" ca="1" si="134"/>
        <v/>
      </c>
      <c r="AS404" s="954" t="str">
        <f t="shared" ca="1" si="134"/>
        <v/>
      </c>
      <c r="AT404" s="954" t="str">
        <f t="shared" ca="1" si="134"/>
        <v/>
      </c>
      <c r="AU404" s="954" t="str">
        <f t="shared" ca="1" si="134"/>
        <v/>
      </c>
      <c r="AV404" s="954" t="str">
        <f t="shared" ca="1" si="135"/>
        <v/>
      </c>
      <c r="AW404" s="954" t="str">
        <f t="shared" ca="1" si="135"/>
        <v/>
      </c>
      <c r="AX404" s="954" t="str">
        <f t="shared" ca="1" si="135"/>
        <v/>
      </c>
      <c r="AY404" s="954" t="str">
        <f t="shared" ca="1" si="135"/>
        <v/>
      </c>
      <c r="AZ404" s="954" t="str">
        <f t="shared" ca="1" si="135"/>
        <v/>
      </c>
      <c r="BA404" s="954" t="str">
        <f t="shared" ca="1" si="135"/>
        <v/>
      </c>
      <c r="BB404" s="954" t="str">
        <f t="shared" ca="1" si="135"/>
        <v/>
      </c>
      <c r="BC404" s="954" t="str">
        <f t="shared" ca="1" si="135"/>
        <v/>
      </c>
      <c r="BD404" s="954" t="str">
        <f t="shared" ca="1" si="135"/>
        <v/>
      </c>
      <c r="BE404" s="954" t="str">
        <f t="shared" ca="1" si="135"/>
        <v/>
      </c>
      <c r="BF404" s="954" t="str">
        <f t="shared" ca="1" si="136"/>
        <v/>
      </c>
      <c r="BG404" s="954" t="str">
        <f t="shared" ca="1" si="136"/>
        <v/>
      </c>
      <c r="BH404" s="954" t="str">
        <f t="shared" ca="1" si="136"/>
        <v/>
      </c>
      <c r="BI404" s="954" t="str">
        <f t="shared" ca="1" si="136"/>
        <v/>
      </c>
      <c r="BJ404" s="954" t="str">
        <f t="shared" ca="1" si="136"/>
        <v/>
      </c>
      <c r="BK404" s="954" t="str">
        <f t="shared" ca="1" si="136"/>
        <v/>
      </c>
      <c r="BL404" s="954" t="str">
        <f t="shared" ca="1" si="136"/>
        <v/>
      </c>
      <c r="BM404" s="954" t="str">
        <f t="shared" ca="1" si="136"/>
        <v/>
      </c>
      <c r="BN404" s="954" t="str">
        <f t="shared" ca="1" si="136"/>
        <v/>
      </c>
      <c r="BO404" s="954" t="str">
        <f t="shared" ca="1" si="136"/>
        <v/>
      </c>
      <c r="BP404" s="841"/>
    </row>
    <row r="405" spans="1:68" ht="20.100000000000001" customHeight="1">
      <c r="A405" s="952">
        <v>14</v>
      </c>
      <c r="B405" s="1942"/>
      <c r="C405" s="1943"/>
      <c r="D405" s="824" t="s">
        <v>4425</v>
      </c>
      <c r="E405" s="829"/>
      <c r="F405" s="849"/>
      <c r="G405" s="891" t="s">
        <v>4685</v>
      </c>
      <c r="H405" s="1034"/>
      <c r="I405" s="1034"/>
      <c r="J405" s="1034"/>
      <c r="K405" s="1034"/>
      <c r="L405" s="954">
        <f ca="1">SUM(SUMIFS(OFFSET(A1_集計2024,$A405,10,1,200),OFFSET(貼付け_2024実績,4,9,1,200),{"横浜*","川崎*","県域*","エネルギー管理指定工場等*"}))+SUM(SUMIFS(OFFSET(A1_集計2024,$A405,11,1,200),OFFSET(貼付け_2024実績,4,9,1,200),{"横浜*","川崎*","県域*","エネルギー管理指定工場等*"}))</f>
        <v>0</v>
      </c>
      <c r="M405" s="954">
        <f ca="1">SUM(SUMIFS(OFFSET(A1_集計2025,$A405,10,1,200),OFFSET(貼付け_2025実績,4,9,1,200),{"横浜*","川崎*","県域*","エネルギー管理指定工場等*"}))+SUM(SUMIFS(OFFSET(A1_集計2025,$A405,11,1,200),OFFSET(貼付け_2025実績,4,9,1,200),{"横浜*","川崎*","県域*","エネルギー管理指定工場等*"}))</f>
        <v>0</v>
      </c>
      <c r="N405" s="954">
        <f ca="1">SUM(SUMIFS(OFFSET(A1_集計2026,$A405,10,1,200),OFFSET(貼付け_2026実績,4,9,1,200),{"横浜*","川崎*","県域*","エネルギー管理指定工場等*"}))+SUM(SUMIFS(OFFSET(A1_集計2026,$A405,11,1,200),OFFSET(貼付け_2026実績,4,9,1,200),{"横浜*","川崎*","県域*","エネルギー管理指定工場等*"}))</f>
        <v>0</v>
      </c>
      <c r="O405" s="954">
        <f ca="1">SUM(SUMIFS(OFFSET(A1_集計2027,$A405,10,1,200),OFFSET(貼付け_2027実績,4,9,1,200),{"横浜*","川崎*","県域*","エネルギー管理指定工場等*"}))+SUM(SUMIFS(OFFSET(A1_集計2027,$A405,11,1,200),OFFSET(貼付け_2027実績,4,9,1,200),{"横浜*","川崎*","県域*","エネルギー管理指定工場等*"}))</f>
        <v>0</v>
      </c>
      <c r="P405" s="954">
        <f ca="1">SUM(SUMIFS(OFFSET(A1_集計2024,$A405,10,1,200),OFFSET(貼付け_2024実績,4,9,1,200),{"横浜*","川崎*"}))+SUM(SUMIFS(OFFSET(A1_集計2024,$A405,11,1,200),OFFSET(貼付け_2024実績,4,9,1,200),{"横浜*","川崎*"}))</f>
        <v>0</v>
      </c>
      <c r="Q405" s="954">
        <f ca="1">SUM(SUMIFS(OFFSET(A1_集計2025,$A405,10,1,200),OFFSET(貼付け_2025実績,4,9,1,200),{"横浜*","川崎*"}))+SUM(SUMIFS(OFFSET(A1_集計2025,$A405,11,1,200),OFFSET(貼付け_2025実績,4,9,1,200),{"横浜*","川崎*"}))</f>
        <v>0</v>
      </c>
      <c r="R405" s="954">
        <f ca="1">SUM(SUMIFS(OFFSET(A1_集計2026,$A405,10,1,200),OFFSET(貼付け_2026実績,4,9,1,200),{"横浜*","川崎*"}))+SUM(SUMIFS(OFFSET(A1_集計2026,$A405,11,1,200),OFFSET(貼付け_2026実績,4,9,1,200),{"横浜*","川崎*"}))</f>
        <v>0</v>
      </c>
      <c r="S405" s="954">
        <f ca="1">SUM(SUMIFS(OFFSET(A1_集計2027,$A405,10,1,200),OFFSET(貼付け_2027実績,4,9,1,200),{"横浜*","川崎*"}))+SUM(SUMIFS(OFFSET(A1_集計2027,$A405,11,1,200),OFFSET(貼付け_2027実績,4,9,1,200),{"横浜*","川崎*"}))</f>
        <v>0</v>
      </c>
      <c r="T405" s="954">
        <f ca="1">SUM(SUMIFS(OFFSET(A1_集計2024,$A405,10,1,200),OFFSET(貼付け_2024実績,4,9,1,200),{"県域*","エネルギー管理指定工場等*"}))+SUM(SUMIFS(OFFSET(A1_集計2024,$A405,11,1,200),OFFSET(貼付け_2024実績,4,9,1,200),{"県域*","エネルギー管理指定工場等*"}))</f>
        <v>0</v>
      </c>
      <c r="U405" s="954">
        <f ca="1">SUM(SUMIFS(OFFSET(A1_集計2025,$A405,10,1,200),OFFSET(貼付け_2025実績,4,9,1,200),{"県域*","エネルギー管理指定工場等*"}))+SUM(SUMIFS(OFFSET(A1_集計2025,$A405,11,1,200),OFFSET(貼付け_2025実績,4,9,1,200),{"県域*","エネルギー管理指定工場等*"}))</f>
        <v>0</v>
      </c>
      <c r="V405" s="954">
        <f ca="1">SUM(SUMIFS(OFFSET(A1_集計2026,$A405,10,1,200),OFFSET(貼付け_2026実績,4,9,1,200),{"県域*","エネルギー管理指定工場等*"}))+SUM(SUMIFS(OFFSET(A1_集計2026,$A405,11,1,200),OFFSET(貼付け_2026実績,4,9,1,200),{"県域*","エネルギー管理指定工場等*"}))</f>
        <v>0</v>
      </c>
      <c r="W405" s="954">
        <f ca="1">SUM(SUMIFS(OFFSET(A1_集計2027,$A405,10,1,200),OFFSET(貼付け_2027実績,4,9,1,200),{"県域*","エネルギー管理指定工場等*"}))+SUM(SUMIFS(OFFSET(A1_集計2027,$A405,11,1,200),OFFSET(貼付け_2027実績,4,9,1,200),{"県域*","エネルギー管理指定工場等*"}))</f>
        <v>0</v>
      </c>
      <c r="X405" s="954">
        <f ca="1">SUMIFS(OFFSET(A1_集計2024,$A405,10,1,200),OFFSET(貼付け_2024実績,4,9,1,200),"県域*")+SUMIFS(OFFSET(A1_集計2024,$A405,11,1,200),OFFSET(貼付け_2024実績,4,9,1,200),"県域*")</f>
        <v>0</v>
      </c>
      <c r="Y405" s="954">
        <f ca="1">SUMIFS(OFFSET(A1_集計2025,$A405,10,1,200),OFFSET(貼付け_2025実績,4,9,1,200),"県域*")+SUMIFS(OFFSET(A1_集計2025,$A405,11,1,200),OFFSET(貼付け_2025実績,4,9,1,200),"県域*")</f>
        <v>0</v>
      </c>
      <c r="Z405" s="954">
        <f ca="1">SUMIFS(OFFSET(A1_集計2026,$A405,10,1,200),OFFSET(貼付け_2026実績,4,9,1,200),"県域*")+SUMIFS(OFFSET(A1_集計2026,$A405,11,1,200),OFFSET(貼付け_2026実績,4,9,1,200),"県域*")</f>
        <v>0</v>
      </c>
      <c r="AA405" s="954">
        <f ca="1">SUMIFS(OFFSET(A1_集計2027,$A405,10,1,200),OFFSET(貼付け_2027実績,4,9,1,200),"県域*")+SUMIFS(OFFSET(A1_集計2027,$A405,11,1,200),OFFSET(貼付け_2027実績,4,9,1,200),"県域*")</f>
        <v>0</v>
      </c>
      <c r="AB405" s="954" t="str">
        <f t="shared" ca="1" si="133"/>
        <v/>
      </c>
      <c r="AC405" s="954" t="str">
        <f t="shared" ca="1" si="133"/>
        <v/>
      </c>
      <c r="AD405" s="954" t="str">
        <f t="shared" ca="1" si="133"/>
        <v/>
      </c>
      <c r="AE405" s="954" t="str">
        <f t="shared" ca="1" si="133"/>
        <v/>
      </c>
      <c r="AF405" s="954" t="str">
        <f t="shared" ca="1" si="133"/>
        <v/>
      </c>
      <c r="AG405" s="954" t="str">
        <f t="shared" ca="1" si="133"/>
        <v/>
      </c>
      <c r="AH405" s="954" t="str">
        <f t="shared" ca="1" si="133"/>
        <v/>
      </c>
      <c r="AI405" s="954" t="str">
        <f t="shared" ca="1" si="133"/>
        <v/>
      </c>
      <c r="AJ405" s="954" t="str">
        <f t="shared" ca="1" si="133"/>
        <v/>
      </c>
      <c r="AK405" s="954" t="str">
        <f t="shared" ca="1" si="133"/>
        <v/>
      </c>
      <c r="AL405" s="954" t="str">
        <f t="shared" ca="1" si="134"/>
        <v/>
      </c>
      <c r="AM405" s="954" t="str">
        <f t="shared" ca="1" si="134"/>
        <v/>
      </c>
      <c r="AN405" s="954" t="str">
        <f t="shared" ca="1" si="134"/>
        <v/>
      </c>
      <c r="AO405" s="954" t="str">
        <f t="shared" ca="1" si="134"/>
        <v/>
      </c>
      <c r="AP405" s="954" t="str">
        <f t="shared" ca="1" si="134"/>
        <v/>
      </c>
      <c r="AQ405" s="954" t="str">
        <f t="shared" ca="1" si="134"/>
        <v/>
      </c>
      <c r="AR405" s="954" t="str">
        <f t="shared" ca="1" si="134"/>
        <v/>
      </c>
      <c r="AS405" s="954" t="str">
        <f t="shared" ca="1" si="134"/>
        <v/>
      </c>
      <c r="AT405" s="954" t="str">
        <f t="shared" ca="1" si="134"/>
        <v/>
      </c>
      <c r="AU405" s="954" t="str">
        <f t="shared" ca="1" si="134"/>
        <v/>
      </c>
      <c r="AV405" s="954" t="str">
        <f t="shared" ca="1" si="135"/>
        <v/>
      </c>
      <c r="AW405" s="954" t="str">
        <f t="shared" ca="1" si="135"/>
        <v/>
      </c>
      <c r="AX405" s="954" t="str">
        <f t="shared" ca="1" si="135"/>
        <v/>
      </c>
      <c r="AY405" s="954" t="str">
        <f t="shared" ca="1" si="135"/>
        <v/>
      </c>
      <c r="AZ405" s="954" t="str">
        <f t="shared" ca="1" si="135"/>
        <v/>
      </c>
      <c r="BA405" s="954" t="str">
        <f t="shared" ca="1" si="135"/>
        <v/>
      </c>
      <c r="BB405" s="954" t="str">
        <f t="shared" ca="1" si="135"/>
        <v/>
      </c>
      <c r="BC405" s="954" t="str">
        <f t="shared" ca="1" si="135"/>
        <v/>
      </c>
      <c r="BD405" s="954" t="str">
        <f t="shared" ca="1" si="135"/>
        <v/>
      </c>
      <c r="BE405" s="954" t="str">
        <f t="shared" ca="1" si="135"/>
        <v/>
      </c>
      <c r="BF405" s="954" t="str">
        <f t="shared" ca="1" si="136"/>
        <v/>
      </c>
      <c r="BG405" s="954" t="str">
        <f t="shared" ca="1" si="136"/>
        <v/>
      </c>
      <c r="BH405" s="954" t="str">
        <f t="shared" ca="1" si="136"/>
        <v/>
      </c>
      <c r="BI405" s="954" t="str">
        <f t="shared" ca="1" si="136"/>
        <v/>
      </c>
      <c r="BJ405" s="954" t="str">
        <f t="shared" ca="1" si="136"/>
        <v/>
      </c>
      <c r="BK405" s="954" t="str">
        <f t="shared" ca="1" si="136"/>
        <v/>
      </c>
      <c r="BL405" s="954" t="str">
        <f t="shared" ca="1" si="136"/>
        <v/>
      </c>
      <c r="BM405" s="954" t="str">
        <f t="shared" ca="1" si="136"/>
        <v/>
      </c>
      <c r="BN405" s="954" t="str">
        <f t="shared" ca="1" si="136"/>
        <v/>
      </c>
      <c r="BO405" s="954" t="str">
        <f t="shared" ca="1" si="136"/>
        <v/>
      </c>
      <c r="BP405" s="841"/>
    </row>
    <row r="406" spans="1:68" ht="20.100000000000001" customHeight="1">
      <c r="B406" s="1042" t="s">
        <v>4567</v>
      </c>
      <c r="C406" s="1043"/>
      <c r="D406" s="824"/>
      <c r="E406" s="824"/>
      <c r="F406" s="849"/>
      <c r="G406" s="891" t="s">
        <v>4685</v>
      </c>
      <c r="H406" s="959"/>
      <c r="I406" s="959"/>
      <c r="J406" s="959"/>
      <c r="K406" s="959"/>
      <c r="L406" s="966">
        <f ca="1">SUM(L321:L347,L349:L369,L373:L400,L402:L405)</f>
        <v>0</v>
      </c>
      <c r="M406" s="966">
        <f t="shared" ref="M406:BO406" ca="1" si="137">SUM(M321:M347,M349:M369,M373:M400,M402:M405)</f>
        <v>0</v>
      </c>
      <c r="N406" s="966">
        <f t="shared" ca="1" si="137"/>
        <v>0</v>
      </c>
      <c r="O406" s="966">
        <f t="shared" ca="1" si="137"/>
        <v>0</v>
      </c>
      <c r="P406" s="967">
        <f t="shared" ca="1" si="137"/>
        <v>0</v>
      </c>
      <c r="Q406" s="967">
        <f t="shared" ca="1" si="137"/>
        <v>0</v>
      </c>
      <c r="R406" s="967">
        <f t="shared" ca="1" si="137"/>
        <v>0</v>
      </c>
      <c r="S406" s="967">
        <f t="shared" ca="1" si="137"/>
        <v>0</v>
      </c>
      <c r="T406" s="967">
        <f t="shared" ca="1" si="137"/>
        <v>0</v>
      </c>
      <c r="U406" s="967">
        <f t="shared" ca="1" si="137"/>
        <v>0</v>
      </c>
      <c r="V406" s="967">
        <f t="shared" ca="1" si="137"/>
        <v>0</v>
      </c>
      <c r="W406" s="967">
        <f t="shared" ca="1" si="137"/>
        <v>0</v>
      </c>
      <c r="X406" s="967">
        <f t="shared" ca="1" si="137"/>
        <v>0</v>
      </c>
      <c r="Y406" s="967">
        <f t="shared" ca="1" si="137"/>
        <v>0</v>
      </c>
      <c r="Z406" s="967">
        <f t="shared" ca="1" si="137"/>
        <v>0</v>
      </c>
      <c r="AA406" s="967">
        <f t="shared" ca="1" si="137"/>
        <v>0</v>
      </c>
      <c r="AB406" s="967">
        <f t="shared" ca="1" si="137"/>
        <v>0</v>
      </c>
      <c r="AC406" s="967">
        <f t="shared" ca="1" si="137"/>
        <v>0</v>
      </c>
      <c r="AD406" s="967">
        <f t="shared" ca="1" si="137"/>
        <v>0</v>
      </c>
      <c r="AE406" s="967">
        <f t="shared" ca="1" si="137"/>
        <v>0</v>
      </c>
      <c r="AF406" s="967">
        <f t="shared" ca="1" si="137"/>
        <v>0</v>
      </c>
      <c r="AG406" s="967">
        <f t="shared" ca="1" si="137"/>
        <v>0</v>
      </c>
      <c r="AH406" s="967">
        <f t="shared" ca="1" si="137"/>
        <v>0</v>
      </c>
      <c r="AI406" s="967">
        <f t="shared" ca="1" si="137"/>
        <v>0</v>
      </c>
      <c r="AJ406" s="967">
        <f t="shared" ca="1" si="137"/>
        <v>0</v>
      </c>
      <c r="AK406" s="967">
        <f t="shared" ca="1" si="137"/>
        <v>0</v>
      </c>
      <c r="AL406" s="967">
        <f t="shared" ca="1" si="137"/>
        <v>0</v>
      </c>
      <c r="AM406" s="967">
        <f t="shared" ca="1" si="137"/>
        <v>0</v>
      </c>
      <c r="AN406" s="967">
        <f t="shared" ca="1" si="137"/>
        <v>0</v>
      </c>
      <c r="AO406" s="967">
        <f t="shared" ca="1" si="137"/>
        <v>0</v>
      </c>
      <c r="AP406" s="967">
        <f t="shared" ca="1" si="137"/>
        <v>0</v>
      </c>
      <c r="AQ406" s="967">
        <f t="shared" ca="1" si="137"/>
        <v>0</v>
      </c>
      <c r="AR406" s="967">
        <f t="shared" ca="1" si="137"/>
        <v>0</v>
      </c>
      <c r="AS406" s="967">
        <f t="shared" ca="1" si="137"/>
        <v>0</v>
      </c>
      <c r="AT406" s="967">
        <f t="shared" ca="1" si="137"/>
        <v>0</v>
      </c>
      <c r="AU406" s="967">
        <f t="shared" ca="1" si="137"/>
        <v>0</v>
      </c>
      <c r="AV406" s="967">
        <f t="shared" ca="1" si="137"/>
        <v>0</v>
      </c>
      <c r="AW406" s="967">
        <f t="shared" ca="1" si="137"/>
        <v>0</v>
      </c>
      <c r="AX406" s="967">
        <f t="shared" ca="1" si="137"/>
        <v>0</v>
      </c>
      <c r="AY406" s="967">
        <f t="shared" ca="1" si="137"/>
        <v>0</v>
      </c>
      <c r="AZ406" s="967">
        <f t="shared" ca="1" si="137"/>
        <v>0</v>
      </c>
      <c r="BA406" s="967">
        <f t="shared" ca="1" si="137"/>
        <v>0</v>
      </c>
      <c r="BB406" s="967">
        <f t="shared" ca="1" si="137"/>
        <v>0</v>
      </c>
      <c r="BC406" s="967">
        <f t="shared" ca="1" si="137"/>
        <v>0</v>
      </c>
      <c r="BD406" s="967">
        <f t="shared" ca="1" si="137"/>
        <v>0</v>
      </c>
      <c r="BE406" s="967">
        <f t="shared" ca="1" si="137"/>
        <v>0</v>
      </c>
      <c r="BF406" s="967">
        <f t="shared" ca="1" si="137"/>
        <v>0</v>
      </c>
      <c r="BG406" s="967">
        <f t="shared" ca="1" si="137"/>
        <v>0</v>
      </c>
      <c r="BH406" s="967">
        <f t="shared" ca="1" si="137"/>
        <v>0</v>
      </c>
      <c r="BI406" s="967">
        <f t="shared" ca="1" si="137"/>
        <v>0</v>
      </c>
      <c r="BJ406" s="967">
        <f t="shared" ca="1" si="137"/>
        <v>0</v>
      </c>
      <c r="BK406" s="967">
        <f t="shared" ca="1" si="137"/>
        <v>0</v>
      </c>
      <c r="BL406" s="967">
        <f t="shared" ca="1" si="137"/>
        <v>0</v>
      </c>
      <c r="BM406" s="967">
        <f t="shared" ca="1" si="137"/>
        <v>0</v>
      </c>
      <c r="BN406" s="967">
        <f t="shared" ca="1" si="137"/>
        <v>0</v>
      </c>
      <c r="BO406" s="967">
        <f t="shared" ca="1" si="137"/>
        <v>0</v>
      </c>
      <c r="BP406" s="841"/>
    </row>
  </sheetData>
  <sheetProtection password="E7B8" sheet="1" formatCells="0" autoFilter="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bestFit="1" customWidth="1"/>
    <col min="5" max="5" width="12.88671875" style="180" customWidth="1"/>
    <col min="6"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4039</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c r="HN1" s="243"/>
      <c r="HO1" s="243"/>
      <c r="HP1" s="243"/>
      <c r="HQ1" s="243"/>
      <c r="HR1" s="243"/>
      <c r="HS1" s="243"/>
      <c r="HT1" s="243"/>
    </row>
    <row r="2" spans="1:242" ht="26.4">
      <c r="A2" s="245" t="s">
        <v>4041</v>
      </c>
      <c r="B2" s="246" t="s">
        <v>4042</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c r="HN2" s="243"/>
      <c r="HO2" s="243"/>
      <c r="HP2" s="243"/>
      <c r="HQ2" s="243"/>
      <c r="HR2" s="243"/>
      <c r="HS2" s="243"/>
      <c r="HT2" s="243"/>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c r="HN3" s="243"/>
      <c r="HO3" s="243"/>
      <c r="HP3" s="243"/>
      <c r="HQ3" s="243"/>
      <c r="HR3" s="243"/>
      <c r="HS3" s="243"/>
      <c r="HT3" s="243"/>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c r="HN4" s="243"/>
      <c r="HO4" s="243"/>
      <c r="HP4" s="243"/>
      <c r="HQ4" s="243"/>
      <c r="HR4" s="243"/>
      <c r="HS4" s="243"/>
      <c r="HT4" s="243"/>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c r="HN5" s="243"/>
      <c r="HO5" s="243"/>
      <c r="HP5" s="243"/>
      <c r="HQ5" s="243"/>
      <c r="HR5" s="243"/>
      <c r="HS5" s="243"/>
      <c r="HT5" s="243"/>
    </row>
    <row r="6" spans="1:242" ht="26.4">
      <c r="A6" s="252" t="s">
        <v>4579</v>
      </c>
      <c r="B6" s="1058" t="s">
        <v>4687</v>
      </c>
      <c r="C6" s="1058"/>
      <c r="D6" s="1058"/>
      <c r="E6" s="1058"/>
      <c r="F6" s="1058"/>
      <c r="G6" s="1058"/>
      <c r="H6" s="1058"/>
      <c r="I6" s="1058"/>
      <c r="J6" s="1059"/>
      <c r="K6" s="253" t="s">
        <v>4049</v>
      </c>
      <c r="L6" s="254" t="str">
        <f>L14&amp;""</f>
        <v/>
      </c>
      <c r="M6" s="254"/>
      <c r="N6" s="255"/>
      <c r="O6" s="253" t="s">
        <v>4049</v>
      </c>
      <c r="P6" s="254" t="str">
        <f t="shared" ref="P6" si="0">P14&amp;""</f>
        <v/>
      </c>
      <c r="Q6" s="254"/>
      <c r="R6" s="255"/>
      <c r="S6" s="253" t="s">
        <v>4049</v>
      </c>
      <c r="T6" s="254" t="str">
        <f t="shared" ref="T6" si="1">T14&amp;""</f>
        <v/>
      </c>
      <c r="U6" s="254"/>
      <c r="V6" s="255"/>
      <c r="W6" s="253" t="s">
        <v>4049</v>
      </c>
      <c r="X6" s="254" t="str">
        <f t="shared" ref="X6" si="2">X14&amp;""</f>
        <v/>
      </c>
      <c r="Y6" s="254"/>
      <c r="Z6" s="255"/>
      <c r="AA6" s="253" t="s">
        <v>4049</v>
      </c>
      <c r="AB6" s="254" t="str">
        <f t="shared" ref="AB6" si="3">AB14&amp;""</f>
        <v/>
      </c>
      <c r="AC6" s="254"/>
      <c r="AD6" s="255"/>
      <c r="AE6" s="253" t="s">
        <v>4049</v>
      </c>
      <c r="AF6" s="254" t="str">
        <f t="shared" ref="AF6" si="4">AF14&amp;""</f>
        <v/>
      </c>
      <c r="AG6" s="254"/>
      <c r="AH6" s="255"/>
      <c r="AI6" s="253" t="s">
        <v>4049</v>
      </c>
      <c r="AJ6" s="254" t="str">
        <f t="shared" ref="AJ6" si="5">AJ14&amp;""</f>
        <v/>
      </c>
      <c r="AK6" s="254"/>
      <c r="AL6" s="255"/>
      <c r="AM6" s="253" t="s">
        <v>4049</v>
      </c>
      <c r="AN6" s="254" t="str">
        <f t="shared" ref="AN6" si="6">AN14&amp;""</f>
        <v/>
      </c>
      <c r="AO6" s="254"/>
      <c r="AP6" s="255"/>
      <c r="AQ6" s="253" t="s">
        <v>4049</v>
      </c>
      <c r="AR6" s="254" t="str">
        <f t="shared" ref="AR6" si="7">AR14&amp;""</f>
        <v/>
      </c>
      <c r="AS6" s="254"/>
      <c r="AT6" s="255"/>
      <c r="AU6" s="253" t="s">
        <v>4049</v>
      </c>
      <c r="AV6" s="254" t="str">
        <f t="shared" ref="AV6" si="8">AV14&amp;""</f>
        <v/>
      </c>
      <c r="AW6" s="254"/>
      <c r="AX6" s="255"/>
      <c r="AY6" s="253" t="s">
        <v>4049</v>
      </c>
      <c r="AZ6" s="254" t="str">
        <f t="shared" ref="AZ6" si="9">AZ14&amp;""</f>
        <v/>
      </c>
      <c r="BA6" s="254"/>
      <c r="BB6" s="255"/>
      <c r="BC6" s="253" t="s">
        <v>4049</v>
      </c>
      <c r="BD6" s="254" t="str">
        <f t="shared" ref="BD6" si="10">BD14&amp;""</f>
        <v/>
      </c>
      <c r="BE6" s="254"/>
      <c r="BF6" s="255"/>
      <c r="BG6" s="253" t="s">
        <v>4049</v>
      </c>
      <c r="BH6" s="254" t="str">
        <f t="shared" ref="BH6" si="11">BH14&amp;""</f>
        <v/>
      </c>
      <c r="BI6" s="254"/>
      <c r="BJ6" s="255"/>
      <c r="BK6" s="253" t="s">
        <v>4049</v>
      </c>
      <c r="BL6" s="254" t="str">
        <f t="shared" ref="BL6" si="12">BL14&amp;""</f>
        <v/>
      </c>
      <c r="BM6" s="254"/>
      <c r="BN6" s="255"/>
      <c r="BO6" s="253" t="s">
        <v>4049</v>
      </c>
      <c r="BP6" s="254" t="str">
        <f t="shared" ref="BP6" si="13">BP14&amp;""</f>
        <v/>
      </c>
      <c r="BQ6" s="254"/>
      <c r="BR6" s="255"/>
      <c r="BS6" s="253" t="s">
        <v>4049</v>
      </c>
      <c r="BT6" s="254" t="str">
        <f t="shared" ref="BT6" si="14">BT14&amp;""</f>
        <v/>
      </c>
      <c r="BU6" s="254"/>
      <c r="BV6" s="255"/>
      <c r="BW6" s="253" t="s">
        <v>4049</v>
      </c>
      <c r="BX6" s="254" t="str">
        <f t="shared" ref="BX6" si="15">BX14&amp;""</f>
        <v/>
      </c>
      <c r="BY6" s="254"/>
      <c r="BZ6" s="255"/>
      <c r="CA6" s="253" t="s">
        <v>4049</v>
      </c>
      <c r="CB6" s="254" t="str">
        <f t="shared" ref="CB6" si="16">CB14&amp;""</f>
        <v/>
      </c>
      <c r="CC6" s="254"/>
      <c r="CD6" s="255"/>
      <c r="CE6" s="253" t="s">
        <v>4049</v>
      </c>
      <c r="CF6" s="254" t="str">
        <f t="shared" ref="CF6" si="17">CF14&amp;""</f>
        <v/>
      </c>
      <c r="CG6" s="254"/>
      <c r="CH6" s="255"/>
      <c r="CI6" s="253" t="s">
        <v>4049</v>
      </c>
      <c r="CJ6" s="254" t="str">
        <f t="shared" ref="CJ6" si="18">CJ14&amp;""</f>
        <v/>
      </c>
      <c r="CK6" s="254"/>
      <c r="CL6" s="255"/>
      <c r="CM6" s="253" t="s">
        <v>4049</v>
      </c>
      <c r="CN6" s="254" t="str">
        <f t="shared" ref="CN6" si="19">CN14&amp;""</f>
        <v/>
      </c>
      <c r="CO6" s="254"/>
      <c r="CP6" s="255"/>
      <c r="CQ6" s="253" t="s">
        <v>4049</v>
      </c>
      <c r="CR6" s="254" t="str">
        <f t="shared" ref="CR6" si="20">CR14&amp;""</f>
        <v/>
      </c>
      <c r="CS6" s="254"/>
      <c r="CT6" s="255"/>
      <c r="CU6" s="253" t="s">
        <v>4049</v>
      </c>
      <c r="CV6" s="254" t="str">
        <f t="shared" ref="CV6" si="21">CV14&amp;""</f>
        <v/>
      </c>
      <c r="CW6" s="254"/>
      <c r="CX6" s="255"/>
      <c r="CY6" s="253" t="s">
        <v>4049</v>
      </c>
      <c r="CZ6" s="254" t="str">
        <f t="shared" ref="CZ6" si="22">CZ14&amp;""</f>
        <v/>
      </c>
      <c r="DA6" s="254"/>
      <c r="DB6" s="255"/>
      <c r="DC6" s="253" t="s">
        <v>4049</v>
      </c>
      <c r="DD6" s="254" t="str">
        <f t="shared" ref="DD6" si="23">DD14&amp;""</f>
        <v/>
      </c>
      <c r="DE6" s="254"/>
      <c r="DF6" s="255"/>
      <c r="DG6" s="253" t="s">
        <v>4049</v>
      </c>
      <c r="DH6" s="254" t="str">
        <f t="shared" ref="DH6" si="24">DH14&amp;""</f>
        <v/>
      </c>
      <c r="DI6" s="254"/>
      <c r="DJ6" s="255"/>
      <c r="DK6" s="253" t="s">
        <v>4049</v>
      </c>
      <c r="DL6" s="254" t="str">
        <f t="shared" ref="DL6" si="25">DL14&amp;""</f>
        <v/>
      </c>
      <c r="DM6" s="254"/>
      <c r="DN6" s="255"/>
      <c r="DO6" s="253" t="s">
        <v>4049</v>
      </c>
      <c r="DP6" s="254" t="str">
        <f t="shared" ref="DP6" si="26">DP14&amp;""</f>
        <v/>
      </c>
      <c r="DQ6" s="254"/>
      <c r="DR6" s="255"/>
      <c r="DS6" s="253" t="s">
        <v>4049</v>
      </c>
      <c r="DT6" s="254" t="str">
        <f t="shared" ref="DT6" si="27">DT14&amp;""</f>
        <v/>
      </c>
      <c r="DU6" s="254"/>
      <c r="DV6" s="255"/>
      <c r="DW6" s="253" t="s">
        <v>4049</v>
      </c>
      <c r="DX6" s="254" t="str">
        <f t="shared" ref="DX6" si="28">DX14&amp;""</f>
        <v/>
      </c>
      <c r="DY6" s="254"/>
      <c r="DZ6" s="255"/>
      <c r="EA6" s="253" t="s">
        <v>4049</v>
      </c>
      <c r="EB6" s="254" t="str">
        <f t="shared" ref="EB6" si="29">EB14&amp;""</f>
        <v/>
      </c>
      <c r="EC6" s="254"/>
      <c r="ED6" s="255"/>
      <c r="EE6" s="253" t="s">
        <v>4049</v>
      </c>
      <c r="EF6" s="254" t="str">
        <f t="shared" ref="EF6" si="30">EF14&amp;""</f>
        <v/>
      </c>
      <c r="EG6" s="254"/>
      <c r="EH6" s="255"/>
      <c r="EI6" s="253" t="s">
        <v>4049</v>
      </c>
      <c r="EJ6" s="254" t="str">
        <f t="shared" ref="EJ6" si="31">EJ14&amp;""</f>
        <v/>
      </c>
      <c r="EK6" s="254"/>
      <c r="EL6" s="255"/>
      <c r="EM6" s="253" t="s">
        <v>4049</v>
      </c>
      <c r="EN6" s="254" t="str">
        <f t="shared" ref="EN6" si="32">EN14&amp;""</f>
        <v/>
      </c>
      <c r="EO6" s="254"/>
      <c r="EP6" s="255"/>
      <c r="EQ6" s="253" t="s">
        <v>4049</v>
      </c>
      <c r="ER6" s="254" t="str">
        <f t="shared" ref="ER6" si="33">ER14&amp;""</f>
        <v/>
      </c>
      <c r="ES6" s="254"/>
      <c r="ET6" s="255"/>
      <c r="EU6" s="253" t="s">
        <v>4049</v>
      </c>
      <c r="EV6" s="254" t="str">
        <f t="shared" ref="EV6" si="34">EV14&amp;""</f>
        <v/>
      </c>
      <c r="EW6" s="254"/>
      <c r="EX6" s="255"/>
      <c r="EY6" s="253" t="s">
        <v>4049</v>
      </c>
      <c r="EZ6" s="254" t="str">
        <f t="shared" ref="EZ6" si="35">EZ14&amp;""</f>
        <v/>
      </c>
      <c r="FA6" s="254"/>
      <c r="FB6" s="255"/>
      <c r="FC6" s="253" t="s">
        <v>4049</v>
      </c>
      <c r="FD6" s="254" t="str">
        <f t="shared" ref="FD6" si="36">FD14&amp;""</f>
        <v/>
      </c>
      <c r="FE6" s="254"/>
      <c r="FF6" s="255"/>
      <c r="FG6" s="253" t="s">
        <v>4049</v>
      </c>
      <c r="FH6" s="254" t="str">
        <f t="shared" ref="FH6" si="37">FH14&amp;""</f>
        <v/>
      </c>
      <c r="FI6" s="254"/>
      <c r="FJ6" s="255"/>
      <c r="FK6" s="253" t="s">
        <v>4049</v>
      </c>
      <c r="FL6" s="254" t="str">
        <f t="shared" ref="FL6" si="38">FL14&amp;""</f>
        <v/>
      </c>
      <c r="FM6" s="254"/>
      <c r="FN6" s="255"/>
      <c r="FO6" s="253" t="s">
        <v>4049</v>
      </c>
      <c r="FP6" s="254" t="str">
        <f t="shared" ref="FP6" si="39">FP14&amp;""</f>
        <v/>
      </c>
      <c r="FQ6" s="254"/>
      <c r="FR6" s="255"/>
      <c r="FS6" s="253" t="s">
        <v>4049</v>
      </c>
      <c r="FT6" s="254" t="str">
        <f t="shared" ref="FT6" si="40">FT14&amp;""</f>
        <v/>
      </c>
      <c r="FU6" s="254"/>
      <c r="FV6" s="255"/>
      <c r="FW6" s="253" t="s">
        <v>4049</v>
      </c>
      <c r="FX6" s="254" t="str">
        <f t="shared" ref="FX6" si="41">FX14&amp;""</f>
        <v/>
      </c>
      <c r="FY6" s="254"/>
      <c r="FZ6" s="255"/>
      <c r="GA6" s="253" t="s">
        <v>4049</v>
      </c>
      <c r="GB6" s="254" t="str">
        <f t="shared" ref="GB6" si="42">GB14&amp;""</f>
        <v/>
      </c>
      <c r="GC6" s="254"/>
      <c r="GD6" s="255"/>
      <c r="GE6" s="253" t="s">
        <v>4049</v>
      </c>
      <c r="GF6" s="254" t="str">
        <f t="shared" ref="GF6" si="43">GF14&amp;""</f>
        <v/>
      </c>
      <c r="GG6" s="254"/>
      <c r="GH6" s="255"/>
      <c r="GI6" s="253" t="s">
        <v>4049</v>
      </c>
      <c r="GJ6" s="254" t="str">
        <f t="shared" ref="GJ6" si="44">GJ14&amp;""</f>
        <v/>
      </c>
      <c r="GK6" s="254"/>
      <c r="GL6" s="255"/>
      <c r="GM6" s="253" t="s">
        <v>4049</v>
      </c>
      <c r="GN6" s="254" t="str">
        <f t="shared" ref="GN6" si="45">GN14&amp;""</f>
        <v/>
      </c>
      <c r="GO6" s="254"/>
      <c r="GP6" s="255"/>
      <c r="GQ6" s="253" t="s">
        <v>4049</v>
      </c>
      <c r="GR6" s="254" t="str">
        <f t="shared" ref="GR6" si="46">GR14&amp;""</f>
        <v/>
      </c>
      <c r="GS6" s="254"/>
      <c r="GT6" s="255"/>
      <c r="GU6" s="253" t="s">
        <v>4049</v>
      </c>
      <c r="GV6" s="254" t="str">
        <f t="shared" ref="GV6" si="47">GV14&amp;""</f>
        <v/>
      </c>
      <c r="GW6" s="254"/>
      <c r="GX6" s="255"/>
      <c r="GY6" s="253" t="s">
        <v>4049</v>
      </c>
      <c r="GZ6" s="254" t="str">
        <f t="shared" ref="GZ6" si="48">GZ14&amp;""</f>
        <v/>
      </c>
      <c r="HA6" s="254"/>
      <c r="HB6" s="255"/>
      <c r="HC6" s="193"/>
      <c r="HD6" s="193"/>
      <c r="HE6" s="193"/>
      <c r="HF6" s="193"/>
      <c r="HG6" s="193"/>
      <c r="HH6" s="193"/>
      <c r="HI6" s="193"/>
      <c r="HJ6" s="193"/>
      <c r="HK6" s="193"/>
      <c r="HL6" s="243" t="s">
        <v>4050</v>
      </c>
      <c r="HM6" s="243"/>
      <c r="HN6" s="243"/>
      <c r="HO6" s="243"/>
      <c r="HP6" s="243"/>
      <c r="HQ6" s="243"/>
      <c r="HR6" s="243"/>
      <c r="HS6" s="243"/>
      <c r="HT6" s="243"/>
    </row>
    <row r="7" spans="1:242" ht="27" thickBot="1">
      <c r="A7" s="201" t="s">
        <v>4580</v>
      </c>
      <c r="B7" s="202"/>
      <c r="C7" s="203"/>
      <c r="D7" s="203"/>
      <c r="E7" s="204"/>
      <c r="F7" s="203"/>
      <c r="G7" s="203"/>
      <c r="H7" s="203"/>
      <c r="I7" s="203"/>
      <c r="J7" s="203"/>
      <c r="K7" s="203"/>
      <c r="L7" s="203"/>
      <c r="M7" s="203"/>
      <c r="N7" s="203"/>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4052</v>
      </c>
      <c r="C8" s="206"/>
      <c r="D8" s="206"/>
      <c r="E8" s="210"/>
      <c r="F8" s="206"/>
      <c r="G8" s="206"/>
      <c r="H8" s="210"/>
      <c r="I8" s="206"/>
      <c r="J8" s="206"/>
      <c r="K8" s="210"/>
      <c r="L8" s="206"/>
      <c r="M8" s="206"/>
      <c r="N8" s="210"/>
      <c r="O8" s="206"/>
      <c r="P8" s="206"/>
      <c r="Q8" s="210"/>
      <c r="R8" s="206"/>
      <c r="S8" s="206"/>
      <c r="T8" s="210"/>
      <c r="U8" s="206"/>
      <c r="V8" s="206"/>
      <c r="W8" s="210"/>
      <c r="X8" s="206"/>
      <c r="Y8" s="206"/>
      <c r="Z8" s="210"/>
      <c r="AA8" s="206"/>
      <c r="AB8" s="206"/>
      <c r="AC8" s="210"/>
      <c r="AD8" s="206"/>
      <c r="AE8" s="206"/>
      <c r="AF8" s="210"/>
      <c r="AG8" s="206"/>
      <c r="AH8" s="206"/>
      <c r="AI8" s="210"/>
      <c r="AJ8" s="206"/>
      <c r="AK8" s="206"/>
      <c r="AL8" s="210"/>
      <c r="AM8" s="206"/>
      <c r="AN8" s="206"/>
      <c r="AO8" s="210"/>
      <c r="AP8" s="206"/>
      <c r="AQ8" s="206"/>
      <c r="AR8" s="210"/>
      <c r="AS8" s="206"/>
      <c r="AT8" s="206"/>
      <c r="AU8" s="210"/>
      <c r="AV8" s="206"/>
      <c r="AW8" s="206"/>
      <c r="AX8" s="210"/>
      <c r="AY8" s="206"/>
      <c r="AZ8" s="206"/>
      <c r="BA8" s="210"/>
      <c r="BB8" s="206"/>
      <c r="BC8" s="206"/>
      <c r="BD8" s="210"/>
      <c r="BE8" s="206"/>
      <c r="BF8" s="206"/>
      <c r="BG8" s="210"/>
      <c r="BH8" s="206"/>
      <c r="BI8" s="206"/>
      <c r="BJ8" s="210"/>
      <c r="BK8" s="206"/>
      <c r="BL8" s="206"/>
      <c r="BM8" s="210"/>
      <c r="BN8" s="206"/>
      <c r="BO8" s="206"/>
      <c r="BP8" s="210"/>
      <c r="BQ8" s="206"/>
      <c r="BR8" s="206"/>
      <c r="BS8" s="210"/>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ht="69.900000000000006" customHeight="1" thickBot="1">
      <c r="A9" s="197"/>
      <c r="B9" s="257" t="s">
        <v>4059</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ht="19.8">
      <c r="A10" s="197"/>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c r="HN10" s="749" t="str">
        <f ca="1">OFFSET(A1_原単位2024,5,HL10+2)&amp;""</f>
        <v/>
      </c>
      <c r="HO10" s="750" t="str">
        <f t="shared" ref="HO10:HO59" ca="1" si="49">IF(HN10="","",HYPERLINK("#"&amp;IE10,"&lt;"&amp;IE10&amp;"&gt;"))</f>
        <v/>
      </c>
      <c r="HP10" s="751" t="str">
        <f t="shared" ref="HP10:HP41" ca="1" si="50">IF(HN10="","",HYPERLINK("#"&amp;OFFSET(A1_原単位2024,66,$HL10+2),OFFSET(A1_原単位2024,62,$HL10+2)))</f>
        <v/>
      </c>
      <c r="HQ10" s="748"/>
      <c r="HR10" s="749" t="str">
        <f ca="1">OFFSET(A1_原単位2024,17,HL10+2)&amp;""</f>
        <v/>
      </c>
      <c r="HS10" s="750" t="str">
        <f t="shared" ref="HS10:HS59" ca="1" si="51">IF(HR10="","",HYPERLINK("#"&amp;IF10,"&lt;"&amp;IF10&amp;"&gt;"))</f>
        <v/>
      </c>
      <c r="HT10" s="752" t="str">
        <f t="shared" ref="HT10:HT41" ca="1" si="52">IF(HR10="","",HYPERLINK("#"&amp;OFFSET(A1_原単位2024,67,$HL10+2),OFFSET(A1_原単位2024,63,$HL10+2)))</f>
        <v/>
      </c>
      <c r="HU10" s="748"/>
      <c r="HV10" s="749" t="str">
        <f ca="1">OFFSET(A1_原単位2024,29,HL10+2)&amp;""</f>
        <v/>
      </c>
      <c r="HW10" s="753" t="str">
        <f t="shared" ref="HW10:HW59" ca="1" si="53">IF(HV10="","",HYPERLINK("#"&amp;IG10,"&lt;"&amp;IG10&amp;"&gt;"))</f>
        <v/>
      </c>
      <c r="HX10" s="752" t="str">
        <f t="shared" ref="HX10:HX41" ca="1" si="54">IF(HV10="","",HYPERLINK("#"&amp;OFFSET(A1_原単位2024,68,$HL10+2),OFFSET(A1_原単位2024,64,$HL10+2)))</f>
        <v/>
      </c>
      <c r="HY10" s="748"/>
      <c r="HZ10" s="749" t="str">
        <f ca="1">OFFSET(A1_原単位2024,41,HL10+2)&amp;""</f>
        <v/>
      </c>
      <c r="IA10" s="753" t="str">
        <f t="shared" ref="IA10:IA59" ca="1" si="55">IF(HZ10="","",HYPERLINK("#"&amp;IH10,"&lt;"&amp;IH10&amp;"&gt;"))</f>
        <v/>
      </c>
      <c r="IB10" s="754" t="str">
        <f t="shared" ref="IB10:IB41" ca="1" si="56">IF(HZ10="","",HYPERLINK("#"&amp;OFFSET(A1_原単位2024,69,$HL10+2),OFFSET(A1_原単位2024,65,$HL10+2)))</f>
        <v/>
      </c>
      <c r="IE10" s="244" t="str">
        <f t="shared" ref="IE10:IE41" ca="1" si="57">IF($HN10="","",ADDRESS(ROW(貼付け_2024実績)+5,OFFSET(A1_原単位2024,7,$HL10+2)+COLUMN(貼付け_2024実績)+1,4))</f>
        <v/>
      </c>
      <c r="IF10" s="244" t="str">
        <f t="shared" ref="IF10:IF41" ca="1" si="58">IF($HR10="","",ADDRESS(ROW(貼付け_2024実績)+5,OFFSET(A1_原単位2024,19,$HL10+2)+COLUMN(貼付け_2024実績)+1,4))</f>
        <v/>
      </c>
      <c r="IG10" s="244" t="str">
        <f t="shared" ref="IG10:IG41" ca="1" si="59">IF($HV10="","",ADDRESS(ROW(貼付け_2024実績)+5,OFFSET(A1_原単位2024,31,$HL10+2)+COLUMN(貼付け_2024実績)+1,4))</f>
        <v/>
      </c>
      <c r="IH10" s="244" t="str">
        <f t="shared" ref="IH10:IH41" ca="1" si="60">IF($HZ10="","",ADDRESS(ROW(貼付け_2024実績)+5,OFFSET(A1_原単位2024,43,$HL10+2)+COLUMN(貼付け_2024実績)+1,4))</f>
        <v/>
      </c>
    </row>
    <row r="11" spans="1:242" ht="19.8">
      <c r="A11" s="197"/>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1">IF(L11="","",L11)</f>
        <v/>
      </c>
      <c r="HF11" s="1065"/>
      <c r="HG11" s="1066" t="str">
        <f>IF(M11="","",M11)</f>
        <v/>
      </c>
      <c r="HH11" s="1064"/>
      <c r="HI11" s="1064"/>
      <c r="HJ11" s="1067"/>
      <c r="HL11" s="302">
        <v>2</v>
      </c>
      <c r="HM11" s="755"/>
      <c r="HN11" s="756" t="str">
        <f ca="1">IF(COUNTIF(HN$10:HN10,OFFSET(A1_原単位2024,5,HL11+2))&gt;=1,"",OFFSET(A1_原単位2024,5,HL11+2)&amp;"")</f>
        <v/>
      </c>
      <c r="HO11" s="757" t="str">
        <f t="shared" ca="1" si="49"/>
        <v/>
      </c>
      <c r="HP11" s="758" t="str">
        <f t="shared" ca="1" si="50"/>
        <v/>
      </c>
      <c r="HQ11" s="755"/>
      <c r="HR11" s="756" t="str">
        <f ca="1">IF(COUNTIF(HR$10:HR10,OFFSET(A1_原単位2024,17,HL11+2))&gt;=1,"",OFFSET(A1_原単位2024,17,HL11+2)&amp;"")</f>
        <v/>
      </c>
      <c r="HS11" s="759" t="str">
        <f t="shared" ca="1" si="51"/>
        <v/>
      </c>
      <c r="HT11" s="760" t="str">
        <f t="shared" ca="1" si="52"/>
        <v/>
      </c>
      <c r="HU11" s="755"/>
      <c r="HV11" s="756" t="str">
        <f ca="1">IF(COUNTIF(HV$10:HV10,OFFSET(A1_原単位2024,29,HL11+2))&gt;=1,"",OFFSET(A1_原単位2024,29,HL11+2)&amp;"")</f>
        <v/>
      </c>
      <c r="HW11" s="759" t="str">
        <f t="shared" ca="1" si="53"/>
        <v/>
      </c>
      <c r="HX11" s="760" t="str">
        <f t="shared" ca="1" si="54"/>
        <v/>
      </c>
      <c r="HY11" s="755"/>
      <c r="HZ11" s="756" t="str">
        <f ca="1">IF(COUNTIF(HZ$10:HZ10,OFFSET(A1_原単位2024,41,HL11+2))&gt;=1,"",OFFSET(A1_原単位2024,41,HL11+2)&amp;"")</f>
        <v/>
      </c>
      <c r="IA11" s="761" t="str">
        <f t="shared" ca="1" si="55"/>
        <v/>
      </c>
      <c r="IB11" s="762" t="str">
        <f t="shared" ca="1" si="56"/>
        <v/>
      </c>
      <c r="IE11" s="244" t="str">
        <f t="shared" ca="1" si="57"/>
        <v/>
      </c>
      <c r="IF11" s="244" t="str">
        <f t="shared" ca="1" si="58"/>
        <v/>
      </c>
      <c r="IG11" s="244" t="str">
        <f t="shared" ca="1" si="59"/>
        <v/>
      </c>
      <c r="IH11" s="244" t="str">
        <f t="shared" ca="1" si="60"/>
        <v/>
      </c>
    </row>
    <row r="12" spans="1:242" ht="19.95" customHeight="1" thickBot="1">
      <c r="A12" s="197"/>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1"/>
        <v/>
      </c>
      <c r="HF12" s="1071"/>
      <c r="HG12" s="1072" t="str">
        <f>IF(M12="","",M12)</f>
        <v/>
      </c>
      <c r="HH12" s="1070"/>
      <c r="HI12" s="1070"/>
      <c r="HJ12" s="1073"/>
      <c r="HL12" s="291">
        <v>3</v>
      </c>
      <c r="HM12" s="755"/>
      <c r="HN12" s="756" t="str">
        <f ca="1">IF(COUNTIF(HN$10:HN11,OFFSET(A1_原単位2024,5,HL12+2))&gt;=1,"",OFFSET(A1_原単位2024,5,HL12+2)&amp;"")</f>
        <v/>
      </c>
      <c r="HO12" s="757" t="str">
        <f t="shared" ca="1" si="49"/>
        <v/>
      </c>
      <c r="HP12" s="758" t="str">
        <f t="shared" ca="1" si="50"/>
        <v/>
      </c>
      <c r="HQ12" s="755"/>
      <c r="HR12" s="756" t="str">
        <f ca="1">IF(COUNTIF(HR$10:HR11,OFFSET(A1_原単位2024,17,HL12+2))&gt;=1,"",OFFSET(A1_原単位2024,17,HL12+2)&amp;"")</f>
        <v/>
      </c>
      <c r="HS12" s="759" t="str">
        <f t="shared" ca="1" si="51"/>
        <v/>
      </c>
      <c r="HT12" s="760" t="str">
        <f t="shared" ca="1" si="52"/>
        <v/>
      </c>
      <c r="HU12" s="755"/>
      <c r="HV12" s="756" t="str">
        <f ca="1">IF(COUNTIF(HV$10:HV11,OFFSET(A1_原単位2024,29,HL12+2))&gt;=1,"",OFFSET(A1_原単位2024,29,HL12+2)&amp;"")</f>
        <v/>
      </c>
      <c r="HW12" s="759" t="str">
        <f t="shared" ca="1" si="53"/>
        <v/>
      </c>
      <c r="HX12" s="760" t="str">
        <f t="shared" ca="1" si="54"/>
        <v/>
      </c>
      <c r="HY12" s="755"/>
      <c r="HZ12" s="756" t="str">
        <f ca="1">IF(COUNTIF(HZ$10:HZ11,OFFSET(A1_原単位2024,41,HL12+2))&gt;=1,"",OFFSET(A1_原単位2024,41,HL12+2)&amp;"")</f>
        <v/>
      </c>
      <c r="IA12" s="761" t="str">
        <f t="shared" ca="1" si="55"/>
        <v/>
      </c>
      <c r="IB12" s="762" t="str">
        <f t="shared" ca="1" si="56"/>
        <v/>
      </c>
      <c r="IE12" s="244" t="str">
        <f t="shared" ca="1" si="57"/>
        <v/>
      </c>
      <c r="IF12" s="244" t="str">
        <f t="shared" ca="1" si="58"/>
        <v/>
      </c>
      <c r="IG12" s="244" t="str">
        <f t="shared" ca="1" si="59"/>
        <v/>
      </c>
      <c r="IH12" s="244" t="str">
        <f t="shared" ca="1" si="60"/>
        <v/>
      </c>
    </row>
    <row r="13" spans="1:242" ht="19.8">
      <c r="A13" s="197"/>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c r="HN13" s="756" t="str">
        <f ca="1">IF(COUNTIF(HN$10:HN12,OFFSET(A1_原単位2024,5,HL13+2))&gt;=1,"",OFFSET(A1_原単位2024,5,HL13+2)&amp;"")</f>
        <v/>
      </c>
      <c r="HO13" s="757" t="str">
        <f t="shared" ca="1" si="49"/>
        <v/>
      </c>
      <c r="HP13" s="758" t="str">
        <f t="shared" ca="1" si="50"/>
        <v/>
      </c>
      <c r="HQ13" s="755"/>
      <c r="HR13" s="756" t="str">
        <f ca="1">IF(COUNTIF(HR$10:HR12,OFFSET(A1_原単位2024,17,HL13+2))&gt;=1,"",OFFSET(A1_原単位2024,17,HL13+2)&amp;"")</f>
        <v/>
      </c>
      <c r="HS13" s="759" t="str">
        <f t="shared" ca="1" si="51"/>
        <v/>
      </c>
      <c r="HT13" s="760" t="str">
        <f t="shared" ca="1" si="52"/>
        <v/>
      </c>
      <c r="HU13" s="755"/>
      <c r="HV13" s="756" t="str">
        <f ca="1">IF(COUNTIF(HV$10:HV12,OFFSET(A1_原単位2024,29,HL13+2))&gt;=1,"",OFFSET(A1_原単位2024,29,HL13+2)&amp;"")</f>
        <v/>
      </c>
      <c r="HW13" s="759" t="str">
        <f t="shared" ca="1" si="53"/>
        <v/>
      </c>
      <c r="HX13" s="760" t="str">
        <f t="shared" ca="1" si="54"/>
        <v/>
      </c>
      <c r="HY13" s="755"/>
      <c r="HZ13" s="756" t="str">
        <f ca="1">IF(COUNTIF(HZ$10:HZ12,OFFSET(A1_原単位2024,41,HL13+2))&gt;=1,"",OFFSET(A1_原単位2024,41,HL13+2)&amp;"")</f>
        <v/>
      </c>
      <c r="IA13" s="761" t="str">
        <f t="shared" ca="1" si="55"/>
        <v/>
      </c>
      <c r="IB13" s="762" t="str">
        <f t="shared" ca="1" si="56"/>
        <v/>
      </c>
      <c r="IE13" s="244" t="str">
        <f t="shared" ca="1" si="57"/>
        <v/>
      </c>
      <c r="IF13" s="244" t="str">
        <f t="shared" ca="1" si="58"/>
        <v/>
      </c>
      <c r="IG13" s="244" t="str">
        <f t="shared" ca="1" si="59"/>
        <v/>
      </c>
      <c r="IH13" s="244" t="str">
        <f t="shared" ca="1" si="60"/>
        <v/>
      </c>
    </row>
    <row r="14" spans="1:242" ht="19.8">
      <c r="A14" s="197"/>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参考2_エネ使用量経年!L95</f>
        <v>0</v>
      </c>
      <c r="HF14" s="341" t="s">
        <v>4122</v>
      </c>
      <c r="HG14" s="1077" t="s">
        <v>4121</v>
      </c>
      <c r="HH14" s="1078"/>
      <c r="HI14" s="763">
        <f ca="1">参考2_エネ使用量経年!T95</f>
        <v>0</v>
      </c>
      <c r="HJ14" s="341" t="s">
        <v>4122</v>
      </c>
      <c r="HL14" s="291">
        <v>5</v>
      </c>
      <c r="HM14" s="755"/>
      <c r="HN14" s="756" t="str">
        <f ca="1">IF(COUNTIF(HN$10:HN13,OFFSET(A1_原単位2024,5,HL14+2))&gt;=1,"",OFFSET(A1_原単位2024,5,HL14+2)&amp;"")</f>
        <v/>
      </c>
      <c r="HO14" s="757" t="str">
        <f t="shared" ca="1" si="49"/>
        <v/>
      </c>
      <c r="HP14" s="758" t="str">
        <f t="shared" ca="1" si="50"/>
        <v/>
      </c>
      <c r="HQ14" s="755"/>
      <c r="HR14" s="756" t="str">
        <f ca="1">IF(COUNTIF(HR$10:HR13,OFFSET(A1_原単位2024,17,HL14+2))&gt;=1,"",OFFSET(A1_原単位2024,17,HL14+2)&amp;"")</f>
        <v/>
      </c>
      <c r="HS14" s="759" t="str">
        <f t="shared" ca="1" si="51"/>
        <v/>
      </c>
      <c r="HT14" s="760" t="str">
        <f t="shared" ca="1" si="52"/>
        <v/>
      </c>
      <c r="HU14" s="755"/>
      <c r="HV14" s="756" t="str">
        <f ca="1">IF(COUNTIF(HV$10:HV13,OFFSET(A1_原単位2024,29,HL14+2))&gt;=1,"",OFFSET(A1_原単位2024,29,HL14+2)&amp;"")</f>
        <v/>
      </c>
      <c r="HW14" s="759" t="str">
        <f t="shared" ca="1" si="53"/>
        <v/>
      </c>
      <c r="HX14" s="760" t="str">
        <f t="shared" ca="1" si="54"/>
        <v/>
      </c>
      <c r="HY14" s="755"/>
      <c r="HZ14" s="756" t="str">
        <f ca="1">IF(COUNTIF(HZ$10:HZ13,OFFSET(A1_原単位2024,41,HL14+2))&gt;=1,"",OFFSET(A1_原単位2024,41,HL14+2)&amp;"")</f>
        <v/>
      </c>
      <c r="IA14" s="761" t="str">
        <f t="shared" ca="1" si="55"/>
        <v/>
      </c>
      <c r="IB14" s="762" t="str">
        <f t="shared" ca="1" si="56"/>
        <v/>
      </c>
      <c r="IE14" s="244" t="str">
        <f t="shared" ca="1" si="57"/>
        <v/>
      </c>
      <c r="IF14" s="244" t="str">
        <f t="shared" ca="1" si="58"/>
        <v/>
      </c>
      <c r="IG14" s="244" t="str">
        <f t="shared" ca="1" si="59"/>
        <v/>
      </c>
      <c r="IH14" s="244" t="str">
        <f t="shared" ca="1" si="60"/>
        <v/>
      </c>
    </row>
    <row r="15" spans="1:242" ht="19.95" customHeight="1" thickBot="1">
      <c r="A15" s="197"/>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参考3_排出量経年!L116</f>
        <v>0</v>
      </c>
      <c r="HF15" s="349" t="s">
        <v>4128</v>
      </c>
      <c r="HG15" s="1079" t="s">
        <v>4127</v>
      </c>
      <c r="HH15" s="1080"/>
      <c r="HI15" s="764">
        <f ca="1">参考3_排出量経年!T116</f>
        <v>0</v>
      </c>
      <c r="HJ15" s="349" t="s">
        <v>4128</v>
      </c>
      <c r="HL15" s="302">
        <v>6</v>
      </c>
      <c r="HM15" s="755"/>
      <c r="HN15" s="756" t="str">
        <f ca="1">IF(COUNTIF(HN$10:HN14,OFFSET(A1_原単位2024,5,HL15+2))&gt;=1,"",OFFSET(A1_原単位2024,5,HL15+2)&amp;"")</f>
        <v/>
      </c>
      <c r="HO15" s="757" t="str">
        <f t="shared" ca="1" si="49"/>
        <v/>
      </c>
      <c r="HP15" s="758" t="str">
        <f t="shared" ca="1" si="50"/>
        <v/>
      </c>
      <c r="HQ15" s="755"/>
      <c r="HR15" s="756" t="str">
        <f ca="1">IF(COUNTIF(HR$10:HR14,OFFSET(A1_原単位2024,17,HL15+2))&gt;=1,"",OFFSET(A1_原単位2024,17,HL15+2)&amp;"")</f>
        <v/>
      </c>
      <c r="HS15" s="759" t="str">
        <f t="shared" ca="1" si="51"/>
        <v/>
      </c>
      <c r="HT15" s="760" t="str">
        <f t="shared" ca="1" si="52"/>
        <v/>
      </c>
      <c r="HU15" s="755"/>
      <c r="HV15" s="756" t="str">
        <f ca="1">IF(COUNTIF(HV$10:HV14,OFFSET(A1_原単位2024,29,HL15+2))&gt;=1,"",OFFSET(A1_原単位2024,29,HL15+2)&amp;"")</f>
        <v/>
      </c>
      <c r="HW15" s="759" t="str">
        <f t="shared" ca="1" si="53"/>
        <v/>
      </c>
      <c r="HX15" s="760" t="str">
        <f t="shared" ca="1" si="54"/>
        <v/>
      </c>
      <c r="HY15" s="755"/>
      <c r="HZ15" s="756" t="str">
        <f ca="1">IF(COUNTIF(HZ$10:HZ14,OFFSET(A1_原単位2024,41,HL15+2))&gt;=1,"",OFFSET(A1_原単位2024,41,HL15+2)&amp;"")</f>
        <v/>
      </c>
      <c r="IA15" s="761" t="str">
        <f t="shared" ca="1" si="55"/>
        <v/>
      </c>
      <c r="IB15" s="762" t="str">
        <f t="shared" ca="1" si="56"/>
        <v/>
      </c>
      <c r="IE15" s="244" t="str">
        <f t="shared" ca="1" si="57"/>
        <v/>
      </c>
      <c r="IF15" s="244" t="str">
        <f t="shared" ca="1" si="58"/>
        <v/>
      </c>
      <c r="IG15" s="244" t="str">
        <f t="shared" ca="1" si="59"/>
        <v/>
      </c>
      <c r="IH15" s="244" t="str">
        <f t="shared" ca="1" si="60"/>
        <v/>
      </c>
    </row>
    <row r="16" spans="1:242" ht="19.95" customHeight="1" thickBot="1">
      <c r="A16" s="197"/>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c r="HN16" s="756" t="str">
        <f ca="1">IF(COUNTIF(HN$10:HN15,OFFSET(A1_原単位2024,5,HL16+2))&gt;=1,"",OFFSET(A1_原単位2024,5,HL16+2)&amp;"")</f>
        <v/>
      </c>
      <c r="HO16" s="757" t="str">
        <f t="shared" ca="1" si="49"/>
        <v/>
      </c>
      <c r="HP16" s="758" t="str">
        <f t="shared" ca="1" si="50"/>
        <v/>
      </c>
      <c r="HQ16" s="755"/>
      <c r="HR16" s="756" t="str">
        <f ca="1">IF(COUNTIF(HR$10:HR15,OFFSET(A1_原単位2024,17,HL16+2))&gt;=1,"",OFFSET(A1_原単位2024,17,HL16+2)&amp;"")</f>
        <v/>
      </c>
      <c r="HS16" s="759" t="str">
        <f t="shared" ca="1" si="51"/>
        <v/>
      </c>
      <c r="HT16" s="760" t="str">
        <f t="shared" ca="1" si="52"/>
        <v/>
      </c>
      <c r="HU16" s="755"/>
      <c r="HV16" s="756" t="str">
        <f ca="1">IF(COUNTIF(HV$10:HV15,OFFSET(A1_原単位2024,29,HL16+2))&gt;=1,"",OFFSET(A1_原単位2024,29,HL16+2)&amp;"")</f>
        <v/>
      </c>
      <c r="HW16" s="759" t="str">
        <f t="shared" ca="1" si="53"/>
        <v/>
      </c>
      <c r="HX16" s="760" t="str">
        <f t="shared" ca="1" si="54"/>
        <v/>
      </c>
      <c r="HY16" s="755"/>
      <c r="HZ16" s="756" t="str">
        <f ca="1">IF(COUNTIF(HZ$10:HZ15,OFFSET(A1_原単位2024,41,HL16+2))&gt;=1,"",OFFSET(A1_原単位2024,41,HL16+2)&amp;"")</f>
        <v/>
      </c>
      <c r="IA16" s="761" t="str">
        <f t="shared" ca="1" si="55"/>
        <v/>
      </c>
      <c r="IB16" s="762" t="str">
        <f t="shared" ca="1" si="56"/>
        <v/>
      </c>
      <c r="IE16" s="244" t="str">
        <f t="shared" ca="1" si="57"/>
        <v/>
      </c>
      <c r="IF16" s="244" t="str">
        <f t="shared" ca="1" si="58"/>
        <v/>
      </c>
      <c r="IG16" s="244" t="str">
        <f t="shared" ca="1" si="59"/>
        <v/>
      </c>
      <c r="IH16" s="244" t="str">
        <f t="shared" ca="1" si="60"/>
        <v/>
      </c>
    </row>
    <row r="17" spans="1:242" ht="19.8">
      <c r="A17" s="197"/>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2">K17+O17+S17+W17+AA17+AE17+AI17+AM17+AQ17+AU17+AY17+BC17+BG17+BK17+BO17+BS17+BW17+CA17+CE17+CI17+CM17+CQ17+CU17+CY17+DC17+DG17+DK17+DO17+DS17+DW17+EA17+EE17+EI17+EM17+EQ17+EU17+EY17+FC17+FG17+FK17+FO17+FS17+FW17+GA17+GE17+GI17+GM17+GQ17+GU17+GY17</f>
        <v>0</v>
      </c>
      <c r="HD17" s="372">
        <f t="shared" si="62"/>
        <v>0</v>
      </c>
      <c r="HE17" s="372">
        <f t="shared" si="62"/>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c r="HN17" s="756" t="str">
        <f ca="1">IF(COUNTIF(HN$10:HN16,OFFSET(A1_原単位2024,5,HL17+2))&gt;=1,"",OFFSET(A1_原単位2024,5,HL17+2)&amp;"")</f>
        <v/>
      </c>
      <c r="HO17" s="757" t="str">
        <f t="shared" ca="1" si="49"/>
        <v/>
      </c>
      <c r="HP17" s="758" t="str">
        <f t="shared" ca="1" si="50"/>
        <v/>
      </c>
      <c r="HQ17" s="755"/>
      <c r="HR17" s="756" t="str">
        <f ca="1">IF(COUNTIF(HR$10:HR16,OFFSET(A1_原単位2024,17,HL17+2))&gt;=1,"",OFFSET(A1_原単位2024,17,HL17+2)&amp;"")</f>
        <v/>
      </c>
      <c r="HS17" s="759" t="str">
        <f t="shared" ca="1" si="51"/>
        <v/>
      </c>
      <c r="HT17" s="760" t="str">
        <f t="shared" ca="1" si="52"/>
        <v/>
      </c>
      <c r="HU17" s="755"/>
      <c r="HV17" s="756" t="str">
        <f ca="1">IF(COUNTIF(HV$10:HV16,OFFSET(A1_原単位2024,29,HL17+2))&gt;=1,"",OFFSET(A1_原単位2024,29,HL17+2)&amp;"")</f>
        <v/>
      </c>
      <c r="HW17" s="759" t="str">
        <f t="shared" ca="1" si="53"/>
        <v/>
      </c>
      <c r="HX17" s="760" t="str">
        <f t="shared" ca="1" si="54"/>
        <v/>
      </c>
      <c r="HY17" s="755"/>
      <c r="HZ17" s="756" t="str">
        <f ca="1">IF(COUNTIF(HZ$10:HZ16,OFFSET(A1_原単位2024,41,HL17+2))&gt;=1,"",OFFSET(A1_原単位2024,41,HL17+2)&amp;"")</f>
        <v/>
      </c>
      <c r="IA17" s="761" t="str">
        <f t="shared" ca="1" si="55"/>
        <v/>
      </c>
      <c r="IB17" s="762" t="str">
        <f t="shared" ca="1" si="56"/>
        <v/>
      </c>
      <c r="IE17" s="244" t="str">
        <f t="shared" ca="1" si="57"/>
        <v/>
      </c>
      <c r="IF17" s="244" t="str">
        <f t="shared" ca="1" si="58"/>
        <v/>
      </c>
      <c r="IG17" s="244" t="str">
        <f t="shared" ca="1" si="59"/>
        <v/>
      </c>
      <c r="IH17" s="244" t="str">
        <f t="shared" ca="1" si="60"/>
        <v/>
      </c>
    </row>
    <row r="18" spans="1:242" ht="19.8">
      <c r="A18" s="197"/>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2"/>
        <v>0</v>
      </c>
      <c r="HD18" s="385">
        <f t="shared" si="62"/>
        <v>0</v>
      </c>
      <c r="HE18" s="385">
        <f t="shared" si="62"/>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c r="HN18" s="756" t="str">
        <f ca="1">IF(COUNTIF(HN$10:HN17,OFFSET(A1_原単位2024,5,HL18+2))&gt;=1,"",OFFSET(A1_原単位2024,5,HL18+2)&amp;"")</f>
        <v/>
      </c>
      <c r="HO18" s="757" t="str">
        <f t="shared" ca="1" si="49"/>
        <v/>
      </c>
      <c r="HP18" s="758" t="str">
        <f t="shared" ca="1" si="50"/>
        <v/>
      </c>
      <c r="HQ18" s="755"/>
      <c r="HR18" s="756" t="str">
        <f ca="1">IF(COUNTIF(HR$10:HR17,OFFSET(A1_原単位2024,17,HL18+2))&gt;=1,"",OFFSET(A1_原単位2024,17,HL18+2)&amp;"")</f>
        <v/>
      </c>
      <c r="HS18" s="759" t="str">
        <f t="shared" ca="1" si="51"/>
        <v/>
      </c>
      <c r="HT18" s="760" t="str">
        <f t="shared" ca="1" si="52"/>
        <v/>
      </c>
      <c r="HU18" s="755"/>
      <c r="HV18" s="756" t="str">
        <f ca="1">IF(COUNTIF(HV$10:HV17,OFFSET(A1_原単位2024,29,HL18+2))&gt;=1,"",OFFSET(A1_原単位2024,29,HL18+2)&amp;"")</f>
        <v/>
      </c>
      <c r="HW18" s="759" t="str">
        <f t="shared" ca="1" si="53"/>
        <v/>
      </c>
      <c r="HX18" s="760" t="str">
        <f t="shared" ca="1" si="54"/>
        <v/>
      </c>
      <c r="HY18" s="755"/>
      <c r="HZ18" s="756" t="str">
        <f ca="1">IF(COUNTIF(HZ$10:HZ17,OFFSET(A1_原単位2024,41,HL18+2))&gt;=1,"",OFFSET(A1_原単位2024,41,HL18+2)&amp;"")</f>
        <v/>
      </c>
      <c r="IA18" s="761" t="str">
        <f t="shared" ca="1" si="55"/>
        <v/>
      </c>
      <c r="IB18" s="762" t="str">
        <f t="shared" ca="1" si="56"/>
        <v/>
      </c>
      <c r="IE18" s="244" t="str">
        <f t="shared" ca="1" si="57"/>
        <v/>
      </c>
      <c r="IF18" s="244" t="str">
        <f t="shared" ca="1" si="58"/>
        <v/>
      </c>
      <c r="IG18" s="244" t="str">
        <f t="shared" ca="1" si="59"/>
        <v/>
      </c>
      <c r="IH18" s="244" t="str">
        <f t="shared" ca="1" si="60"/>
        <v/>
      </c>
    </row>
    <row r="19" spans="1:242" ht="19.8">
      <c r="A19" s="197"/>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2"/>
        <v>0</v>
      </c>
      <c r="HD19" s="385">
        <f t="shared" si="62"/>
        <v>0</v>
      </c>
      <c r="HE19" s="385">
        <f t="shared" si="62"/>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c r="HN19" s="756" t="str">
        <f ca="1">IF(COUNTIF(HN$10:HN18,OFFSET(A1_原単位2024,5,HL19+2))&gt;=1,"",OFFSET(A1_原単位2024,5,HL19+2)&amp;"")</f>
        <v/>
      </c>
      <c r="HO19" s="757" t="str">
        <f t="shared" ca="1" si="49"/>
        <v/>
      </c>
      <c r="HP19" s="758" t="str">
        <f t="shared" ca="1" si="50"/>
        <v/>
      </c>
      <c r="HQ19" s="755"/>
      <c r="HR19" s="756" t="str">
        <f ca="1">IF(COUNTIF(HR$10:HR18,OFFSET(A1_原単位2024,17,HL19+2))&gt;=1,"",OFFSET(A1_原単位2024,17,HL19+2)&amp;"")</f>
        <v/>
      </c>
      <c r="HS19" s="759" t="str">
        <f t="shared" ca="1" si="51"/>
        <v/>
      </c>
      <c r="HT19" s="760" t="str">
        <f t="shared" ca="1" si="52"/>
        <v/>
      </c>
      <c r="HU19" s="755"/>
      <c r="HV19" s="756" t="str">
        <f ca="1">IF(COUNTIF(HV$10:HV18,OFFSET(A1_原単位2024,29,HL19+2))&gt;=1,"",OFFSET(A1_原単位2024,29,HL19+2)&amp;"")</f>
        <v/>
      </c>
      <c r="HW19" s="759" t="str">
        <f t="shared" ca="1" si="53"/>
        <v/>
      </c>
      <c r="HX19" s="760" t="str">
        <f t="shared" ca="1" si="54"/>
        <v/>
      </c>
      <c r="HY19" s="755"/>
      <c r="HZ19" s="756" t="str">
        <f ca="1">IF(COUNTIF(HZ$10:HZ18,OFFSET(A1_原単位2024,41,HL19+2))&gt;=1,"",OFFSET(A1_原単位2024,41,HL19+2)&amp;"")</f>
        <v/>
      </c>
      <c r="IA19" s="761" t="str">
        <f t="shared" ca="1" si="55"/>
        <v/>
      </c>
      <c r="IB19" s="762" t="str">
        <f t="shared" ca="1" si="56"/>
        <v/>
      </c>
      <c r="IE19" s="244" t="str">
        <f t="shared" ca="1" si="57"/>
        <v/>
      </c>
      <c r="IF19" s="244" t="str">
        <f t="shared" ca="1" si="58"/>
        <v/>
      </c>
      <c r="IG19" s="244" t="str">
        <f t="shared" ca="1" si="59"/>
        <v/>
      </c>
      <c r="IH19" s="244" t="str">
        <f t="shared" ca="1" si="60"/>
        <v/>
      </c>
    </row>
    <row r="20" spans="1:242" ht="19.8">
      <c r="A20" s="197"/>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2"/>
        <v>0</v>
      </c>
      <c r="HD20" s="385">
        <f t="shared" si="62"/>
        <v>0</v>
      </c>
      <c r="HE20" s="385">
        <f t="shared" si="62"/>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c r="HN20" s="756" t="str">
        <f ca="1">IF(COUNTIF(HN$10:HN19,OFFSET(A1_原単位2024,5,HL20+2))&gt;=1,"",OFFSET(A1_原単位2024,5,HL20+2)&amp;"")</f>
        <v/>
      </c>
      <c r="HO20" s="757" t="str">
        <f t="shared" ca="1" si="49"/>
        <v/>
      </c>
      <c r="HP20" s="758" t="str">
        <f t="shared" ca="1" si="50"/>
        <v/>
      </c>
      <c r="HQ20" s="755"/>
      <c r="HR20" s="756" t="str">
        <f ca="1">IF(COUNTIF(HR$10:HR19,OFFSET(A1_原単位2024,17,HL20+2))&gt;=1,"",OFFSET(A1_原単位2024,17,HL20+2)&amp;"")</f>
        <v/>
      </c>
      <c r="HS20" s="759" t="str">
        <f t="shared" ca="1" si="51"/>
        <v/>
      </c>
      <c r="HT20" s="760" t="str">
        <f t="shared" ca="1" si="52"/>
        <v/>
      </c>
      <c r="HU20" s="755"/>
      <c r="HV20" s="756" t="str">
        <f ca="1">IF(COUNTIF(HV$10:HV19,OFFSET(A1_原単位2024,29,HL20+2))&gt;=1,"",OFFSET(A1_原単位2024,29,HL20+2)&amp;"")</f>
        <v/>
      </c>
      <c r="HW20" s="759" t="str">
        <f t="shared" ca="1" si="53"/>
        <v/>
      </c>
      <c r="HX20" s="760" t="str">
        <f t="shared" ca="1" si="54"/>
        <v/>
      </c>
      <c r="HY20" s="755"/>
      <c r="HZ20" s="756" t="str">
        <f ca="1">IF(COUNTIF(HZ$10:HZ19,OFFSET(A1_原単位2024,41,HL20+2))&gt;=1,"",OFFSET(A1_原単位2024,41,HL20+2)&amp;"")</f>
        <v/>
      </c>
      <c r="IA20" s="761" t="str">
        <f t="shared" ca="1" si="55"/>
        <v/>
      </c>
      <c r="IB20" s="762" t="str">
        <f t="shared" ca="1" si="56"/>
        <v/>
      </c>
      <c r="IE20" s="244" t="str">
        <f t="shared" ca="1" si="57"/>
        <v/>
      </c>
      <c r="IF20" s="244" t="str">
        <f t="shared" ca="1" si="58"/>
        <v/>
      </c>
      <c r="IG20" s="244" t="str">
        <f t="shared" ca="1" si="59"/>
        <v/>
      </c>
      <c r="IH20" s="244" t="str">
        <f t="shared" ca="1" si="60"/>
        <v/>
      </c>
    </row>
    <row r="21" spans="1:242" ht="19.8">
      <c r="A21" s="197"/>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2"/>
        <v>0</v>
      </c>
      <c r="HD21" s="385">
        <f t="shared" si="62"/>
        <v>0</v>
      </c>
      <c r="HE21" s="385">
        <f t="shared" si="62"/>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c r="HN21" s="756" t="str">
        <f ca="1">IF(COUNTIF(HN$10:HN20,OFFSET(A1_原単位2024,5,HL21+2))&gt;=1,"",OFFSET(A1_原単位2024,5,HL21+2)&amp;"")</f>
        <v/>
      </c>
      <c r="HO21" s="757" t="str">
        <f t="shared" ca="1" si="49"/>
        <v/>
      </c>
      <c r="HP21" s="758" t="str">
        <f t="shared" ca="1" si="50"/>
        <v/>
      </c>
      <c r="HQ21" s="755"/>
      <c r="HR21" s="756" t="str">
        <f ca="1">IF(COUNTIF(HR$10:HR20,OFFSET(A1_原単位2024,17,HL21+2))&gt;=1,"",OFFSET(A1_原単位2024,17,HL21+2)&amp;"")</f>
        <v/>
      </c>
      <c r="HS21" s="759" t="str">
        <f t="shared" ca="1" si="51"/>
        <v/>
      </c>
      <c r="HT21" s="760" t="str">
        <f t="shared" ca="1" si="52"/>
        <v/>
      </c>
      <c r="HU21" s="755"/>
      <c r="HV21" s="756" t="str">
        <f ca="1">IF(COUNTIF(HV$10:HV20,OFFSET(A1_原単位2024,29,HL21+2))&gt;=1,"",OFFSET(A1_原単位2024,29,HL21+2)&amp;"")</f>
        <v/>
      </c>
      <c r="HW21" s="759" t="str">
        <f t="shared" ca="1" si="53"/>
        <v/>
      </c>
      <c r="HX21" s="760" t="str">
        <f t="shared" ca="1" si="54"/>
        <v/>
      </c>
      <c r="HY21" s="755"/>
      <c r="HZ21" s="756" t="str">
        <f ca="1">IF(COUNTIF(HZ$10:HZ20,OFFSET(A1_原単位2024,41,HL21+2))&gt;=1,"",OFFSET(A1_原単位2024,41,HL21+2)&amp;"")</f>
        <v/>
      </c>
      <c r="IA21" s="761" t="str">
        <f t="shared" ca="1" si="55"/>
        <v/>
      </c>
      <c r="IB21" s="762" t="str">
        <f t="shared" ca="1" si="56"/>
        <v/>
      </c>
      <c r="IE21" s="244" t="str">
        <f t="shared" ca="1" si="57"/>
        <v/>
      </c>
      <c r="IF21" s="244" t="str">
        <f t="shared" ca="1" si="58"/>
        <v/>
      </c>
      <c r="IG21" s="244" t="str">
        <f t="shared" ca="1" si="59"/>
        <v/>
      </c>
      <c r="IH21" s="244" t="str">
        <f t="shared" ca="1" si="60"/>
        <v/>
      </c>
    </row>
    <row r="22" spans="1:242" ht="19.8">
      <c r="A22" s="197"/>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2"/>
        <v>0</v>
      </c>
      <c r="HD22" s="385">
        <f t="shared" si="62"/>
        <v>0</v>
      </c>
      <c r="HE22" s="385">
        <f t="shared" si="62"/>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c r="HN22" s="756" t="str">
        <f ca="1">IF(COUNTIF(HN$10:HN21,OFFSET(A1_原単位2024,5,HL22+2))&gt;=1,"",OFFSET(A1_原単位2024,5,HL22+2)&amp;"")</f>
        <v/>
      </c>
      <c r="HO22" s="757" t="str">
        <f t="shared" ca="1" si="49"/>
        <v/>
      </c>
      <c r="HP22" s="758" t="str">
        <f t="shared" ca="1" si="50"/>
        <v/>
      </c>
      <c r="HQ22" s="755"/>
      <c r="HR22" s="756" t="str">
        <f ca="1">IF(COUNTIF(HR$10:HR21,OFFSET(A1_原単位2024,17,HL22+2))&gt;=1,"",OFFSET(A1_原単位2024,17,HL22+2)&amp;"")</f>
        <v/>
      </c>
      <c r="HS22" s="759" t="str">
        <f t="shared" ca="1" si="51"/>
        <v/>
      </c>
      <c r="HT22" s="760" t="str">
        <f t="shared" ca="1" si="52"/>
        <v/>
      </c>
      <c r="HU22" s="755"/>
      <c r="HV22" s="756" t="str">
        <f ca="1">IF(COUNTIF(HV$10:HV21,OFFSET(A1_原単位2024,29,HL22+2))&gt;=1,"",OFFSET(A1_原単位2024,29,HL22+2)&amp;"")</f>
        <v/>
      </c>
      <c r="HW22" s="759" t="str">
        <f t="shared" ca="1" si="53"/>
        <v/>
      </c>
      <c r="HX22" s="760" t="str">
        <f t="shared" ca="1" si="54"/>
        <v/>
      </c>
      <c r="HY22" s="755"/>
      <c r="HZ22" s="756" t="str">
        <f ca="1">IF(COUNTIF(HZ$10:HZ21,OFFSET(A1_原単位2024,41,HL22+2))&gt;=1,"",OFFSET(A1_原単位2024,41,HL22+2)&amp;"")</f>
        <v/>
      </c>
      <c r="IA22" s="761" t="str">
        <f t="shared" ca="1" si="55"/>
        <v/>
      </c>
      <c r="IB22" s="762" t="str">
        <f t="shared" ca="1" si="56"/>
        <v/>
      </c>
      <c r="IE22" s="244" t="str">
        <f t="shared" ca="1" si="57"/>
        <v/>
      </c>
      <c r="IF22" s="244" t="str">
        <f t="shared" ca="1" si="58"/>
        <v/>
      </c>
      <c r="IG22" s="244" t="str">
        <f t="shared" ca="1" si="59"/>
        <v/>
      </c>
      <c r="IH22" s="244" t="str">
        <f t="shared" ca="1" si="60"/>
        <v/>
      </c>
    </row>
    <row r="23" spans="1:242" ht="19.8">
      <c r="A23" s="197"/>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2"/>
        <v>0</v>
      </c>
      <c r="HD23" s="385">
        <f t="shared" si="62"/>
        <v>0</v>
      </c>
      <c r="HE23" s="385">
        <f t="shared" si="62"/>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c r="HN23" s="756" t="str">
        <f ca="1">IF(COUNTIF(HN$10:HN22,OFFSET(A1_原単位2024,5,HL23+2))&gt;=1,"",OFFSET(A1_原単位2024,5,HL23+2)&amp;"")</f>
        <v/>
      </c>
      <c r="HO23" s="757" t="str">
        <f t="shared" ca="1" si="49"/>
        <v/>
      </c>
      <c r="HP23" s="758" t="str">
        <f t="shared" ca="1" si="50"/>
        <v/>
      </c>
      <c r="HQ23" s="755"/>
      <c r="HR23" s="756" t="str">
        <f ca="1">IF(COUNTIF(HR$10:HR22,OFFSET(A1_原単位2024,17,HL23+2))&gt;=1,"",OFFSET(A1_原単位2024,17,HL23+2)&amp;"")</f>
        <v/>
      </c>
      <c r="HS23" s="759" t="str">
        <f t="shared" ca="1" si="51"/>
        <v/>
      </c>
      <c r="HT23" s="760" t="str">
        <f t="shared" ca="1" si="52"/>
        <v/>
      </c>
      <c r="HU23" s="755"/>
      <c r="HV23" s="756" t="str">
        <f ca="1">IF(COUNTIF(HV$10:HV22,OFFSET(A1_原単位2024,29,HL23+2))&gt;=1,"",OFFSET(A1_原単位2024,29,HL23+2)&amp;"")</f>
        <v/>
      </c>
      <c r="HW23" s="759" t="str">
        <f t="shared" ca="1" si="53"/>
        <v/>
      </c>
      <c r="HX23" s="760" t="str">
        <f t="shared" ca="1" si="54"/>
        <v/>
      </c>
      <c r="HY23" s="755"/>
      <c r="HZ23" s="756" t="str">
        <f ca="1">IF(COUNTIF(HZ$10:HZ22,OFFSET(A1_原単位2024,41,HL23+2))&gt;=1,"",OFFSET(A1_原単位2024,41,HL23+2)&amp;"")</f>
        <v/>
      </c>
      <c r="IA23" s="761" t="str">
        <f t="shared" ca="1" si="55"/>
        <v/>
      </c>
      <c r="IB23" s="762" t="str">
        <f t="shared" ca="1" si="56"/>
        <v/>
      </c>
      <c r="IE23" s="244" t="str">
        <f t="shared" ca="1" si="57"/>
        <v/>
      </c>
      <c r="IF23" s="244" t="str">
        <f t="shared" ca="1" si="58"/>
        <v/>
      </c>
      <c r="IG23" s="244" t="str">
        <f t="shared" ca="1" si="59"/>
        <v/>
      </c>
      <c r="IH23" s="244" t="str">
        <f t="shared" ca="1" si="60"/>
        <v/>
      </c>
    </row>
    <row r="24" spans="1:242" ht="19.8">
      <c r="A24" s="197"/>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2"/>
        <v>0</v>
      </c>
      <c r="HD24" s="385">
        <f t="shared" si="62"/>
        <v>0</v>
      </c>
      <c r="HE24" s="385">
        <f t="shared" si="62"/>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c r="HN24" s="756" t="str">
        <f ca="1">IF(COUNTIF(HN$10:HN23,OFFSET(A1_原単位2024,5,HL24+2))&gt;=1,"",OFFSET(A1_原単位2024,5,HL24+2)&amp;"")</f>
        <v/>
      </c>
      <c r="HO24" s="757" t="str">
        <f t="shared" ca="1" si="49"/>
        <v/>
      </c>
      <c r="HP24" s="758" t="str">
        <f t="shared" ca="1" si="50"/>
        <v/>
      </c>
      <c r="HQ24" s="755"/>
      <c r="HR24" s="756" t="str">
        <f ca="1">IF(COUNTIF(HR$10:HR23,OFFSET(A1_原単位2024,17,HL24+2))&gt;=1,"",OFFSET(A1_原単位2024,17,HL24+2)&amp;"")</f>
        <v/>
      </c>
      <c r="HS24" s="759" t="str">
        <f t="shared" ca="1" si="51"/>
        <v/>
      </c>
      <c r="HT24" s="760" t="str">
        <f t="shared" ca="1" si="52"/>
        <v/>
      </c>
      <c r="HU24" s="755"/>
      <c r="HV24" s="756" t="str">
        <f ca="1">IF(COUNTIF(HV$10:HV23,OFFSET(A1_原単位2024,29,HL24+2))&gt;=1,"",OFFSET(A1_原単位2024,29,HL24+2)&amp;"")</f>
        <v/>
      </c>
      <c r="HW24" s="759" t="str">
        <f t="shared" ca="1" si="53"/>
        <v/>
      </c>
      <c r="HX24" s="760" t="str">
        <f t="shared" ca="1" si="54"/>
        <v/>
      </c>
      <c r="HY24" s="755"/>
      <c r="HZ24" s="756" t="str">
        <f ca="1">IF(COUNTIF(HZ$10:HZ23,OFFSET(A1_原単位2024,41,HL24+2))&gt;=1,"",OFFSET(A1_原単位2024,41,HL24+2)&amp;"")</f>
        <v/>
      </c>
      <c r="IA24" s="761" t="str">
        <f t="shared" ca="1" si="55"/>
        <v/>
      </c>
      <c r="IB24" s="762" t="str">
        <f t="shared" ca="1" si="56"/>
        <v/>
      </c>
      <c r="IE24" s="244" t="str">
        <f t="shared" ca="1" si="57"/>
        <v/>
      </c>
      <c r="IF24" s="244" t="str">
        <f t="shared" ca="1" si="58"/>
        <v/>
      </c>
      <c r="IG24" s="244" t="str">
        <f t="shared" ca="1" si="59"/>
        <v/>
      </c>
      <c r="IH24" s="244" t="str">
        <f t="shared" ca="1" si="60"/>
        <v/>
      </c>
    </row>
    <row r="25" spans="1:242" ht="19.8">
      <c r="A25" s="197"/>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2"/>
        <v>0</v>
      </c>
      <c r="HD25" s="385">
        <f t="shared" si="62"/>
        <v>0</v>
      </c>
      <c r="HE25" s="385">
        <f t="shared" si="62"/>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c r="HN25" s="756" t="str">
        <f ca="1">IF(COUNTIF(HN$10:HN24,OFFSET(A1_原単位2024,5,HL25+2))&gt;=1,"",OFFSET(A1_原単位2024,5,HL25+2)&amp;"")</f>
        <v/>
      </c>
      <c r="HO25" s="757" t="str">
        <f t="shared" ca="1" si="49"/>
        <v/>
      </c>
      <c r="HP25" s="758" t="str">
        <f t="shared" ca="1" si="50"/>
        <v/>
      </c>
      <c r="HQ25" s="755"/>
      <c r="HR25" s="756" t="str">
        <f ca="1">IF(COUNTIF(HR$10:HR24,OFFSET(A1_原単位2024,17,HL25+2))&gt;=1,"",OFFSET(A1_原単位2024,17,HL25+2)&amp;"")</f>
        <v/>
      </c>
      <c r="HS25" s="759" t="str">
        <f t="shared" ca="1" si="51"/>
        <v/>
      </c>
      <c r="HT25" s="760" t="str">
        <f t="shared" ca="1" si="52"/>
        <v/>
      </c>
      <c r="HU25" s="755"/>
      <c r="HV25" s="756" t="str">
        <f ca="1">IF(COUNTIF(HV$10:HV24,OFFSET(A1_原単位2024,29,HL25+2))&gt;=1,"",OFFSET(A1_原単位2024,29,HL25+2)&amp;"")</f>
        <v/>
      </c>
      <c r="HW25" s="759" t="str">
        <f t="shared" ca="1" si="53"/>
        <v/>
      </c>
      <c r="HX25" s="760" t="str">
        <f t="shared" ca="1" si="54"/>
        <v/>
      </c>
      <c r="HY25" s="755"/>
      <c r="HZ25" s="756" t="str">
        <f ca="1">IF(COUNTIF(HZ$10:HZ24,OFFSET(A1_原単位2024,41,HL25+2))&gt;=1,"",OFFSET(A1_原単位2024,41,HL25+2)&amp;"")</f>
        <v/>
      </c>
      <c r="IA25" s="761" t="str">
        <f t="shared" ca="1" si="55"/>
        <v/>
      </c>
      <c r="IB25" s="762" t="str">
        <f t="shared" ca="1" si="56"/>
        <v/>
      </c>
      <c r="IE25" s="244" t="str">
        <f t="shared" ca="1" si="57"/>
        <v/>
      </c>
      <c r="IF25" s="244" t="str">
        <f t="shared" ca="1" si="58"/>
        <v/>
      </c>
      <c r="IG25" s="244" t="str">
        <f t="shared" ca="1" si="59"/>
        <v/>
      </c>
      <c r="IH25" s="244" t="str">
        <f t="shared" ca="1" si="60"/>
        <v/>
      </c>
    </row>
    <row r="26" spans="1:242" ht="19.8">
      <c r="A26" s="197"/>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2"/>
        <v>0</v>
      </c>
      <c r="HD26" s="385">
        <f t="shared" si="62"/>
        <v>0</v>
      </c>
      <c r="HE26" s="385">
        <f t="shared" si="62"/>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c r="HN26" s="756" t="str">
        <f ca="1">IF(COUNTIF(HN$10:HN25,OFFSET(A1_原単位2024,5,HL26+2))&gt;=1,"",OFFSET(A1_原単位2024,5,HL26+2)&amp;"")</f>
        <v/>
      </c>
      <c r="HO26" s="757" t="str">
        <f t="shared" ca="1" si="49"/>
        <v/>
      </c>
      <c r="HP26" s="758" t="str">
        <f t="shared" ca="1" si="50"/>
        <v/>
      </c>
      <c r="HQ26" s="755"/>
      <c r="HR26" s="756" t="str">
        <f ca="1">IF(COUNTIF(HR$10:HR25,OFFSET(A1_原単位2024,17,HL26+2))&gt;=1,"",OFFSET(A1_原単位2024,17,HL26+2)&amp;"")</f>
        <v/>
      </c>
      <c r="HS26" s="759" t="str">
        <f t="shared" ca="1" si="51"/>
        <v/>
      </c>
      <c r="HT26" s="760" t="str">
        <f t="shared" ca="1" si="52"/>
        <v/>
      </c>
      <c r="HU26" s="755"/>
      <c r="HV26" s="756" t="str">
        <f ca="1">IF(COUNTIF(HV$10:HV25,OFFSET(A1_原単位2024,29,HL26+2))&gt;=1,"",OFFSET(A1_原単位2024,29,HL26+2)&amp;"")</f>
        <v/>
      </c>
      <c r="HW26" s="759" t="str">
        <f t="shared" ca="1" si="53"/>
        <v/>
      </c>
      <c r="HX26" s="760" t="str">
        <f t="shared" ca="1" si="54"/>
        <v/>
      </c>
      <c r="HY26" s="755"/>
      <c r="HZ26" s="756" t="str">
        <f ca="1">IF(COUNTIF(HZ$10:HZ25,OFFSET(A1_原単位2024,41,HL26+2))&gt;=1,"",OFFSET(A1_原単位2024,41,HL26+2)&amp;"")</f>
        <v/>
      </c>
      <c r="IA26" s="761" t="str">
        <f t="shared" ca="1" si="55"/>
        <v/>
      </c>
      <c r="IB26" s="762" t="str">
        <f t="shared" ca="1" si="56"/>
        <v/>
      </c>
      <c r="IE26" s="244" t="str">
        <f t="shared" ca="1" si="57"/>
        <v/>
      </c>
      <c r="IF26" s="244" t="str">
        <f t="shared" ca="1" si="58"/>
        <v/>
      </c>
      <c r="IG26" s="244" t="str">
        <f t="shared" ca="1" si="59"/>
        <v/>
      </c>
      <c r="IH26" s="244" t="str">
        <f t="shared" ca="1" si="60"/>
        <v/>
      </c>
    </row>
    <row r="27" spans="1:242" ht="19.8">
      <c r="A27" s="197"/>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2"/>
        <v>0</v>
      </c>
      <c r="HD27" s="385">
        <f t="shared" si="62"/>
        <v>0</v>
      </c>
      <c r="HE27" s="385">
        <f t="shared" si="62"/>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c r="HN27" s="756" t="str">
        <f ca="1">IF(COUNTIF(HN$10:HN26,OFFSET(A1_原単位2024,5,HL27+2))&gt;=1,"",OFFSET(A1_原単位2024,5,HL27+2)&amp;"")</f>
        <v/>
      </c>
      <c r="HO27" s="757" t="str">
        <f t="shared" ca="1" si="49"/>
        <v/>
      </c>
      <c r="HP27" s="758" t="str">
        <f t="shared" ca="1" si="50"/>
        <v/>
      </c>
      <c r="HQ27" s="755"/>
      <c r="HR27" s="756" t="str">
        <f ca="1">IF(COUNTIF(HR$10:HR26,OFFSET(A1_原単位2024,17,HL27+2))&gt;=1,"",OFFSET(A1_原単位2024,17,HL27+2)&amp;"")</f>
        <v/>
      </c>
      <c r="HS27" s="759" t="str">
        <f t="shared" ca="1" si="51"/>
        <v/>
      </c>
      <c r="HT27" s="760" t="str">
        <f t="shared" ca="1" si="52"/>
        <v/>
      </c>
      <c r="HU27" s="755"/>
      <c r="HV27" s="756" t="str">
        <f ca="1">IF(COUNTIF(HV$10:HV26,OFFSET(A1_原単位2024,29,HL27+2))&gt;=1,"",OFFSET(A1_原単位2024,29,HL27+2)&amp;"")</f>
        <v/>
      </c>
      <c r="HW27" s="759" t="str">
        <f t="shared" ca="1" si="53"/>
        <v/>
      </c>
      <c r="HX27" s="760" t="str">
        <f t="shared" ca="1" si="54"/>
        <v/>
      </c>
      <c r="HY27" s="755"/>
      <c r="HZ27" s="756" t="str">
        <f ca="1">IF(COUNTIF(HZ$10:HZ26,OFFSET(A1_原単位2024,41,HL27+2))&gt;=1,"",OFFSET(A1_原単位2024,41,HL27+2)&amp;"")</f>
        <v/>
      </c>
      <c r="IA27" s="761" t="str">
        <f t="shared" ca="1" si="55"/>
        <v/>
      </c>
      <c r="IB27" s="762" t="str">
        <f t="shared" ca="1" si="56"/>
        <v/>
      </c>
      <c r="IE27" s="244" t="str">
        <f t="shared" ca="1" si="57"/>
        <v/>
      </c>
      <c r="IF27" s="244" t="str">
        <f t="shared" ca="1" si="58"/>
        <v/>
      </c>
      <c r="IG27" s="244" t="str">
        <f t="shared" ca="1" si="59"/>
        <v/>
      </c>
      <c r="IH27" s="244" t="str">
        <f t="shared" ca="1" si="60"/>
        <v/>
      </c>
    </row>
    <row r="28" spans="1:242" ht="19.8">
      <c r="A28" s="197"/>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2"/>
        <v>0</v>
      </c>
      <c r="HD28" s="385">
        <f t="shared" si="62"/>
        <v>0</v>
      </c>
      <c r="HE28" s="385">
        <f t="shared" si="62"/>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c r="HN28" s="756" t="str">
        <f ca="1">IF(COUNTIF(HN$10:HN27,OFFSET(A1_原単位2024,5,HL28+2))&gt;=1,"",OFFSET(A1_原単位2024,5,HL28+2)&amp;"")</f>
        <v/>
      </c>
      <c r="HO28" s="757" t="str">
        <f t="shared" ca="1" si="49"/>
        <v/>
      </c>
      <c r="HP28" s="758" t="str">
        <f t="shared" ca="1" si="50"/>
        <v/>
      </c>
      <c r="HQ28" s="755"/>
      <c r="HR28" s="756" t="str">
        <f ca="1">IF(COUNTIF(HR$10:HR27,OFFSET(A1_原単位2024,17,HL28+2))&gt;=1,"",OFFSET(A1_原単位2024,17,HL28+2)&amp;"")</f>
        <v/>
      </c>
      <c r="HS28" s="759" t="str">
        <f t="shared" ca="1" si="51"/>
        <v/>
      </c>
      <c r="HT28" s="760" t="str">
        <f t="shared" ca="1" si="52"/>
        <v/>
      </c>
      <c r="HU28" s="755"/>
      <c r="HV28" s="756" t="str">
        <f ca="1">IF(COUNTIF(HV$10:HV27,OFFSET(A1_原単位2024,29,HL28+2))&gt;=1,"",OFFSET(A1_原単位2024,29,HL28+2)&amp;"")</f>
        <v/>
      </c>
      <c r="HW28" s="759" t="str">
        <f t="shared" ca="1" si="53"/>
        <v/>
      </c>
      <c r="HX28" s="760" t="str">
        <f t="shared" ca="1" si="54"/>
        <v/>
      </c>
      <c r="HY28" s="755"/>
      <c r="HZ28" s="756" t="str">
        <f ca="1">IF(COUNTIF(HZ$10:HZ27,OFFSET(A1_原単位2024,41,HL28+2))&gt;=1,"",OFFSET(A1_原単位2024,41,HL28+2)&amp;"")</f>
        <v/>
      </c>
      <c r="IA28" s="761" t="str">
        <f t="shared" ca="1" si="55"/>
        <v/>
      </c>
      <c r="IB28" s="762" t="str">
        <f t="shared" ca="1" si="56"/>
        <v/>
      </c>
      <c r="IE28" s="244" t="str">
        <f t="shared" ca="1" si="57"/>
        <v/>
      </c>
      <c r="IF28" s="244" t="str">
        <f t="shared" ca="1" si="58"/>
        <v/>
      </c>
      <c r="IG28" s="244" t="str">
        <f t="shared" ca="1" si="59"/>
        <v/>
      </c>
      <c r="IH28" s="244" t="str">
        <f t="shared" ca="1" si="60"/>
        <v/>
      </c>
    </row>
    <row r="29" spans="1:242" ht="19.8">
      <c r="A29" s="197"/>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2"/>
        <v>0</v>
      </c>
      <c r="HD29" s="385">
        <f t="shared" si="62"/>
        <v>0</v>
      </c>
      <c r="HE29" s="385">
        <f t="shared" si="62"/>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c r="HN29" s="756" t="str">
        <f ca="1">IF(COUNTIF(HN$10:HN28,OFFSET(A1_原単位2024,5,HL29+2))&gt;=1,"",OFFSET(A1_原単位2024,5,HL29+2)&amp;"")</f>
        <v/>
      </c>
      <c r="HO29" s="757" t="str">
        <f t="shared" ca="1" si="49"/>
        <v/>
      </c>
      <c r="HP29" s="758" t="str">
        <f t="shared" ca="1" si="50"/>
        <v/>
      </c>
      <c r="HQ29" s="755"/>
      <c r="HR29" s="756" t="str">
        <f ca="1">IF(COUNTIF(HR$10:HR28,OFFSET(A1_原単位2024,17,HL29+2))&gt;=1,"",OFFSET(A1_原単位2024,17,HL29+2)&amp;"")</f>
        <v/>
      </c>
      <c r="HS29" s="759" t="str">
        <f t="shared" ca="1" si="51"/>
        <v/>
      </c>
      <c r="HT29" s="760" t="str">
        <f t="shared" ca="1" si="52"/>
        <v/>
      </c>
      <c r="HU29" s="755"/>
      <c r="HV29" s="756" t="str">
        <f ca="1">IF(COUNTIF(HV$10:HV28,OFFSET(A1_原単位2024,29,HL29+2))&gt;=1,"",OFFSET(A1_原単位2024,29,HL29+2)&amp;"")</f>
        <v/>
      </c>
      <c r="HW29" s="759" t="str">
        <f t="shared" ca="1" si="53"/>
        <v/>
      </c>
      <c r="HX29" s="760" t="str">
        <f t="shared" ca="1" si="54"/>
        <v/>
      </c>
      <c r="HY29" s="755"/>
      <c r="HZ29" s="756" t="str">
        <f ca="1">IF(COUNTIF(HZ$10:HZ28,OFFSET(A1_原単位2024,41,HL29+2))&gt;=1,"",OFFSET(A1_原単位2024,41,HL29+2)&amp;"")</f>
        <v/>
      </c>
      <c r="IA29" s="761" t="str">
        <f t="shared" ca="1" si="55"/>
        <v/>
      </c>
      <c r="IB29" s="762" t="str">
        <f t="shared" ca="1" si="56"/>
        <v/>
      </c>
      <c r="IE29" s="244" t="str">
        <f t="shared" ca="1" si="57"/>
        <v/>
      </c>
      <c r="IF29" s="244" t="str">
        <f t="shared" ca="1" si="58"/>
        <v/>
      </c>
      <c r="IG29" s="244" t="str">
        <f t="shared" ca="1" si="59"/>
        <v/>
      </c>
      <c r="IH29" s="244" t="str">
        <f t="shared" ca="1" si="60"/>
        <v/>
      </c>
    </row>
    <row r="30" spans="1:242" ht="19.8">
      <c r="A30" s="197"/>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2"/>
        <v>0</v>
      </c>
      <c r="HD30" s="385">
        <f t="shared" si="62"/>
        <v>0</v>
      </c>
      <c r="HE30" s="385">
        <f t="shared" si="62"/>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c r="HN30" s="756" t="str">
        <f ca="1">IF(COUNTIF(HN$10:HN29,OFFSET(A1_原単位2024,5,HL30+2))&gt;=1,"",OFFSET(A1_原単位2024,5,HL30+2)&amp;"")</f>
        <v/>
      </c>
      <c r="HO30" s="757" t="str">
        <f t="shared" ca="1" si="49"/>
        <v/>
      </c>
      <c r="HP30" s="758" t="str">
        <f t="shared" ca="1" si="50"/>
        <v/>
      </c>
      <c r="HQ30" s="755"/>
      <c r="HR30" s="756" t="str">
        <f ca="1">IF(COUNTIF(HR$10:HR29,OFFSET(A1_原単位2024,17,HL30+2))&gt;=1,"",OFFSET(A1_原単位2024,17,HL30+2)&amp;"")</f>
        <v/>
      </c>
      <c r="HS30" s="759" t="str">
        <f t="shared" ca="1" si="51"/>
        <v/>
      </c>
      <c r="HT30" s="760" t="str">
        <f t="shared" ca="1" si="52"/>
        <v/>
      </c>
      <c r="HU30" s="755"/>
      <c r="HV30" s="756" t="str">
        <f ca="1">IF(COUNTIF(HV$10:HV29,OFFSET(A1_原単位2024,29,HL30+2))&gt;=1,"",OFFSET(A1_原単位2024,29,HL30+2)&amp;"")</f>
        <v/>
      </c>
      <c r="HW30" s="759" t="str">
        <f t="shared" ca="1" si="53"/>
        <v/>
      </c>
      <c r="HX30" s="760" t="str">
        <f t="shared" ca="1" si="54"/>
        <v/>
      </c>
      <c r="HY30" s="755"/>
      <c r="HZ30" s="756" t="str">
        <f ca="1">IF(COUNTIF(HZ$10:HZ29,OFFSET(A1_原単位2024,41,HL30+2))&gt;=1,"",OFFSET(A1_原単位2024,41,HL30+2)&amp;"")</f>
        <v/>
      </c>
      <c r="IA30" s="761" t="str">
        <f t="shared" ca="1" si="55"/>
        <v/>
      </c>
      <c r="IB30" s="762" t="str">
        <f t="shared" ca="1" si="56"/>
        <v/>
      </c>
      <c r="IE30" s="244" t="str">
        <f t="shared" ca="1" si="57"/>
        <v/>
      </c>
      <c r="IF30" s="244" t="str">
        <f t="shared" ca="1" si="58"/>
        <v/>
      </c>
      <c r="IG30" s="244" t="str">
        <f t="shared" ca="1" si="59"/>
        <v/>
      </c>
      <c r="IH30" s="244" t="str">
        <f t="shared" ca="1" si="60"/>
        <v/>
      </c>
    </row>
    <row r="31" spans="1:242" ht="19.8">
      <c r="A31" s="197"/>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2"/>
        <v>0</v>
      </c>
      <c r="HD31" s="385">
        <f t="shared" si="62"/>
        <v>0</v>
      </c>
      <c r="HE31" s="385">
        <f t="shared" si="62"/>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c r="HN31" s="756" t="str">
        <f ca="1">IF(COUNTIF(HN$10:HN30,OFFSET(A1_原単位2024,5,HL31+2))&gt;=1,"",OFFSET(A1_原単位2024,5,HL31+2)&amp;"")</f>
        <v/>
      </c>
      <c r="HO31" s="757" t="str">
        <f t="shared" ca="1" si="49"/>
        <v/>
      </c>
      <c r="HP31" s="758" t="str">
        <f t="shared" ca="1" si="50"/>
        <v/>
      </c>
      <c r="HQ31" s="755"/>
      <c r="HR31" s="756" t="str">
        <f ca="1">IF(COUNTIF(HR$10:HR30,OFFSET(A1_原単位2024,17,HL31+2))&gt;=1,"",OFFSET(A1_原単位2024,17,HL31+2)&amp;"")</f>
        <v/>
      </c>
      <c r="HS31" s="759" t="str">
        <f t="shared" ca="1" si="51"/>
        <v/>
      </c>
      <c r="HT31" s="760" t="str">
        <f t="shared" ca="1" si="52"/>
        <v/>
      </c>
      <c r="HU31" s="755"/>
      <c r="HV31" s="756" t="str">
        <f ca="1">IF(COUNTIF(HV$10:HV30,OFFSET(A1_原単位2024,29,HL31+2))&gt;=1,"",OFFSET(A1_原単位2024,29,HL31+2)&amp;"")</f>
        <v/>
      </c>
      <c r="HW31" s="759" t="str">
        <f t="shared" ca="1" si="53"/>
        <v/>
      </c>
      <c r="HX31" s="760" t="str">
        <f t="shared" ca="1" si="54"/>
        <v/>
      </c>
      <c r="HY31" s="755"/>
      <c r="HZ31" s="756" t="str">
        <f ca="1">IF(COUNTIF(HZ$10:HZ30,OFFSET(A1_原単位2024,41,HL31+2))&gt;=1,"",OFFSET(A1_原単位2024,41,HL31+2)&amp;"")</f>
        <v/>
      </c>
      <c r="IA31" s="761" t="str">
        <f t="shared" ca="1" si="55"/>
        <v/>
      </c>
      <c r="IB31" s="762" t="str">
        <f t="shared" ca="1" si="56"/>
        <v/>
      </c>
      <c r="IE31" s="244" t="str">
        <f t="shared" ca="1" si="57"/>
        <v/>
      </c>
      <c r="IF31" s="244" t="str">
        <f t="shared" ca="1" si="58"/>
        <v/>
      </c>
      <c r="IG31" s="244" t="str">
        <f t="shared" ca="1" si="59"/>
        <v/>
      </c>
      <c r="IH31" s="244" t="str">
        <f t="shared" ca="1" si="60"/>
        <v/>
      </c>
    </row>
    <row r="32" spans="1:242" ht="19.8">
      <c r="A32" s="197"/>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2"/>
        <v>0</v>
      </c>
      <c r="HD32" s="385">
        <f t="shared" si="62"/>
        <v>0</v>
      </c>
      <c r="HE32" s="385">
        <f t="shared" si="62"/>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c r="HN32" s="756" t="str">
        <f ca="1">IF(COUNTIF(HN$10:HN31,OFFSET(A1_原単位2024,5,HL32+2))&gt;=1,"",OFFSET(A1_原単位2024,5,HL32+2)&amp;"")</f>
        <v/>
      </c>
      <c r="HO32" s="757" t="str">
        <f t="shared" ca="1" si="49"/>
        <v/>
      </c>
      <c r="HP32" s="758" t="str">
        <f t="shared" ca="1" si="50"/>
        <v/>
      </c>
      <c r="HQ32" s="755"/>
      <c r="HR32" s="756" t="str">
        <f ca="1">IF(COUNTIF(HR$10:HR31,OFFSET(A1_原単位2024,17,HL32+2))&gt;=1,"",OFFSET(A1_原単位2024,17,HL32+2)&amp;"")</f>
        <v/>
      </c>
      <c r="HS32" s="759" t="str">
        <f t="shared" ca="1" si="51"/>
        <v/>
      </c>
      <c r="HT32" s="760" t="str">
        <f t="shared" ca="1" si="52"/>
        <v/>
      </c>
      <c r="HU32" s="755"/>
      <c r="HV32" s="756" t="str">
        <f ca="1">IF(COUNTIF(HV$10:HV31,OFFSET(A1_原単位2024,29,HL32+2))&gt;=1,"",OFFSET(A1_原単位2024,29,HL32+2)&amp;"")</f>
        <v/>
      </c>
      <c r="HW32" s="759" t="str">
        <f t="shared" ca="1" si="53"/>
        <v/>
      </c>
      <c r="HX32" s="760" t="str">
        <f t="shared" ca="1" si="54"/>
        <v/>
      </c>
      <c r="HY32" s="755"/>
      <c r="HZ32" s="756" t="str">
        <f ca="1">IF(COUNTIF(HZ$10:HZ31,OFFSET(A1_原単位2024,41,HL32+2))&gt;=1,"",OFFSET(A1_原単位2024,41,HL32+2)&amp;"")</f>
        <v/>
      </c>
      <c r="IA32" s="761" t="str">
        <f t="shared" ca="1" si="55"/>
        <v/>
      </c>
      <c r="IB32" s="762" t="str">
        <f t="shared" ca="1" si="56"/>
        <v/>
      </c>
      <c r="IE32" s="244" t="str">
        <f t="shared" ca="1" si="57"/>
        <v/>
      </c>
      <c r="IF32" s="244" t="str">
        <f t="shared" ca="1" si="58"/>
        <v/>
      </c>
      <c r="IG32" s="244" t="str">
        <f t="shared" ca="1" si="59"/>
        <v/>
      </c>
      <c r="IH32" s="244" t="str">
        <f t="shared" ca="1" si="60"/>
        <v/>
      </c>
    </row>
    <row r="33" spans="1:242" ht="19.8">
      <c r="A33" s="197"/>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2"/>
        <v>0</v>
      </c>
      <c r="HD33" s="385">
        <f t="shared" si="62"/>
        <v>0</v>
      </c>
      <c r="HE33" s="385">
        <f t="shared" si="62"/>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c r="HN33" s="756" t="str">
        <f ca="1">IF(COUNTIF(HN$10:HN32,OFFSET(A1_原単位2024,5,HL33+2))&gt;=1,"",OFFSET(A1_原単位2024,5,HL33+2)&amp;"")</f>
        <v/>
      </c>
      <c r="HO33" s="757" t="str">
        <f t="shared" ca="1" si="49"/>
        <v/>
      </c>
      <c r="HP33" s="758" t="str">
        <f t="shared" ca="1" si="50"/>
        <v/>
      </c>
      <c r="HQ33" s="755"/>
      <c r="HR33" s="756" t="str">
        <f ca="1">IF(COUNTIF(HR$10:HR32,OFFSET(A1_原単位2024,17,HL33+2))&gt;=1,"",OFFSET(A1_原単位2024,17,HL33+2)&amp;"")</f>
        <v/>
      </c>
      <c r="HS33" s="759" t="str">
        <f t="shared" ca="1" si="51"/>
        <v/>
      </c>
      <c r="HT33" s="760" t="str">
        <f t="shared" ca="1" si="52"/>
        <v/>
      </c>
      <c r="HU33" s="755"/>
      <c r="HV33" s="756" t="str">
        <f ca="1">IF(COUNTIF(HV$10:HV32,OFFSET(A1_原単位2024,29,HL33+2))&gt;=1,"",OFFSET(A1_原単位2024,29,HL33+2)&amp;"")</f>
        <v/>
      </c>
      <c r="HW33" s="759" t="str">
        <f t="shared" ca="1" si="53"/>
        <v/>
      </c>
      <c r="HX33" s="760" t="str">
        <f t="shared" ca="1" si="54"/>
        <v/>
      </c>
      <c r="HY33" s="755"/>
      <c r="HZ33" s="756" t="str">
        <f ca="1">IF(COUNTIF(HZ$10:HZ32,OFFSET(A1_原単位2024,41,HL33+2))&gt;=1,"",OFFSET(A1_原単位2024,41,HL33+2)&amp;"")</f>
        <v/>
      </c>
      <c r="IA33" s="761" t="str">
        <f t="shared" ca="1" si="55"/>
        <v/>
      </c>
      <c r="IB33" s="762" t="str">
        <f t="shared" ca="1" si="56"/>
        <v/>
      </c>
      <c r="IE33" s="244" t="str">
        <f t="shared" ca="1" si="57"/>
        <v/>
      </c>
      <c r="IF33" s="244" t="str">
        <f t="shared" ca="1" si="58"/>
        <v/>
      </c>
      <c r="IG33" s="244" t="str">
        <f t="shared" ca="1" si="59"/>
        <v/>
      </c>
      <c r="IH33" s="244" t="str">
        <f t="shared" ca="1" si="60"/>
        <v/>
      </c>
    </row>
    <row r="34" spans="1:242" ht="19.8">
      <c r="A34" s="197"/>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2"/>
        <v>0</v>
      </c>
      <c r="HD34" s="385">
        <f t="shared" si="62"/>
        <v>0</v>
      </c>
      <c r="HE34" s="385">
        <f t="shared" si="62"/>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c r="HN34" s="756" t="str">
        <f ca="1">IF(COUNTIF(HN$10:HN33,OFFSET(A1_原単位2024,5,HL34+2))&gt;=1,"",OFFSET(A1_原単位2024,5,HL34+2)&amp;"")</f>
        <v/>
      </c>
      <c r="HO34" s="757" t="str">
        <f t="shared" ca="1" si="49"/>
        <v/>
      </c>
      <c r="HP34" s="758" t="str">
        <f t="shared" ca="1" si="50"/>
        <v/>
      </c>
      <c r="HQ34" s="755"/>
      <c r="HR34" s="756" t="str">
        <f ca="1">IF(COUNTIF(HR$10:HR33,OFFSET(A1_原単位2024,17,HL34+2))&gt;=1,"",OFFSET(A1_原単位2024,17,HL34+2)&amp;"")</f>
        <v/>
      </c>
      <c r="HS34" s="759" t="str">
        <f t="shared" ca="1" si="51"/>
        <v/>
      </c>
      <c r="HT34" s="760" t="str">
        <f t="shared" ca="1" si="52"/>
        <v/>
      </c>
      <c r="HU34" s="755"/>
      <c r="HV34" s="756" t="str">
        <f ca="1">IF(COUNTIF(HV$10:HV33,OFFSET(A1_原単位2024,29,HL34+2))&gt;=1,"",OFFSET(A1_原単位2024,29,HL34+2)&amp;"")</f>
        <v/>
      </c>
      <c r="HW34" s="759" t="str">
        <f t="shared" ca="1" si="53"/>
        <v/>
      </c>
      <c r="HX34" s="760" t="str">
        <f t="shared" ca="1" si="54"/>
        <v/>
      </c>
      <c r="HY34" s="755"/>
      <c r="HZ34" s="756" t="str">
        <f ca="1">IF(COUNTIF(HZ$10:HZ33,OFFSET(A1_原単位2024,41,HL34+2))&gt;=1,"",OFFSET(A1_原単位2024,41,HL34+2)&amp;"")</f>
        <v/>
      </c>
      <c r="IA34" s="761" t="str">
        <f t="shared" ca="1" si="55"/>
        <v/>
      </c>
      <c r="IB34" s="762" t="str">
        <f t="shared" ca="1" si="56"/>
        <v/>
      </c>
      <c r="IE34" s="244" t="str">
        <f t="shared" ca="1" si="57"/>
        <v/>
      </c>
      <c r="IF34" s="244" t="str">
        <f t="shared" ca="1" si="58"/>
        <v/>
      </c>
      <c r="IG34" s="244" t="str">
        <f t="shared" ca="1" si="59"/>
        <v/>
      </c>
      <c r="IH34" s="244" t="str">
        <f t="shared" ca="1" si="60"/>
        <v/>
      </c>
    </row>
    <row r="35" spans="1:242" ht="19.8">
      <c r="A35" s="197"/>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2"/>
        <v>0</v>
      </c>
      <c r="HD35" s="385">
        <f t="shared" si="62"/>
        <v>0</v>
      </c>
      <c r="HE35" s="385">
        <f t="shared" si="62"/>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c r="HN35" s="756" t="str">
        <f ca="1">IF(COUNTIF(HN$10:HN34,OFFSET(A1_原単位2024,5,HL35+2))&gt;=1,"",OFFSET(A1_原単位2024,5,HL35+2)&amp;"")</f>
        <v/>
      </c>
      <c r="HO35" s="757" t="str">
        <f t="shared" ca="1" si="49"/>
        <v/>
      </c>
      <c r="HP35" s="758" t="str">
        <f t="shared" ca="1" si="50"/>
        <v/>
      </c>
      <c r="HQ35" s="755"/>
      <c r="HR35" s="756" t="str">
        <f ca="1">IF(COUNTIF(HR$10:HR34,OFFSET(A1_原単位2024,17,HL35+2))&gt;=1,"",OFFSET(A1_原単位2024,17,HL35+2)&amp;"")</f>
        <v/>
      </c>
      <c r="HS35" s="759" t="str">
        <f t="shared" ca="1" si="51"/>
        <v/>
      </c>
      <c r="HT35" s="760" t="str">
        <f t="shared" ca="1" si="52"/>
        <v/>
      </c>
      <c r="HU35" s="755"/>
      <c r="HV35" s="756" t="str">
        <f ca="1">IF(COUNTIF(HV$10:HV34,OFFSET(A1_原単位2024,29,HL35+2))&gt;=1,"",OFFSET(A1_原単位2024,29,HL35+2)&amp;"")</f>
        <v/>
      </c>
      <c r="HW35" s="759" t="str">
        <f t="shared" ca="1" si="53"/>
        <v/>
      </c>
      <c r="HX35" s="760" t="str">
        <f t="shared" ca="1" si="54"/>
        <v/>
      </c>
      <c r="HY35" s="755"/>
      <c r="HZ35" s="756" t="str">
        <f ca="1">IF(COUNTIF(HZ$10:HZ34,OFFSET(A1_原単位2024,41,HL35+2))&gt;=1,"",OFFSET(A1_原単位2024,41,HL35+2)&amp;"")</f>
        <v/>
      </c>
      <c r="IA35" s="761" t="str">
        <f t="shared" ca="1" si="55"/>
        <v/>
      </c>
      <c r="IB35" s="762" t="str">
        <f t="shared" ca="1" si="56"/>
        <v/>
      </c>
      <c r="IE35" s="244" t="str">
        <f t="shared" ca="1" si="57"/>
        <v/>
      </c>
      <c r="IF35" s="244" t="str">
        <f t="shared" ca="1" si="58"/>
        <v/>
      </c>
      <c r="IG35" s="244" t="str">
        <f t="shared" ca="1" si="59"/>
        <v/>
      </c>
      <c r="IH35" s="244" t="str">
        <f t="shared" ca="1" si="60"/>
        <v/>
      </c>
    </row>
    <row r="36" spans="1:242" ht="19.8">
      <c r="A36" s="197"/>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2"/>
        <v>0</v>
      </c>
      <c r="HD36" s="385">
        <f t="shared" si="62"/>
        <v>0</v>
      </c>
      <c r="HE36" s="385">
        <f t="shared" si="62"/>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c r="HN36" s="756" t="str">
        <f ca="1">IF(COUNTIF(HN$10:HN35,OFFSET(A1_原単位2024,5,HL36+2))&gt;=1,"",OFFSET(A1_原単位2024,5,HL36+2)&amp;"")</f>
        <v/>
      </c>
      <c r="HO36" s="757" t="str">
        <f t="shared" ca="1" si="49"/>
        <v/>
      </c>
      <c r="HP36" s="758" t="str">
        <f t="shared" ca="1" si="50"/>
        <v/>
      </c>
      <c r="HQ36" s="755"/>
      <c r="HR36" s="756" t="str">
        <f ca="1">IF(COUNTIF(HR$10:HR35,OFFSET(A1_原単位2024,17,HL36+2))&gt;=1,"",OFFSET(A1_原単位2024,17,HL36+2)&amp;"")</f>
        <v/>
      </c>
      <c r="HS36" s="759" t="str">
        <f t="shared" ca="1" si="51"/>
        <v/>
      </c>
      <c r="HT36" s="760" t="str">
        <f t="shared" ca="1" si="52"/>
        <v/>
      </c>
      <c r="HU36" s="755"/>
      <c r="HV36" s="756" t="str">
        <f ca="1">IF(COUNTIF(HV$10:HV35,OFFSET(A1_原単位2024,29,HL36+2))&gt;=1,"",OFFSET(A1_原単位2024,29,HL36+2)&amp;"")</f>
        <v/>
      </c>
      <c r="HW36" s="759" t="str">
        <f t="shared" ca="1" si="53"/>
        <v/>
      </c>
      <c r="HX36" s="760" t="str">
        <f t="shared" ca="1" si="54"/>
        <v/>
      </c>
      <c r="HY36" s="755"/>
      <c r="HZ36" s="756" t="str">
        <f ca="1">IF(COUNTIF(HZ$10:HZ35,OFFSET(A1_原単位2024,41,HL36+2))&gt;=1,"",OFFSET(A1_原単位2024,41,HL36+2)&amp;"")</f>
        <v/>
      </c>
      <c r="IA36" s="761" t="str">
        <f t="shared" ca="1" si="55"/>
        <v/>
      </c>
      <c r="IB36" s="762" t="str">
        <f t="shared" ca="1" si="56"/>
        <v/>
      </c>
      <c r="IE36" s="244" t="str">
        <f t="shared" ca="1" si="57"/>
        <v/>
      </c>
      <c r="IF36" s="244" t="str">
        <f t="shared" ca="1" si="58"/>
        <v/>
      </c>
      <c r="IG36" s="244" t="str">
        <f t="shared" ca="1" si="59"/>
        <v/>
      </c>
      <c r="IH36" s="244" t="str">
        <f t="shared" ca="1" si="60"/>
        <v/>
      </c>
    </row>
    <row r="37" spans="1:242" ht="19.8">
      <c r="A37" s="197"/>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2"/>
        <v>0</v>
      </c>
      <c r="HD37" s="385">
        <f t="shared" si="62"/>
        <v>0</v>
      </c>
      <c r="HE37" s="385">
        <f t="shared" si="62"/>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c r="HN37" s="756" t="str">
        <f ca="1">IF(COUNTIF(HN$10:HN36,OFFSET(A1_原単位2024,5,HL37+2))&gt;=1,"",OFFSET(A1_原単位2024,5,HL37+2)&amp;"")</f>
        <v/>
      </c>
      <c r="HO37" s="757" t="str">
        <f t="shared" ca="1" si="49"/>
        <v/>
      </c>
      <c r="HP37" s="758" t="str">
        <f t="shared" ca="1" si="50"/>
        <v/>
      </c>
      <c r="HQ37" s="755"/>
      <c r="HR37" s="756" t="str">
        <f ca="1">IF(COUNTIF(HR$10:HR36,OFFSET(A1_原単位2024,17,HL37+2))&gt;=1,"",OFFSET(A1_原単位2024,17,HL37+2)&amp;"")</f>
        <v/>
      </c>
      <c r="HS37" s="759" t="str">
        <f t="shared" ca="1" si="51"/>
        <v/>
      </c>
      <c r="HT37" s="760" t="str">
        <f t="shared" ca="1" si="52"/>
        <v/>
      </c>
      <c r="HU37" s="755"/>
      <c r="HV37" s="756" t="str">
        <f ca="1">IF(COUNTIF(HV$10:HV36,OFFSET(A1_原単位2024,29,HL37+2))&gt;=1,"",OFFSET(A1_原単位2024,29,HL37+2)&amp;"")</f>
        <v/>
      </c>
      <c r="HW37" s="759" t="str">
        <f t="shared" ca="1" si="53"/>
        <v/>
      </c>
      <c r="HX37" s="760" t="str">
        <f t="shared" ca="1" si="54"/>
        <v/>
      </c>
      <c r="HY37" s="755"/>
      <c r="HZ37" s="756" t="str">
        <f ca="1">IF(COUNTIF(HZ$10:HZ36,OFFSET(A1_原単位2024,41,HL37+2))&gt;=1,"",OFFSET(A1_原単位2024,41,HL37+2)&amp;"")</f>
        <v/>
      </c>
      <c r="IA37" s="761" t="str">
        <f t="shared" ca="1" si="55"/>
        <v/>
      </c>
      <c r="IB37" s="762" t="str">
        <f t="shared" ca="1" si="56"/>
        <v/>
      </c>
      <c r="IE37" s="244" t="str">
        <f t="shared" ca="1" si="57"/>
        <v/>
      </c>
      <c r="IF37" s="244" t="str">
        <f t="shared" ca="1" si="58"/>
        <v/>
      </c>
      <c r="IG37" s="244" t="str">
        <f t="shared" ca="1" si="59"/>
        <v/>
      </c>
      <c r="IH37" s="244" t="str">
        <f t="shared" ca="1" si="60"/>
        <v/>
      </c>
    </row>
    <row r="38" spans="1:242" ht="19.8">
      <c r="A38" s="197"/>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2"/>
        <v>0</v>
      </c>
      <c r="HD38" s="385">
        <f t="shared" si="62"/>
        <v>0</v>
      </c>
      <c r="HE38" s="385">
        <f t="shared" si="62"/>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c r="HN38" s="756" t="str">
        <f ca="1">IF(COUNTIF(HN$10:HN37,OFFSET(A1_原単位2024,5,HL38+2))&gt;=1,"",OFFSET(A1_原単位2024,5,HL38+2)&amp;"")</f>
        <v/>
      </c>
      <c r="HO38" s="757" t="str">
        <f t="shared" ca="1" si="49"/>
        <v/>
      </c>
      <c r="HP38" s="758" t="str">
        <f t="shared" ca="1" si="50"/>
        <v/>
      </c>
      <c r="HQ38" s="755"/>
      <c r="HR38" s="756" t="str">
        <f ca="1">IF(COUNTIF(HR$10:HR37,OFFSET(A1_原単位2024,17,HL38+2))&gt;=1,"",OFFSET(A1_原単位2024,17,HL38+2)&amp;"")</f>
        <v/>
      </c>
      <c r="HS38" s="759" t="str">
        <f t="shared" ca="1" si="51"/>
        <v/>
      </c>
      <c r="HT38" s="760" t="str">
        <f t="shared" ca="1" si="52"/>
        <v/>
      </c>
      <c r="HU38" s="755"/>
      <c r="HV38" s="756" t="str">
        <f ca="1">IF(COUNTIF(HV$10:HV37,OFFSET(A1_原単位2024,29,HL38+2))&gt;=1,"",OFFSET(A1_原単位2024,29,HL38+2)&amp;"")</f>
        <v/>
      </c>
      <c r="HW38" s="759" t="str">
        <f t="shared" ca="1" si="53"/>
        <v/>
      </c>
      <c r="HX38" s="760" t="str">
        <f t="shared" ca="1" si="54"/>
        <v/>
      </c>
      <c r="HY38" s="755"/>
      <c r="HZ38" s="756" t="str">
        <f ca="1">IF(COUNTIF(HZ$10:HZ37,OFFSET(A1_原単位2024,41,HL38+2))&gt;=1,"",OFFSET(A1_原単位2024,41,HL38+2)&amp;"")</f>
        <v/>
      </c>
      <c r="IA38" s="761" t="str">
        <f t="shared" ca="1" si="55"/>
        <v/>
      </c>
      <c r="IB38" s="762" t="str">
        <f t="shared" ca="1" si="56"/>
        <v/>
      </c>
      <c r="IE38" s="244" t="str">
        <f t="shared" ca="1" si="57"/>
        <v/>
      </c>
      <c r="IF38" s="244" t="str">
        <f t="shared" ca="1" si="58"/>
        <v/>
      </c>
      <c r="IG38" s="244" t="str">
        <f t="shared" ca="1" si="59"/>
        <v/>
      </c>
      <c r="IH38" s="244" t="str">
        <f t="shared" ca="1" si="60"/>
        <v/>
      </c>
    </row>
    <row r="39" spans="1:242" ht="19.8">
      <c r="A39" s="197"/>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2"/>
        <v>0</v>
      </c>
      <c r="HD39" s="385">
        <f t="shared" si="62"/>
        <v>0</v>
      </c>
      <c r="HE39" s="385">
        <f t="shared" si="62"/>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c r="HN39" s="756" t="str">
        <f ca="1">IF(COUNTIF(HN$10:HN38,OFFSET(A1_原単位2024,5,HL39+2))&gt;=1,"",OFFSET(A1_原単位2024,5,HL39+2)&amp;"")</f>
        <v/>
      </c>
      <c r="HO39" s="757" t="str">
        <f t="shared" ca="1" si="49"/>
        <v/>
      </c>
      <c r="HP39" s="758" t="str">
        <f t="shared" ca="1" si="50"/>
        <v/>
      </c>
      <c r="HQ39" s="755"/>
      <c r="HR39" s="756" t="str">
        <f ca="1">IF(COUNTIF(HR$10:HR38,OFFSET(A1_原単位2024,17,HL39+2))&gt;=1,"",OFFSET(A1_原単位2024,17,HL39+2)&amp;"")</f>
        <v/>
      </c>
      <c r="HS39" s="759" t="str">
        <f t="shared" ca="1" si="51"/>
        <v/>
      </c>
      <c r="HT39" s="760" t="str">
        <f t="shared" ca="1" si="52"/>
        <v/>
      </c>
      <c r="HU39" s="755"/>
      <c r="HV39" s="756" t="str">
        <f ca="1">IF(COUNTIF(HV$10:HV38,OFFSET(A1_原単位2024,29,HL39+2))&gt;=1,"",OFFSET(A1_原単位2024,29,HL39+2)&amp;"")</f>
        <v/>
      </c>
      <c r="HW39" s="759" t="str">
        <f t="shared" ca="1" si="53"/>
        <v/>
      </c>
      <c r="HX39" s="760" t="str">
        <f t="shared" ca="1" si="54"/>
        <v/>
      </c>
      <c r="HY39" s="755"/>
      <c r="HZ39" s="756" t="str">
        <f ca="1">IF(COUNTIF(HZ$10:HZ38,OFFSET(A1_原単位2024,41,HL39+2))&gt;=1,"",OFFSET(A1_原単位2024,41,HL39+2)&amp;"")</f>
        <v/>
      </c>
      <c r="IA39" s="761" t="str">
        <f t="shared" ca="1" si="55"/>
        <v/>
      </c>
      <c r="IB39" s="762" t="str">
        <f t="shared" ca="1" si="56"/>
        <v/>
      </c>
      <c r="IE39" s="244" t="str">
        <f t="shared" ca="1" si="57"/>
        <v/>
      </c>
      <c r="IF39" s="244" t="str">
        <f t="shared" ca="1" si="58"/>
        <v/>
      </c>
      <c r="IG39" s="244" t="str">
        <f t="shared" ca="1" si="59"/>
        <v/>
      </c>
      <c r="IH39" s="244" t="str">
        <f t="shared" ca="1" si="60"/>
        <v/>
      </c>
    </row>
    <row r="40" spans="1:242" ht="19.8">
      <c r="A40" s="197"/>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2"/>
        <v>0</v>
      </c>
      <c r="HD40" s="385">
        <f t="shared" si="62"/>
        <v>0</v>
      </c>
      <c r="HE40" s="385">
        <f t="shared" si="62"/>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c r="HN40" s="756" t="str">
        <f ca="1">IF(COUNTIF(HN$10:HN39,OFFSET(A1_原単位2024,5,HL40+2))&gt;=1,"",OFFSET(A1_原単位2024,5,HL40+2)&amp;"")</f>
        <v/>
      </c>
      <c r="HO40" s="757" t="str">
        <f t="shared" ca="1" si="49"/>
        <v/>
      </c>
      <c r="HP40" s="758" t="str">
        <f t="shared" ca="1" si="50"/>
        <v/>
      </c>
      <c r="HQ40" s="755"/>
      <c r="HR40" s="756" t="str">
        <f ca="1">IF(COUNTIF(HR$10:HR39,OFFSET(A1_原単位2024,17,HL40+2))&gt;=1,"",OFFSET(A1_原単位2024,17,HL40+2)&amp;"")</f>
        <v/>
      </c>
      <c r="HS40" s="759" t="str">
        <f t="shared" ca="1" si="51"/>
        <v/>
      </c>
      <c r="HT40" s="760" t="str">
        <f t="shared" ca="1" si="52"/>
        <v/>
      </c>
      <c r="HU40" s="755"/>
      <c r="HV40" s="756" t="str">
        <f ca="1">IF(COUNTIF(HV$10:HV39,OFFSET(A1_原単位2024,29,HL40+2))&gt;=1,"",OFFSET(A1_原単位2024,29,HL40+2)&amp;"")</f>
        <v/>
      </c>
      <c r="HW40" s="759" t="str">
        <f t="shared" ca="1" si="53"/>
        <v/>
      </c>
      <c r="HX40" s="760" t="str">
        <f t="shared" ca="1" si="54"/>
        <v/>
      </c>
      <c r="HY40" s="755"/>
      <c r="HZ40" s="756" t="str">
        <f ca="1">IF(COUNTIF(HZ$10:HZ39,OFFSET(A1_原単位2024,41,HL40+2))&gt;=1,"",OFFSET(A1_原単位2024,41,HL40+2)&amp;"")</f>
        <v/>
      </c>
      <c r="IA40" s="761" t="str">
        <f t="shared" ca="1" si="55"/>
        <v/>
      </c>
      <c r="IB40" s="762" t="str">
        <f t="shared" ca="1" si="56"/>
        <v/>
      </c>
      <c r="IE40" s="244" t="str">
        <f t="shared" ca="1" si="57"/>
        <v/>
      </c>
      <c r="IF40" s="244" t="str">
        <f t="shared" ca="1" si="58"/>
        <v/>
      </c>
      <c r="IG40" s="244" t="str">
        <f t="shared" ca="1" si="59"/>
        <v/>
      </c>
      <c r="IH40" s="244" t="str">
        <f t="shared" ca="1" si="60"/>
        <v/>
      </c>
    </row>
    <row r="41" spans="1:242" ht="19.8">
      <c r="A41" s="197"/>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2"/>
        <v>0</v>
      </c>
      <c r="HD41" s="385">
        <f t="shared" si="62"/>
        <v>0</v>
      </c>
      <c r="HE41" s="385">
        <f t="shared" si="62"/>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c r="HN41" s="756" t="str">
        <f ca="1">IF(COUNTIF(HN$10:HN40,OFFSET(A1_原単位2024,5,HL41+2))&gt;=1,"",OFFSET(A1_原単位2024,5,HL41+2)&amp;"")</f>
        <v/>
      </c>
      <c r="HO41" s="757" t="str">
        <f t="shared" ca="1" si="49"/>
        <v/>
      </c>
      <c r="HP41" s="758" t="str">
        <f t="shared" ca="1" si="50"/>
        <v/>
      </c>
      <c r="HQ41" s="755"/>
      <c r="HR41" s="756" t="str">
        <f ca="1">IF(COUNTIF(HR$10:HR40,OFFSET(A1_原単位2024,17,HL41+2))&gt;=1,"",OFFSET(A1_原単位2024,17,HL41+2)&amp;"")</f>
        <v/>
      </c>
      <c r="HS41" s="759" t="str">
        <f t="shared" ca="1" si="51"/>
        <v/>
      </c>
      <c r="HT41" s="760" t="str">
        <f t="shared" ca="1" si="52"/>
        <v/>
      </c>
      <c r="HU41" s="755"/>
      <c r="HV41" s="756" t="str">
        <f ca="1">IF(COUNTIF(HV$10:HV40,OFFSET(A1_原単位2024,29,HL41+2))&gt;=1,"",OFFSET(A1_原単位2024,29,HL41+2)&amp;"")</f>
        <v/>
      </c>
      <c r="HW41" s="759" t="str">
        <f t="shared" ca="1" si="53"/>
        <v/>
      </c>
      <c r="HX41" s="760" t="str">
        <f t="shared" ca="1" si="54"/>
        <v/>
      </c>
      <c r="HY41" s="755"/>
      <c r="HZ41" s="756" t="str">
        <f ca="1">IF(COUNTIF(HZ$10:HZ40,OFFSET(A1_原単位2024,41,HL41+2))&gt;=1,"",OFFSET(A1_原単位2024,41,HL41+2)&amp;"")</f>
        <v/>
      </c>
      <c r="IA41" s="761" t="str">
        <f t="shared" ca="1" si="55"/>
        <v/>
      </c>
      <c r="IB41" s="762" t="str">
        <f t="shared" ca="1" si="56"/>
        <v/>
      </c>
      <c r="IE41" s="244" t="str">
        <f t="shared" ca="1" si="57"/>
        <v/>
      </c>
      <c r="IF41" s="244" t="str">
        <f t="shared" ca="1" si="58"/>
        <v/>
      </c>
      <c r="IG41" s="244" t="str">
        <f t="shared" ca="1" si="59"/>
        <v/>
      </c>
      <c r="IH41" s="244" t="str">
        <f t="shared" ca="1" si="60"/>
        <v/>
      </c>
    </row>
    <row r="42" spans="1:242" ht="19.8">
      <c r="A42" s="197"/>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2"/>
        <v>0</v>
      </c>
      <c r="HD42" s="385">
        <f t="shared" si="62"/>
        <v>0</v>
      </c>
      <c r="HE42" s="385">
        <f t="shared" si="62"/>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c r="HN42" s="756" t="str">
        <f ca="1">IF(COUNTIF(HN$10:HN41,OFFSET(A1_原単位2024,5,HL42+2))&gt;=1,"",OFFSET(A1_原単位2024,5,HL42+2)&amp;"")</f>
        <v/>
      </c>
      <c r="HO42" s="757" t="str">
        <f t="shared" ca="1" si="49"/>
        <v/>
      </c>
      <c r="HP42" s="758" t="str">
        <f t="shared" ref="HP42:HP59" ca="1" si="63">IF(HN42="","",HYPERLINK("#"&amp;OFFSET(A1_原単位2024,66,$HL42+2),OFFSET(A1_原単位2024,62,$HL42+2)))</f>
        <v/>
      </c>
      <c r="HQ42" s="755"/>
      <c r="HR42" s="756" t="str">
        <f ca="1">IF(COUNTIF(HR$10:HR41,OFFSET(A1_原単位2024,17,HL42+2))&gt;=1,"",OFFSET(A1_原単位2024,17,HL42+2)&amp;"")</f>
        <v/>
      </c>
      <c r="HS42" s="759" t="str">
        <f t="shared" ca="1" si="51"/>
        <v/>
      </c>
      <c r="HT42" s="760" t="str">
        <f t="shared" ref="HT42:HT59" ca="1" si="64">IF(HR42="","",HYPERLINK("#"&amp;OFFSET(A1_原単位2024,67,$HL42+2),OFFSET(A1_原単位2024,63,$HL42+2)))</f>
        <v/>
      </c>
      <c r="HU42" s="755"/>
      <c r="HV42" s="756" t="str">
        <f ca="1">IF(COUNTIF(HV$10:HV41,OFFSET(A1_原単位2024,29,HL42+2))&gt;=1,"",OFFSET(A1_原単位2024,29,HL42+2)&amp;"")</f>
        <v/>
      </c>
      <c r="HW42" s="759" t="str">
        <f t="shared" ca="1" si="53"/>
        <v/>
      </c>
      <c r="HX42" s="760" t="str">
        <f t="shared" ref="HX42:HX59" ca="1" si="65">IF(HV42="","",HYPERLINK("#"&amp;OFFSET(A1_原単位2024,68,$HL42+2),OFFSET(A1_原単位2024,64,$HL42+2)))</f>
        <v/>
      </c>
      <c r="HY42" s="755"/>
      <c r="HZ42" s="756" t="str">
        <f ca="1">IF(COUNTIF(HZ$10:HZ41,OFFSET(A1_原単位2024,41,HL42+2))&gt;=1,"",OFFSET(A1_原単位2024,41,HL42+2)&amp;"")</f>
        <v/>
      </c>
      <c r="IA42" s="761" t="str">
        <f t="shared" ca="1" si="55"/>
        <v/>
      </c>
      <c r="IB42" s="762" t="str">
        <f t="shared" ref="IB42:IB59" ca="1" si="66">IF(HZ42="","",HYPERLINK("#"&amp;OFFSET(A1_原単位2024,69,$HL42+2),OFFSET(A1_原単位2024,65,$HL42+2)))</f>
        <v/>
      </c>
      <c r="IE42" s="244" t="str">
        <f t="shared" ref="IE42:IE59" ca="1" si="67">IF($HN42="","",ADDRESS(ROW(貼付け_2024実績)+5,OFFSET(A1_原単位2024,7,$HL42+2)+COLUMN(貼付け_2024実績)+1,4))</f>
        <v/>
      </c>
      <c r="IF42" s="244" t="str">
        <f t="shared" ref="IF42:IF59" ca="1" si="68">IF($HR42="","",ADDRESS(ROW(貼付け_2024実績)+5,OFFSET(A1_原単位2024,19,$HL42+2)+COLUMN(貼付け_2024実績)+1,4))</f>
        <v/>
      </c>
      <c r="IG42" s="244" t="str">
        <f t="shared" ref="IG42:IG59" ca="1" si="69">IF($HV42="","",ADDRESS(ROW(貼付け_2024実績)+5,OFFSET(A1_原単位2024,31,$HL42+2)+COLUMN(貼付け_2024実績)+1,4))</f>
        <v/>
      </c>
      <c r="IH42" s="244" t="str">
        <f t="shared" ref="IH42:IH59" ca="1" si="70">IF($HZ42="","",ADDRESS(ROW(貼付け_2024実績)+5,OFFSET(A1_原単位2024,43,$HL42+2)+COLUMN(貼付け_2024実績)+1,4))</f>
        <v/>
      </c>
    </row>
    <row r="43" spans="1:242" ht="19.8">
      <c r="A43" s="197"/>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2"/>
        <v>0</v>
      </c>
      <c r="HD43" s="385">
        <f t="shared" si="62"/>
        <v>0</v>
      </c>
      <c r="HE43" s="385">
        <f t="shared" si="62"/>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c r="HN43" s="756" t="str">
        <f ca="1">IF(COUNTIF(HN$10:HN42,OFFSET(A1_原単位2024,5,HL43+2))&gt;=1,"",OFFSET(A1_原単位2024,5,HL43+2)&amp;"")</f>
        <v/>
      </c>
      <c r="HO43" s="757" t="str">
        <f t="shared" ca="1" si="49"/>
        <v/>
      </c>
      <c r="HP43" s="758" t="str">
        <f t="shared" ca="1" si="63"/>
        <v/>
      </c>
      <c r="HQ43" s="755"/>
      <c r="HR43" s="756" t="str">
        <f ca="1">IF(COUNTIF(HR$10:HR42,OFFSET(A1_原単位2024,17,HL43+2))&gt;=1,"",OFFSET(A1_原単位2024,17,HL43+2)&amp;"")</f>
        <v/>
      </c>
      <c r="HS43" s="759" t="str">
        <f t="shared" ca="1" si="51"/>
        <v/>
      </c>
      <c r="HT43" s="760" t="str">
        <f t="shared" ca="1" si="64"/>
        <v/>
      </c>
      <c r="HU43" s="755"/>
      <c r="HV43" s="756" t="str">
        <f ca="1">IF(COUNTIF(HV$10:HV42,OFFSET(A1_原単位2024,29,HL43+2))&gt;=1,"",OFFSET(A1_原単位2024,29,HL43+2)&amp;"")</f>
        <v/>
      </c>
      <c r="HW43" s="759" t="str">
        <f t="shared" ca="1" si="53"/>
        <v/>
      </c>
      <c r="HX43" s="760" t="str">
        <f t="shared" ca="1" si="65"/>
        <v/>
      </c>
      <c r="HY43" s="755"/>
      <c r="HZ43" s="756" t="str">
        <f ca="1">IF(COUNTIF(HZ$10:HZ42,OFFSET(A1_原単位2024,41,HL43+2))&gt;=1,"",OFFSET(A1_原単位2024,41,HL43+2)&amp;"")</f>
        <v/>
      </c>
      <c r="IA43" s="761" t="str">
        <f t="shared" ca="1" si="55"/>
        <v/>
      </c>
      <c r="IB43" s="762" t="str">
        <f t="shared" ca="1" si="66"/>
        <v/>
      </c>
      <c r="IE43" s="244" t="str">
        <f t="shared" ca="1" si="67"/>
        <v/>
      </c>
      <c r="IF43" s="244" t="str">
        <f t="shared" ca="1" si="68"/>
        <v/>
      </c>
      <c r="IG43" s="244" t="str">
        <f t="shared" ca="1" si="69"/>
        <v/>
      </c>
      <c r="IH43" s="244" t="str">
        <f t="shared" ca="1" si="70"/>
        <v/>
      </c>
    </row>
    <row r="44" spans="1:242" ht="19.8">
      <c r="A44" s="197"/>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2"/>
        <v>0</v>
      </c>
      <c r="HD44" s="385">
        <f t="shared" si="62"/>
        <v>0</v>
      </c>
      <c r="HE44" s="385">
        <f t="shared" si="62"/>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c r="HN44" s="756" t="str">
        <f ca="1">IF(COUNTIF(HN$10:HN43,OFFSET(A1_原単位2024,5,HL44+2))&gt;=1,"",OFFSET(A1_原単位2024,5,HL44+2)&amp;"")</f>
        <v/>
      </c>
      <c r="HO44" s="757" t="str">
        <f t="shared" ca="1" si="49"/>
        <v/>
      </c>
      <c r="HP44" s="758" t="str">
        <f t="shared" ca="1" si="63"/>
        <v/>
      </c>
      <c r="HQ44" s="755"/>
      <c r="HR44" s="756" t="str">
        <f ca="1">IF(COUNTIF(HR$10:HR43,OFFSET(A1_原単位2024,17,HL44+2))&gt;=1,"",OFFSET(A1_原単位2024,17,HL44+2)&amp;"")</f>
        <v/>
      </c>
      <c r="HS44" s="759" t="str">
        <f t="shared" ca="1" si="51"/>
        <v/>
      </c>
      <c r="HT44" s="760" t="str">
        <f t="shared" ca="1" si="64"/>
        <v/>
      </c>
      <c r="HU44" s="755"/>
      <c r="HV44" s="756" t="str">
        <f ca="1">IF(COUNTIF(HV$10:HV43,OFFSET(A1_原単位2024,29,HL44+2))&gt;=1,"",OFFSET(A1_原単位2024,29,HL44+2)&amp;"")</f>
        <v/>
      </c>
      <c r="HW44" s="759" t="str">
        <f t="shared" ca="1" si="53"/>
        <v/>
      </c>
      <c r="HX44" s="760" t="str">
        <f t="shared" ca="1" si="65"/>
        <v/>
      </c>
      <c r="HY44" s="755"/>
      <c r="HZ44" s="756" t="str">
        <f ca="1">IF(COUNTIF(HZ$10:HZ43,OFFSET(A1_原単位2024,41,HL44+2))&gt;=1,"",OFFSET(A1_原単位2024,41,HL44+2)&amp;"")</f>
        <v/>
      </c>
      <c r="IA44" s="761" t="str">
        <f t="shared" ca="1" si="55"/>
        <v/>
      </c>
      <c r="IB44" s="762" t="str">
        <f t="shared" ca="1" si="66"/>
        <v/>
      </c>
      <c r="IE44" s="244" t="str">
        <f t="shared" ca="1" si="67"/>
        <v/>
      </c>
      <c r="IF44" s="244" t="str">
        <f t="shared" ca="1" si="68"/>
        <v/>
      </c>
      <c r="IG44" s="244" t="str">
        <f t="shared" ca="1" si="69"/>
        <v/>
      </c>
      <c r="IH44" s="244" t="str">
        <f t="shared" ca="1" si="70"/>
        <v/>
      </c>
    </row>
    <row r="45" spans="1:242" ht="19.8">
      <c r="A45" s="197"/>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2"/>
        <v>0</v>
      </c>
      <c r="HD45" s="385">
        <f t="shared" si="62"/>
        <v>0</v>
      </c>
      <c r="HE45" s="385">
        <f t="shared" si="62"/>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c r="HN45" s="756" t="str">
        <f ca="1">IF(COUNTIF(HN$10:HN44,OFFSET(A1_原単位2024,5,HL45+2))&gt;=1,"",OFFSET(A1_原単位2024,5,HL45+2)&amp;"")</f>
        <v/>
      </c>
      <c r="HO45" s="757" t="str">
        <f t="shared" ca="1" si="49"/>
        <v/>
      </c>
      <c r="HP45" s="758" t="str">
        <f t="shared" ca="1" si="63"/>
        <v/>
      </c>
      <c r="HQ45" s="755"/>
      <c r="HR45" s="756" t="str">
        <f ca="1">IF(COUNTIF(HR$10:HR44,OFFSET(A1_原単位2024,17,HL45+2))&gt;=1,"",OFFSET(A1_原単位2024,17,HL45+2)&amp;"")</f>
        <v/>
      </c>
      <c r="HS45" s="759" t="str">
        <f t="shared" ca="1" si="51"/>
        <v/>
      </c>
      <c r="HT45" s="760" t="str">
        <f t="shared" ca="1" si="64"/>
        <v/>
      </c>
      <c r="HU45" s="755"/>
      <c r="HV45" s="756" t="str">
        <f ca="1">IF(COUNTIF(HV$10:HV44,OFFSET(A1_原単位2024,29,HL45+2))&gt;=1,"",OFFSET(A1_原単位2024,29,HL45+2)&amp;"")</f>
        <v/>
      </c>
      <c r="HW45" s="759" t="str">
        <f t="shared" ca="1" si="53"/>
        <v/>
      </c>
      <c r="HX45" s="760" t="str">
        <f t="shared" ca="1" si="65"/>
        <v/>
      </c>
      <c r="HY45" s="755"/>
      <c r="HZ45" s="756" t="str">
        <f ca="1">IF(COUNTIF(HZ$10:HZ44,OFFSET(A1_原単位2024,41,HL45+2))&gt;=1,"",OFFSET(A1_原単位2024,41,HL45+2)&amp;"")</f>
        <v/>
      </c>
      <c r="IA45" s="761" t="str">
        <f t="shared" ca="1" si="55"/>
        <v/>
      </c>
      <c r="IB45" s="762" t="str">
        <f t="shared" ca="1" si="66"/>
        <v/>
      </c>
      <c r="IE45" s="244" t="str">
        <f t="shared" ca="1" si="67"/>
        <v/>
      </c>
      <c r="IF45" s="244" t="str">
        <f t="shared" ca="1" si="68"/>
        <v/>
      </c>
      <c r="IG45" s="244" t="str">
        <f t="shared" ca="1" si="69"/>
        <v/>
      </c>
      <c r="IH45" s="244" t="str">
        <f t="shared" ca="1" si="70"/>
        <v/>
      </c>
    </row>
    <row r="46" spans="1:242" ht="19.8">
      <c r="A46" s="197"/>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2"/>
        <v>0</v>
      </c>
      <c r="HD46" s="385">
        <f t="shared" si="62"/>
        <v>0</v>
      </c>
      <c r="HE46" s="385">
        <f t="shared" si="62"/>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c r="HN46" s="756" t="str">
        <f ca="1">IF(COUNTIF(HN$10:HN45,OFFSET(A1_原単位2024,5,HL46+2))&gt;=1,"",OFFSET(A1_原単位2024,5,HL46+2)&amp;"")</f>
        <v/>
      </c>
      <c r="HO46" s="757" t="str">
        <f t="shared" ca="1" si="49"/>
        <v/>
      </c>
      <c r="HP46" s="758" t="str">
        <f t="shared" ca="1" si="63"/>
        <v/>
      </c>
      <c r="HQ46" s="755"/>
      <c r="HR46" s="756" t="str">
        <f ca="1">IF(COUNTIF(HR$10:HR45,OFFSET(A1_原単位2024,17,HL46+2))&gt;=1,"",OFFSET(A1_原単位2024,17,HL46+2)&amp;"")</f>
        <v/>
      </c>
      <c r="HS46" s="759" t="str">
        <f t="shared" ca="1" si="51"/>
        <v/>
      </c>
      <c r="HT46" s="760" t="str">
        <f t="shared" ca="1" si="64"/>
        <v/>
      </c>
      <c r="HU46" s="755"/>
      <c r="HV46" s="756" t="str">
        <f ca="1">IF(COUNTIF(HV$10:HV45,OFFSET(A1_原単位2024,29,HL46+2))&gt;=1,"",OFFSET(A1_原単位2024,29,HL46+2)&amp;"")</f>
        <v/>
      </c>
      <c r="HW46" s="759" t="str">
        <f t="shared" ca="1" si="53"/>
        <v/>
      </c>
      <c r="HX46" s="760" t="str">
        <f t="shared" ca="1" si="65"/>
        <v/>
      </c>
      <c r="HY46" s="755"/>
      <c r="HZ46" s="756" t="str">
        <f ca="1">IF(COUNTIF(HZ$10:HZ45,OFFSET(A1_原単位2024,41,HL46+2))&gt;=1,"",OFFSET(A1_原単位2024,41,HL46+2)&amp;"")</f>
        <v/>
      </c>
      <c r="IA46" s="761" t="str">
        <f t="shared" ca="1" si="55"/>
        <v/>
      </c>
      <c r="IB46" s="762" t="str">
        <f t="shared" ca="1" si="66"/>
        <v/>
      </c>
      <c r="IE46" s="244" t="str">
        <f t="shared" ca="1" si="67"/>
        <v/>
      </c>
      <c r="IF46" s="244" t="str">
        <f t="shared" ca="1" si="68"/>
        <v/>
      </c>
      <c r="IG46" s="244" t="str">
        <f t="shared" ca="1" si="69"/>
        <v/>
      </c>
      <c r="IH46" s="244" t="str">
        <f t="shared" ca="1" si="70"/>
        <v/>
      </c>
    </row>
    <row r="47" spans="1:242" ht="19.8">
      <c r="A47" s="197"/>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2"/>
        <v>0</v>
      </c>
      <c r="HD47" s="385">
        <f t="shared" si="62"/>
        <v>0</v>
      </c>
      <c r="HE47" s="385">
        <f t="shared" si="62"/>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c r="HN47" s="756" t="str">
        <f ca="1">IF(COUNTIF(HN$10:HN46,OFFSET(A1_原単位2024,5,HL47+2))&gt;=1,"",OFFSET(A1_原単位2024,5,HL47+2)&amp;"")</f>
        <v/>
      </c>
      <c r="HO47" s="757" t="str">
        <f t="shared" ca="1" si="49"/>
        <v/>
      </c>
      <c r="HP47" s="758" t="str">
        <f t="shared" ca="1" si="63"/>
        <v/>
      </c>
      <c r="HQ47" s="755"/>
      <c r="HR47" s="756" t="str">
        <f ca="1">IF(COUNTIF(HR$10:HR46,OFFSET(A1_原単位2024,17,HL47+2))&gt;=1,"",OFFSET(A1_原単位2024,17,HL47+2)&amp;"")</f>
        <v/>
      </c>
      <c r="HS47" s="759" t="str">
        <f t="shared" ca="1" si="51"/>
        <v/>
      </c>
      <c r="HT47" s="760" t="str">
        <f t="shared" ca="1" si="64"/>
        <v/>
      </c>
      <c r="HU47" s="755"/>
      <c r="HV47" s="756" t="str">
        <f ca="1">IF(COUNTIF(HV$10:HV46,OFFSET(A1_原単位2024,29,HL47+2))&gt;=1,"",OFFSET(A1_原単位2024,29,HL47+2)&amp;"")</f>
        <v/>
      </c>
      <c r="HW47" s="759" t="str">
        <f t="shared" ca="1" si="53"/>
        <v/>
      </c>
      <c r="HX47" s="760" t="str">
        <f t="shared" ca="1" si="65"/>
        <v/>
      </c>
      <c r="HY47" s="755"/>
      <c r="HZ47" s="756" t="str">
        <f ca="1">IF(COUNTIF(HZ$10:HZ46,OFFSET(A1_原単位2024,41,HL47+2))&gt;=1,"",OFFSET(A1_原単位2024,41,HL47+2)&amp;"")</f>
        <v/>
      </c>
      <c r="IA47" s="761" t="str">
        <f t="shared" ca="1" si="55"/>
        <v/>
      </c>
      <c r="IB47" s="762" t="str">
        <f t="shared" ca="1" si="66"/>
        <v/>
      </c>
      <c r="IE47" s="244" t="str">
        <f t="shared" ca="1" si="67"/>
        <v/>
      </c>
      <c r="IF47" s="244" t="str">
        <f t="shared" ca="1" si="68"/>
        <v/>
      </c>
      <c r="IG47" s="244" t="str">
        <f t="shared" ca="1" si="69"/>
        <v/>
      </c>
      <c r="IH47" s="244" t="str">
        <f t="shared" ca="1" si="70"/>
        <v/>
      </c>
    </row>
    <row r="48" spans="1:242" ht="19.8">
      <c r="A48" s="197"/>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2"/>
        <v>0</v>
      </c>
      <c r="HD48" s="385">
        <f t="shared" si="62"/>
        <v>0</v>
      </c>
      <c r="HE48" s="385">
        <f t="shared" si="62"/>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c r="HN48" s="756" t="str">
        <f ca="1">IF(COUNTIF(HN$10:HN47,OFFSET(A1_原単位2024,5,HL48+2))&gt;=1,"",OFFSET(A1_原単位2024,5,HL48+2)&amp;"")</f>
        <v/>
      </c>
      <c r="HO48" s="757" t="str">
        <f t="shared" ca="1" si="49"/>
        <v/>
      </c>
      <c r="HP48" s="758" t="str">
        <f t="shared" ca="1" si="63"/>
        <v/>
      </c>
      <c r="HQ48" s="755"/>
      <c r="HR48" s="756" t="str">
        <f ca="1">IF(COUNTIF(HR$10:HR47,OFFSET(A1_原単位2024,17,HL48+2))&gt;=1,"",OFFSET(A1_原単位2024,17,HL48+2)&amp;"")</f>
        <v/>
      </c>
      <c r="HS48" s="759" t="str">
        <f t="shared" ca="1" si="51"/>
        <v/>
      </c>
      <c r="HT48" s="760" t="str">
        <f t="shared" ca="1" si="64"/>
        <v/>
      </c>
      <c r="HU48" s="755"/>
      <c r="HV48" s="756" t="str">
        <f ca="1">IF(COUNTIF(HV$10:HV47,OFFSET(A1_原単位2024,29,HL48+2))&gt;=1,"",OFFSET(A1_原単位2024,29,HL48+2)&amp;"")</f>
        <v/>
      </c>
      <c r="HW48" s="759" t="str">
        <f t="shared" ca="1" si="53"/>
        <v/>
      </c>
      <c r="HX48" s="760" t="str">
        <f t="shared" ca="1" si="65"/>
        <v/>
      </c>
      <c r="HY48" s="755"/>
      <c r="HZ48" s="756" t="str">
        <f ca="1">IF(COUNTIF(HZ$10:HZ47,OFFSET(A1_原単位2024,41,HL48+2))&gt;=1,"",OFFSET(A1_原単位2024,41,HL48+2)&amp;"")</f>
        <v/>
      </c>
      <c r="IA48" s="761" t="str">
        <f t="shared" ca="1" si="55"/>
        <v/>
      </c>
      <c r="IB48" s="762" t="str">
        <f t="shared" ca="1" si="66"/>
        <v/>
      </c>
      <c r="IE48" s="244" t="str">
        <f t="shared" ca="1" si="67"/>
        <v/>
      </c>
      <c r="IF48" s="244" t="str">
        <f t="shared" ca="1" si="68"/>
        <v/>
      </c>
      <c r="IG48" s="244" t="str">
        <f t="shared" ca="1" si="69"/>
        <v/>
      </c>
      <c r="IH48" s="244" t="str">
        <f t="shared" ca="1" si="70"/>
        <v/>
      </c>
    </row>
    <row r="49" spans="1:242" ht="19.8">
      <c r="A49" s="197"/>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1">K49+O49+S49+W49+AA49+AE49+AI49+AM49+AQ49+AU49+AY49+BC49+BG49+BK49+BO49+BS49+BW49+CA49+CE49+CI49+CM49+CQ49+CU49+CY49+DC49+DG49+DK49+DO49+DS49+DW49+EA49+EE49+EI49+EM49+EQ49+EU49+EY49+FC49+FG49+FK49+FO49+FS49+FW49+GA49+GE49+GI49+GM49+GQ49+GU49+GY49</f>
        <v>0</v>
      </c>
      <c r="HD49" s="385">
        <f t="shared" si="71"/>
        <v>0</v>
      </c>
      <c r="HE49" s="385">
        <f t="shared" si="71"/>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c r="HN49" s="756" t="str">
        <f ca="1">IF(COUNTIF(HN$10:HN48,OFFSET(A1_原単位2024,5,HL49+2))&gt;=1,"",OFFSET(A1_原単位2024,5,HL49+2)&amp;"")</f>
        <v/>
      </c>
      <c r="HO49" s="757" t="str">
        <f t="shared" ca="1" si="49"/>
        <v/>
      </c>
      <c r="HP49" s="758" t="str">
        <f t="shared" ca="1" si="63"/>
        <v/>
      </c>
      <c r="HQ49" s="755"/>
      <c r="HR49" s="756" t="str">
        <f ca="1">IF(COUNTIF(HR$10:HR48,OFFSET(A1_原単位2024,17,HL49+2))&gt;=1,"",OFFSET(A1_原単位2024,17,HL49+2)&amp;"")</f>
        <v/>
      </c>
      <c r="HS49" s="759" t="str">
        <f t="shared" ca="1" si="51"/>
        <v/>
      </c>
      <c r="HT49" s="760" t="str">
        <f t="shared" ca="1" si="64"/>
        <v/>
      </c>
      <c r="HU49" s="755"/>
      <c r="HV49" s="756" t="str">
        <f ca="1">IF(COUNTIF(HV$10:HV48,OFFSET(A1_原単位2024,29,HL49+2))&gt;=1,"",OFFSET(A1_原単位2024,29,HL49+2)&amp;"")</f>
        <v/>
      </c>
      <c r="HW49" s="759" t="str">
        <f t="shared" ca="1" si="53"/>
        <v/>
      </c>
      <c r="HX49" s="760" t="str">
        <f t="shared" ca="1" si="65"/>
        <v/>
      </c>
      <c r="HY49" s="755"/>
      <c r="HZ49" s="756" t="str">
        <f ca="1">IF(COUNTIF(HZ$10:HZ48,OFFSET(A1_原単位2024,41,HL49+2))&gt;=1,"",OFFSET(A1_原単位2024,41,HL49+2)&amp;"")</f>
        <v/>
      </c>
      <c r="IA49" s="761" t="str">
        <f t="shared" ca="1" si="55"/>
        <v/>
      </c>
      <c r="IB49" s="762" t="str">
        <f t="shared" ca="1" si="66"/>
        <v/>
      </c>
      <c r="IE49" s="244" t="str">
        <f t="shared" ca="1" si="67"/>
        <v/>
      </c>
      <c r="IF49" s="244" t="str">
        <f t="shared" ca="1" si="68"/>
        <v/>
      </c>
      <c r="IG49" s="244" t="str">
        <f t="shared" ca="1" si="69"/>
        <v/>
      </c>
      <c r="IH49" s="244" t="str">
        <f t="shared" ca="1" si="70"/>
        <v/>
      </c>
    </row>
    <row r="50" spans="1:242" ht="19.8">
      <c r="A50" s="197"/>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1"/>
        <v>0</v>
      </c>
      <c r="HD50" s="385">
        <f t="shared" si="71"/>
        <v>0</v>
      </c>
      <c r="HE50" s="385">
        <f t="shared" si="71"/>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c r="HN50" s="756" t="str">
        <f ca="1">IF(COUNTIF(HN$10:HN49,OFFSET(A1_原単位2024,5,HL50+2))&gt;=1,"",OFFSET(A1_原単位2024,5,HL50+2)&amp;"")</f>
        <v/>
      </c>
      <c r="HO50" s="757" t="str">
        <f t="shared" ca="1" si="49"/>
        <v/>
      </c>
      <c r="HP50" s="758" t="str">
        <f t="shared" ca="1" si="63"/>
        <v/>
      </c>
      <c r="HQ50" s="755"/>
      <c r="HR50" s="756" t="str">
        <f ca="1">IF(COUNTIF(HR$10:HR49,OFFSET(A1_原単位2024,17,HL50+2))&gt;=1,"",OFFSET(A1_原単位2024,17,HL50+2)&amp;"")</f>
        <v/>
      </c>
      <c r="HS50" s="759" t="str">
        <f t="shared" ca="1" si="51"/>
        <v/>
      </c>
      <c r="HT50" s="760" t="str">
        <f t="shared" ca="1" si="64"/>
        <v/>
      </c>
      <c r="HU50" s="755"/>
      <c r="HV50" s="756" t="str">
        <f ca="1">IF(COUNTIF(HV$10:HV49,OFFSET(A1_原単位2024,29,HL50+2))&gt;=1,"",OFFSET(A1_原単位2024,29,HL50+2)&amp;"")</f>
        <v/>
      </c>
      <c r="HW50" s="759" t="str">
        <f t="shared" ca="1" si="53"/>
        <v/>
      </c>
      <c r="HX50" s="760" t="str">
        <f t="shared" ca="1" si="65"/>
        <v/>
      </c>
      <c r="HY50" s="755"/>
      <c r="HZ50" s="756" t="str">
        <f ca="1">IF(COUNTIF(HZ$10:HZ49,OFFSET(A1_原単位2024,41,HL50+2))&gt;=1,"",OFFSET(A1_原単位2024,41,HL50+2)&amp;"")</f>
        <v/>
      </c>
      <c r="IA50" s="761" t="str">
        <f t="shared" ca="1" si="55"/>
        <v/>
      </c>
      <c r="IB50" s="762" t="str">
        <f t="shared" ca="1" si="66"/>
        <v/>
      </c>
      <c r="IE50" s="244" t="str">
        <f t="shared" ca="1" si="67"/>
        <v/>
      </c>
      <c r="IF50" s="244" t="str">
        <f t="shared" ca="1" si="68"/>
        <v/>
      </c>
      <c r="IG50" s="244" t="str">
        <f t="shared" ca="1" si="69"/>
        <v/>
      </c>
      <c r="IH50" s="244" t="str">
        <f t="shared" ca="1" si="70"/>
        <v/>
      </c>
    </row>
    <row r="51" spans="1:242" ht="19.8">
      <c r="A51" s="197"/>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1"/>
        <v>0</v>
      </c>
      <c r="HD51" s="385">
        <f t="shared" si="71"/>
        <v>0</v>
      </c>
      <c r="HE51" s="385">
        <f t="shared" si="71"/>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c r="HN51" s="756" t="str">
        <f ca="1">IF(COUNTIF(HN$10:HN50,OFFSET(A1_原単位2024,5,HL51+2))&gt;=1,"",OFFSET(A1_原単位2024,5,HL51+2)&amp;"")</f>
        <v/>
      </c>
      <c r="HO51" s="757" t="str">
        <f t="shared" ca="1" si="49"/>
        <v/>
      </c>
      <c r="HP51" s="758" t="str">
        <f t="shared" ca="1" si="63"/>
        <v/>
      </c>
      <c r="HQ51" s="755"/>
      <c r="HR51" s="756" t="str">
        <f ca="1">IF(COUNTIF(HR$10:HR50,OFFSET(A1_原単位2024,17,HL51+2))&gt;=1,"",OFFSET(A1_原単位2024,17,HL51+2)&amp;"")</f>
        <v/>
      </c>
      <c r="HS51" s="759" t="str">
        <f t="shared" ca="1" si="51"/>
        <v/>
      </c>
      <c r="HT51" s="760" t="str">
        <f t="shared" ca="1" si="64"/>
        <v/>
      </c>
      <c r="HU51" s="755"/>
      <c r="HV51" s="756" t="str">
        <f ca="1">IF(COUNTIF(HV$10:HV50,OFFSET(A1_原単位2024,29,HL51+2))&gt;=1,"",OFFSET(A1_原単位2024,29,HL51+2)&amp;"")</f>
        <v/>
      </c>
      <c r="HW51" s="759" t="str">
        <f t="shared" ca="1" si="53"/>
        <v/>
      </c>
      <c r="HX51" s="760" t="str">
        <f t="shared" ca="1" si="65"/>
        <v/>
      </c>
      <c r="HY51" s="755"/>
      <c r="HZ51" s="756" t="str">
        <f ca="1">IF(COUNTIF(HZ$10:HZ50,OFFSET(A1_原単位2024,41,HL51+2))&gt;=1,"",OFFSET(A1_原単位2024,41,HL51+2)&amp;"")</f>
        <v/>
      </c>
      <c r="IA51" s="761" t="str">
        <f t="shared" ca="1" si="55"/>
        <v/>
      </c>
      <c r="IB51" s="762" t="str">
        <f t="shared" ca="1" si="66"/>
        <v/>
      </c>
      <c r="IE51" s="244" t="str">
        <f t="shared" ca="1" si="67"/>
        <v/>
      </c>
      <c r="IF51" s="244" t="str">
        <f t="shared" ca="1" si="68"/>
        <v/>
      </c>
      <c r="IG51" s="244" t="str">
        <f t="shared" ca="1" si="69"/>
        <v/>
      </c>
      <c r="IH51" s="244" t="str">
        <f t="shared" ca="1" si="70"/>
        <v/>
      </c>
    </row>
    <row r="52" spans="1:242" ht="19.8">
      <c r="A52" s="197"/>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1"/>
        <v>0</v>
      </c>
      <c r="HD52" s="385">
        <f t="shared" si="71"/>
        <v>0</v>
      </c>
      <c r="HE52" s="385">
        <f t="shared" si="71"/>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c r="HN52" s="756" t="str">
        <f ca="1">IF(COUNTIF(HN$10:HN51,OFFSET(A1_原単位2024,5,HL52+2))&gt;=1,"",OFFSET(A1_原単位2024,5,HL52+2)&amp;"")</f>
        <v/>
      </c>
      <c r="HO52" s="757" t="str">
        <f t="shared" ca="1" si="49"/>
        <v/>
      </c>
      <c r="HP52" s="758" t="str">
        <f t="shared" ca="1" si="63"/>
        <v/>
      </c>
      <c r="HQ52" s="755"/>
      <c r="HR52" s="756" t="str">
        <f ca="1">IF(COUNTIF(HR$10:HR51,OFFSET(A1_原単位2024,17,HL52+2))&gt;=1,"",OFFSET(A1_原単位2024,17,HL52+2)&amp;"")</f>
        <v/>
      </c>
      <c r="HS52" s="759" t="str">
        <f t="shared" ca="1" si="51"/>
        <v/>
      </c>
      <c r="HT52" s="760" t="str">
        <f t="shared" ca="1" si="64"/>
        <v/>
      </c>
      <c r="HU52" s="755"/>
      <c r="HV52" s="756" t="str">
        <f ca="1">IF(COUNTIF(HV$10:HV51,OFFSET(A1_原単位2024,29,HL52+2))&gt;=1,"",OFFSET(A1_原単位2024,29,HL52+2)&amp;"")</f>
        <v/>
      </c>
      <c r="HW52" s="759" t="str">
        <f t="shared" ca="1" si="53"/>
        <v/>
      </c>
      <c r="HX52" s="760" t="str">
        <f t="shared" ca="1" si="65"/>
        <v/>
      </c>
      <c r="HY52" s="755"/>
      <c r="HZ52" s="756" t="str">
        <f ca="1">IF(COUNTIF(HZ$10:HZ51,OFFSET(A1_原単位2024,41,HL52+2))&gt;=1,"",OFFSET(A1_原単位2024,41,HL52+2)&amp;"")</f>
        <v/>
      </c>
      <c r="IA52" s="761" t="str">
        <f t="shared" ca="1" si="55"/>
        <v/>
      </c>
      <c r="IB52" s="762" t="str">
        <f t="shared" ca="1" si="66"/>
        <v/>
      </c>
      <c r="IE52" s="244" t="str">
        <f t="shared" ca="1" si="67"/>
        <v/>
      </c>
      <c r="IF52" s="244" t="str">
        <f t="shared" ca="1" si="68"/>
        <v/>
      </c>
      <c r="IG52" s="244" t="str">
        <f t="shared" ca="1" si="69"/>
        <v/>
      </c>
      <c r="IH52" s="244" t="str">
        <f t="shared" ca="1" si="70"/>
        <v/>
      </c>
    </row>
    <row r="53" spans="1:242" ht="19.8">
      <c r="A53" s="197"/>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1"/>
        <v>0</v>
      </c>
      <c r="HD53" s="385">
        <f t="shared" si="71"/>
        <v>0</v>
      </c>
      <c r="HE53" s="385">
        <f t="shared" si="71"/>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c r="HN53" s="756" t="str">
        <f ca="1">IF(COUNTIF(HN$10:HN52,OFFSET(A1_原単位2024,5,HL53+2))&gt;=1,"",OFFSET(A1_原単位2024,5,HL53+2)&amp;"")</f>
        <v/>
      </c>
      <c r="HO53" s="757" t="str">
        <f t="shared" ca="1" si="49"/>
        <v/>
      </c>
      <c r="HP53" s="758" t="str">
        <f t="shared" ca="1" si="63"/>
        <v/>
      </c>
      <c r="HQ53" s="755"/>
      <c r="HR53" s="756" t="str">
        <f ca="1">IF(COUNTIF(HR$10:HR52,OFFSET(A1_原単位2024,17,HL53+2))&gt;=1,"",OFFSET(A1_原単位2024,17,HL53+2)&amp;"")</f>
        <v/>
      </c>
      <c r="HS53" s="759" t="str">
        <f t="shared" ca="1" si="51"/>
        <v/>
      </c>
      <c r="HT53" s="760" t="str">
        <f t="shared" ca="1" si="64"/>
        <v/>
      </c>
      <c r="HU53" s="755"/>
      <c r="HV53" s="756" t="str">
        <f ca="1">IF(COUNTIF(HV$10:HV52,OFFSET(A1_原単位2024,29,HL53+2))&gt;=1,"",OFFSET(A1_原単位2024,29,HL53+2)&amp;"")</f>
        <v/>
      </c>
      <c r="HW53" s="759" t="str">
        <f t="shared" ca="1" si="53"/>
        <v/>
      </c>
      <c r="HX53" s="760" t="str">
        <f t="shared" ca="1" si="65"/>
        <v/>
      </c>
      <c r="HY53" s="755"/>
      <c r="HZ53" s="756" t="str">
        <f ca="1">IF(COUNTIF(HZ$10:HZ52,OFFSET(A1_原単位2024,41,HL53+2))&gt;=1,"",OFFSET(A1_原単位2024,41,HL53+2)&amp;"")</f>
        <v/>
      </c>
      <c r="IA53" s="761" t="str">
        <f t="shared" ca="1" si="55"/>
        <v/>
      </c>
      <c r="IB53" s="762" t="str">
        <f t="shared" ca="1" si="66"/>
        <v/>
      </c>
      <c r="IE53" s="244" t="str">
        <f t="shared" ca="1" si="67"/>
        <v/>
      </c>
      <c r="IF53" s="244" t="str">
        <f t="shared" ca="1" si="68"/>
        <v/>
      </c>
      <c r="IG53" s="244" t="str">
        <f t="shared" ca="1" si="69"/>
        <v/>
      </c>
      <c r="IH53" s="244" t="str">
        <f t="shared" ca="1" si="70"/>
        <v/>
      </c>
    </row>
    <row r="54" spans="1:242" ht="19.8">
      <c r="A54" s="197"/>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1"/>
        <v>0</v>
      </c>
      <c r="HD54" s="385">
        <f t="shared" si="71"/>
        <v>0</v>
      </c>
      <c r="HE54" s="385">
        <f t="shared" si="71"/>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c r="HN54" s="756" t="str">
        <f ca="1">IF(COUNTIF(HN$10:HN53,OFFSET(A1_原単位2024,5,HL54+2))&gt;=1,"",OFFSET(A1_原単位2024,5,HL54+2)&amp;"")</f>
        <v/>
      </c>
      <c r="HO54" s="757" t="str">
        <f t="shared" ca="1" si="49"/>
        <v/>
      </c>
      <c r="HP54" s="758" t="str">
        <f t="shared" ca="1" si="63"/>
        <v/>
      </c>
      <c r="HQ54" s="755"/>
      <c r="HR54" s="756" t="str">
        <f ca="1">IF(COUNTIF(HR$10:HR53,OFFSET(A1_原単位2024,17,HL54+2))&gt;=1,"",OFFSET(A1_原単位2024,17,HL54+2)&amp;"")</f>
        <v/>
      </c>
      <c r="HS54" s="759" t="str">
        <f t="shared" ca="1" si="51"/>
        <v/>
      </c>
      <c r="HT54" s="760" t="str">
        <f t="shared" ca="1" si="64"/>
        <v/>
      </c>
      <c r="HU54" s="755"/>
      <c r="HV54" s="756" t="str">
        <f ca="1">IF(COUNTIF(HV$10:HV53,OFFSET(A1_原単位2024,29,HL54+2))&gt;=1,"",OFFSET(A1_原単位2024,29,HL54+2)&amp;"")</f>
        <v/>
      </c>
      <c r="HW54" s="759" t="str">
        <f t="shared" ca="1" si="53"/>
        <v/>
      </c>
      <c r="HX54" s="760" t="str">
        <f t="shared" ca="1" si="65"/>
        <v/>
      </c>
      <c r="HY54" s="755"/>
      <c r="HZ54" s="756" t="str">
        <f ca="1">IF(COUNTIF(HZ$10:HZ53,OFFSET(A1_原単位2024,41,HL54+2))&gt;=1,"",OFFSET(A1_原単位2024,41,HL54+2)&amp;"")</f>
        <v/>
      </c>
      <c r="IA54" s="761" t="str">
        <f t="shared" ca="1" si="55"/>
        <v/>
      </c>
      <c r="IB54" s="762" t="str">
        <f t="shared" ca="1" si="66"/>
        <v/>
      </c>
      <c r="IE54" s="244" t="str">
        <f t="shared" ca="1" si="67"/>
        <v/>
      </c>
      <c r="IF54" s="244" t="str">
        <f t="shared" ca="1" si="68"/>
        <v/>
      </c>
      <c r="IG54" s="244" t="str">
        <f t="shared" ca="1" si="69"/>
        <v/>
      </c>
      <c r="IH54" s="244" t="str">
        <f t="shared" ca="1" si="70"/>
        <v/>
      </c>
    </row>
    <row r="55" spans="1:242" ht="19.8">
      <c r="A55" s="197"/>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1"/>
        <v>0</v>
      </c>
      <c r="HD55" s="385">
        <f t="shared" si="71"/>
        <v>0</v>
      </c>
      <c r="HE55" s="385">
        <f t="shared" si="71"/>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c r="HN55" s="756" t="str">
        <f ca="1">IF(COUNTIF(HN$10:HN54,OFFSET(A1_原単位2024,5,HL55+2))&gt;=1,"",OFFSET(A1_原単位2024,5,HL55+2)&amp;"")</f>
        <v/>
      </c>
      <c r="HO55" s="757" t="str">
        <f t="shared" ca="1" si="49"/>
        <v/>
      </c>
      <c r="HP55" s="758" t="str">
        <f t="shared" ca="1" si="63"/>
        <v/>
      </c>
      <c r="HQ55" s="755"/>
      <c r="HR55" s="756" t="str">
        <f ca="1">IF(COUNTIF(HR$10:HR54,OFFSET(A1_原単位2024,17,HL55+2))&gt;=1,"",OFFSET(A1_原単位2024,17,HL55+2)&amp;"")</f>
        <v/>
      </c>
      <c r="HS55" s="759" t="str">
        <f t="shared" ca="1" si="51"/>
        <v/>
      </c>
      <c r="HT55" s="760" t="str">
        <f t="shared" ca="1" si="64"/>
        <v/>
      </c>
      <c r="HU55" s="755"/>
      <c r="HV55" s="756" t="str">
        <f ca="1">IF(COUNTIF(HV$10:HV54,OFFSET(A1_原単位2024,29,HL55+2))&gt;=1,"",OFFSET(A1_原単位2024,29,HL55+2)&amp;"")</f>
        <v/>
      </c>
      <c r="HW55" s="759" t="str">
        <f t="shared" ca="1" si="53"/>
        <v/>
      </c>
      <c r="HX55" s="760" t="str">
        <f t="shared" ca="1" si="65"/>
        <v/>
      </c>
      <c r="HY55" s="755"/>
      <c r="HZ55" s="756" t="str">
        <f ca="1">IF(COUNTIF(HZ$10:HZ54,OFFSET(A1_原単位2024,41,HL55+2))&gt;=1,"",OFFSET(A1_原単位2024,41,HL55+2)&amp;"")</f>
        <v/>
      </c>
      <c r="IA55" s="761" t="str">
        <f t="shared" ca="1" si="55"/>
        <v/>
      </c>
      <c r="IB55" s="762" t="str">
        <f t="shared" ca="1" si="66"/>
        <v/>
      </c>
      <c r="IE55" s="244" t="str">
        <f t="shared" ca="1" si="67"/>
        <v/>
      </c>
      <c r="IF55" s="244" t="str">
        <f t="shared" ca="1" si="68"/>
        <v/>
      </c>
      <c r="IG55" s="244" t="str">
        <f t="shared" ca="1" si="69"/>
        <v/>
      </c>
      <c r="IH55" s="244" t="str">
        <f t="shared" ca="1" si="70"/>
        <v/>
      </c>
    </row>
    <row r="56" spans="1:242" ht="19.8">
      <c r="A56" s="197"/>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1"/>
        <v>0</v>
      </c>
      <c r="HD56" s="385">
        <f t="shared" si="71"/>
        <v>0</v>
      </c>
      <c r="HE56" s="385">
        <f t="shared" si="71"/>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c r="HN56" s="756" t="str">
        <f ca="1">IF(COUNTIF(HN$10:HN55,OFFSET(A1_原単位2024,5,HL56+2))&gt;=1,"",OFFSET(A1_原単位2024,5,HL56+2)&amp;"")</f>
        <v/>
      </c>
      <c r="HO56" s="757" t="str">
        <f t="shared" ca="1" si="49"/>
        <v/>
      </c>
      <c r="HP56" s="758" t="str">
        <f t="shared" ca="1" si="63"/>
        <v/>
      </c>
      <c r="HQ56" s="755"/>
      <c r="HR56" s="756" t="str">
        <f ca="1">IF(COUNTIF(HR$10:HR55,OFFSET(A1_原単位2024,17,HL56+2))&gt;=1,"",OFFSET(A1_原単位2024,17,HL56+2)&amp;"")</f>
        <v/>
      </c>
      <c r="HS56" s="759" t="str">
        <f t="shared" ca="1" si="51"/>
        <v/>
      </c>
      <c r="HT56" s="760" t="str">
        <f t="shared" ca="1" si="64"/>
        <v/>
      </c>
      <c r="HU56" s="755"/>
      <c r="HV56" s="756" t="str">
        <f ca="1">IF(COUNTIF(HV$10:HV55,OFFSET(A1_原単位2024,29,HL56+2))&gt;=1,"",OFFSET(A1_原単位2024,29,HL56+2)&amp;"")</f>
        <v/>
      </c>
      <c r="HW56" s="759" t="str">
        <f t="shared" ca="1" si="53"/>
        <v/>
      </c>
      <c r="HX56" s="760" t="str">
        <f t="shared" ca="1" si="65"/>
        <v/>
      </c>
      <c r="HY56" s="755"/>
      <c r="HZ56" s="756" t="str">
        <f ca="1">IF(COUNTIF(HZ$10:HZ55,OFFSET(A1_原単位2024,41,HL56+2))&gt;=1,"",OFFSET(A1_原単位2024,41,HL56+2)&amp;"")</f>
        <v/>
      </c>
      <c r="IA56" s="761" t="str">
        <f t="shared" ca="1" si="55"/>
        <v/>
      </c>
      <c r="IB56" s="762" t="str">
        <f t="shared" ca="1" si="66"/>
        <v/>
      </c>
      <c r="IE56" s="244" t="str">
        <f t="shared" ca="1" si="67"/>
        <v/>
      </c>
      <c r="IF56" s="244" t="str">
        <f t="shared" ca="1" si="68"/>
        <v/>
      </c>
      <c r="IG56" s="244" t="str">
        <f t="shared" ca="1" si="69"/>
        <v/>
      </c>
      <c r="IH56" s="244" t="str">
        <f t="shared" ca="1" si="70"/>
        <v/>
      </c>
    </row>
    <row r="57" spans="1:242" ht="19.8">
      <c r="A57" s="197"/>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1"/>
        <v>0</v>
      </c>
      <c r="HD57" s="385">
        <f t="shared" si="71"/>
        <v>0</v>
      </c>
      <c r="HE57" s="385">
        <f t="shared" si="71"/>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c r="HN57" s="756" t="str">
        <f ca="1">IF(COUNTIF(HN$10:HN56,OFFSET(A1_原単位2024,5,HL57+2))&gt;=1,"",OFFSET(A1_原単位2024,5,HL57+2)&amp;"")</f>
        <v/>
      </c>
      <c r="HO57" s="757" t="str">
        <f t="shared" ca="1" si="49"/>
        <v/>
      </c>
      <c r="HP57" s="758" t="str">
        <f t="shared" ca="1" si="63"/>
        <v/>
      </c>
      <c r="HQ57" s="755"/>
      <c r="HR57" s="756" t="str">
        <f ca="1">IF(COUNTIF(HR$10:HR56,OFFSET(A1_原単位2024,17,HL57+2))&gt;=1,"",OFFSET(A1_原単位2024,17,HL57+2)&amp;"")</f>
        <v/>
      </c>
      <c r="HS57" s="759" t="str">
        <f t="shared" ca="1" si="51"/>
        <v/>
      </c>
      <c r="HT57" s="760" t="str">
        <f t="shared" ca="1" si="64"/>
        <v/>
      </c>
      <c r="HU57" s="755"/>
      <c r="HV57" s="756" t="str">
        <f ca="1">IF(COUNTIF(HV$10:HV56,OFFSET(A1_原単位2024,29,HL57+2))&gt;=1,"",OFFSET(A1_原単位2024,29,HL57+2)&amp;"")</f>
        <v/>
      </c>
      <c r="HW57" s="759" t="str">
        <f t="shared" ca="1" si="53"/>
        <v/>
      </c>
      <c r="HX57" s="760" t="str">
        <f t="shared" ca="1" si="65"/>
        <v/>
      </c>
      <c r="HY57" s="755"/>
      <c r="HZ57" s="756" t="str">
        <f ca="1">IF(COUNTIF(HZ$10:HZ56,OFFSET(A1_原単位2024,41,HL57+2))&gt;=1,"",OFFSET(A1_原単位2024,41,HL57+2)&amp;"")</f>
        <v/>
      </c>
      <c r="IA57" s="761" t="str">
        <f t="shared" ca="1" si="55"/>
        <v/>
      </c>
      <c r="IB57" s="762" t="str">
        <f t="shared" ca="1" si="66"/>
        <v/>
      </c>
      <c r="IE57" s="244" t="str">
        <f t="shared" ca="1" si="67"/>
        <v/>
      </c>
      <c r="IF57" s="244" t="str">
        <f t="shared" ca="1" si="68"/>
        <v/>
      </c>
      <c r="IG57" s="244" t="str">
        <f t="shared" ca="1" si="69"/>
        <v/>
      </c>
      <c r="IH57" s="244" t="str">
        <f t="shared" ca="1" si="70"/>
        <v/>
      </c>
    </row>
    <row r="58" spans="1:242" ht="19.8">
      <c r="A58" s="197"/>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1"/>
        <v>0</v>
      </c>
      <c r="HD58" s="385">
        <f t="shared" si="71"/>
        <v>0</v>
      </c>
      <c r="HE58" s="385">
        <f t="shared" si="71"/>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c r="HN58" s="756" t="str">
        <f ca="1">IF(COUNTIF(HN$10:HN57,OFFSET(A1_原単位2024,5,HL58+2))&gt;=1,"",OFFSET(A1_原単位2024,5,HL58+2)&amp;"")</f>
        <v/>
      </c>
      <c r="HO58" s="757" t="str">
        <f t="shared" ca="1" si="49"/>
        <v/>
      </c>
      <c r="HP58" s="758" t="str">
        <f t="shared" ca="1" si="63"/>
        <v/>
      </c>
      <c r="HQ58" s="755"/>
      <c r="HR58" s="756" t="str">
        <f ca="1">IF(COUNTIF(HR$10:HR57,OFFSET(A1_原単位2024,17,HL58+2))&gt;=1,"",OFFSET(A1_原単位2024,17,HL58+2)&amp;"")</f>
        <v/>
      </c>
      <c r="HS58" s="759" t="str">
        <f t="shared" ca="1" si="51"/>
        <v/>
      </c>
      <c r="HT58" s="760" t="str">
        <f t="shared" ca="1" si="64"/>
        <v/>
      </c>
      <c r="HU58" s="755"/>
      <c r="HV58" s="756" t="str">
        <f ca="1">IF(COUNTIF(HV$10:HV57,OFFSET(A1_原単位2024,29,HL58+2))&gt;=1,"",OFFSET(A1_原単位2024,29,HL58+2)&amp;"")</f>
        <v/>
      </c>
      <c r="HW58" s="759" t="str">
        <f t="shared" ca="1" si="53"/>
        <v/>
      </c>
      <c r="HX58" s="760" t="str">
        <f t="shared" ca="1" si="65"/>
        <v/>
      </c>
      <c r="HY58" s="755"/>
      <c r="HZ58" s="756" t="str">
        <f ca="1">IF(COUNTIF(HZ$10:HZ57,OFFSET(A1_原単位2024,41,HL58+2))&gt;=1,"",OFFSET(A1_原単位2024,41,HL58+2)&amp;"")</f>
        <v/>
      </c>
      <c r="IA58" s="761" t="str">
        <f t="shared" ca="1" si="55"/>
        <v/>
      </c>
      <c r="IB58" s="762" t="str">
        <f t="shared" ca="1" si="66"/>
        <v/>
      </c>
      <c r="IE58" s="244" t="str">
        <f t="shared" ca="1" si="67"/>
        <v/>
      </c>
      <c r="IF58" s="244" t="str">
        <f t="shared" ca="1" si="68"/>
        <v/>
      </c>
      <c r="IG58" s="244" t="str">
        <f t="shared" ca="1" si="69"/>
        <v/>
      </c>
      <c r="IH58" s="244" t="str">
        <f t="shared" ca="1" si="70"/>
        <v/>
      </c>
    </row>
    <row r="59" spans="1:242" ht="20.399999999999999" thickBot="1">
      <c r="A59" s="197"/>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1"/>
        <v>0</v>
      </c>
      <c r="HD59" s="385">
        <f t="shared" si="71"/>
        <v>0</v>
      </c>
      <c r="HE59" s="385">
        <f t="shared" si="71"/>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c r="HN59" s="766" t="str">
        <f ca="1">IF(COUNTIF(HN$10:HN58,OFFSET(A1_原単位2024,5,HL59+2))&gt;=1,"",OFFSET(A1_原単位2024,5,HL59+2)&amp;"")</f>
        <v/>
      </c>
      <c r="HO59" s="767" t="str">
        <f t="shared" ca="1" si="49"/>
        <v/>
      </c>
      <c r="HP59" s="768" t="str">
        <f t="shared" ca="1" si="63"/>
        <v/>
      </c>
      <c r="HQ59" s="765"/>
      <c r="HR59" s="766" t="str">
        <f ca="1">IF(COUNTIF(HR$10:HR58,OFFSET(A1_原単位2024,17,HL59+2))&gt;=1,"",OFFSET(A1_原単位2024,17,HL59+2)&amp;"")</f>
        <v/>
      </c>
      <c r="HS59" s="769" t="str">
        <f t="shared" ca="1" si="51"/>
        <v/>
      </c>
      <c r="HT59" s="770" t="str">
        <f t="shared" ca="1" si="64"/>
        <v/>
      </c>
      <c r="HU59" s="765"/>
      <c r="HV59" s="766" t="str">
        <f ca="1">IF(COUNTIF(HV$10:HV58,OFFSET(A1_原単位2024,29,HL59+2))&gt;=1,"",OFFSET(A1_原単位2024,29,HL59+2)&amp;"")</f>
        <v/>
      </c>
      <c r="HW59" s="769" t="str">
        <f t="shared" ca="1" si="53"/>
        <v/>
      </c>
      <c r="HX59" s="770" t="str">
        <f t="shared" ca="1" si="65"/>
        <v/>
      </c>
      <c r="HY59" s="765"/>
      <c r="HZ59" s="766" t="str">
        <f ca="1">IF(COUNTIF(HZ$10:HZ58,OFFSET(A1_原単位2024,41,HL59+2))&gt;=1,"",OFFSET(A1_原単位2024,41,HL59+2)&amp;"")</f>
        <v/>
      </c>
      <c r="IA59" s="771" t="str">
        <f t="shared" ca="1" si="55"/>
        <v/>
      </c>
      <c r="IB59" s="772" t="str">
        <f t="shared" ca="1" si="66"/>
        <v/>
      </c>
      <c r="IE59" s="244" t="str">
        <f t="shared" ca="1" si="67"/>
        <v/>
      </c>
      <c r="IF59" s="244" t="str">
        <f t="shared" ca="1" si="68"/>
        <v/>
      </c>
      <c r="IG59" s="244" t="str">
        <f t="shared" ca="1" si="69"/>
        <v/>
      </c>
      <c r="IH59" s="244" t="str">
        <f t="shared" ca="1" si="70"/>
        <v/>
      </c>
    </row>
    <row r="60" spans="1:242" ht="19.8">
      <c r="A60" s="197"/>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1"/>
        <v>0</v>
      </c>
      <c r="HD60" s="385">
        <f t="shared" si="71"/>
        <v>0</v>
      </c>
      <c r="HE60" s="385">
        <f t="shared" si="71"/>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row>
    <row r="61" spans="1:242" ht="19.8">
      <c r="A61" s="197"/>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1"/>
        <v>0</v>
      </c>
      <c r="HD61" s="385">
        <f t="shared" si="71"/>
        <v>0</v>
      </c>
      <c r="HE61" s="385">
        <f t="shared" si="71"/>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row>
    <row r="62" spans="1:242" ht="19.8">
      <c r="A62" s="197"/>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1"/>
        <v>0</v>
      </c>
      <c r="HD62" s="385">
        <f t="shared" si="71"/>
        <v>0</v>
      </c>
      <c r="HE62" s="385">
        <f t="shared" si="71"/>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row>
    <row r="63" spans="1:242" ht="19.8">
      <c r="A63" s="197"/>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1"/>
        <v>0</v>
      </c>
      <c r="HD63" s="385">
        <f t="shared" si="71"/>
        <v>0</v>
      </c>
      <c r="HE63" s="385">
        <f t="shared" si="71"/>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row>
    <row r="64" spans="1:242" ht="19.8">
      <c r="A64" s="197"/>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1"/>
        <v>0</v>
      </c>
      <c r="HD64" s="385">
        <f t="shared" si="71"/>
        <v>0</v>
      </c>
      <c r="HE64" s="385">
        <f t="shared" si="71"/>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row>
    <row r="65" spans="1:218" ht="59.4">
      <c r="A65" s="197"/>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1"/>
        <v>0</v>
      </c>
      <c r="HD65" s="402"/>
      <c r="HE65" s="385">
        <f t="shared" si="71"/>
        <v>0</v>
      </c>
      <c r="HF65" s="403">
        <f t="shared" si="71"/>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row>
    <row r="66" spans="1:218" ht="19.8">
      <c r="A66" s="197"/>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1"/>
        <v>0</v>
      </c>
      <c r="HD66" s="402"/>
      <c r="HE66" s="385">
        <f t="shared" si="71"/>
        <v>0</v>
      </c>
      <c r="HF66" s="403">
        <f t="shared" si="71"/>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row>
    <row r="67" spans="1:218" ht="19.8">
      <c r="A67" s="197"/>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1"/>
        <v>0</v>
      </c>
      <c r="HD67" s="402"/>
      <c r="HE67" s="385">
        <f t="shared" si="71"/>
        <v>0</v>
      </c>
      <c r="HF67" s="403">
        <f t="shared" si="71"/>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row>
    <row r="68" spans="1:218" ht="19.8">
      <c r="A68" s="197"/>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1"/>
        <v>0</v>
      </c>
      <c r="HD68" s="402"/>
      <c r="HE68" s="385">
        <f t="shared" si="71"/>
        <v>0</v>
      </c>
      <c r="HF68" s="403">
        <f t="shared" si="71"/>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row>
    <row r="69" spans="1:218" ht="19.8">
      <c r="A69" s="197"/>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1"/>
        <v>0</v>
      </c>
      <c r="HD69" s="402"/>
      <c r="HE69" s="385">
        <f t="shared" si="71"/>
        <v>0</v>
      </c>
      <c r="HF69" s="403">
        <f t="shared" si="71"/>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row>
    <row r="70" spans="1:218" ht="19.8">
      <c r="A70" s="197"/>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1"/>
        <v>0</v>
      </c>
      <c r="HD70" s="402"/>
      <c r="HE70" s="385">
        <f t="shared" si="71"/>
        <v>0</v>
      </c>
      <c r="HF70" s="403">
        <f t="shared" si="71"/>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row>
    <row r="71" spans="1:218" ht="19.8">
      <c r="A71" s="197"/>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1"/>
        <v>0</v>
      </c>
      <c r="HD71" s="402"/>
      <c r="HE71" s="385">
        <f t="shared" si="71"/>
        <v>0</v>
      </c>
      <c r="HF71" s="403">
        <f t="shared" si="71"/>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row>
    <row r="72" spans="1:218" ht="19.8">
      <c r="A72" s="197"/>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1"/>
        <v>0</v>
      </c>
      <c r="HD72" s="402"/>
      <c r="HE72" s="385">
        <f t="shared" si="71"/>
        <v>0</v>
      </c>
      <c r="HF72" s="403">
        <f t="shared" si="71"/>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row>
    <row r="73" spans="1:218" ht="19.8">
      <c r="A73" s="197"/>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1"/>
        <v>0</v>
      </c>
      <c r="HD73" s="402"/>
      <c r="HE73" s="385">
        <f t="shared" si="71"/>
        <v>0</v>
      </c>
      <c r="HF73" s="403">
        <f t="shared" si="71"/>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row>
    <row r="74" spans="1:218" ht="19.8">
      <c r="A74" s="197"/>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1"/>
        <v>0</v>
      </c>
      <c r="HD74" s="413"/>
      <c r="HE74" s="414">
        <f t="shared" si="71"/>
        <v>0</v>
      </c>
      <c r="HF74" s="415">
        <f t="shared" si="71"/>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row>
    <row r="75" spans="1:218" ht="39.6">
      <c r="A75" s="197"/>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1"/>
        <v>0</v>
      </c>
      <c r="HD75" s="413"/>
      <c r="HE75" s="414">
        <f t="shared" si="71"/>
        <v>0</v>
      </c>
      <c r="HF75" s="415">
        <f t="shared" si="71"/>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row>
    <row r="76" spans="1:218" ht="19.8">
      <c r="A76" s="197"/>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1"/>
        <v>0</v>
      </c>
      <c r="HD76" s="413"/>
      <c r="HE76" s="414">
        <f t="shared" si="71"/>
        <v>0</v>
      </c>
      <c r="HF76" s="415">
        <f t="shared" si="71"/>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row>
    <row r="77" spans="1:218" ht="19.8">
      <c r="A77" s="197"/>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1"/>
        <v>0</v>
      </c>
      <c r="HD77" s="413"/>
      <c r="HE77" s="414">
        <f t="shared" si="71"/>
        <v>0</v>
      </c>
      <c r="HF77" s="415">
        <f t="shared" si="71"/>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row>
    <row r="78" spans="1:218" ht="19.8">
      <c r="A78" s="197"/>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1"/>
        <v>0</v>
      </c>
      <c r="HD78" s="413"/>
      <c r="HE78" s="414">
        <f t="shared" si="71"/>
        <v>0</v>
      </c>
      <c r="HF78" s="415">
        <f t="shared" si="71"/>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row>
    <row r="79" spans="1:218" ht="19.8">
      <c r="A79" s="197"/>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1"/>
        <v>0</v>
      </c>
      <c r="HD79" s="413"/>
      <c r="HE79" s="414">
        <f t="shared" si="71"/>
        <v>0</v>
      </c>
      <c r="HF79" s="415">
        <f t="shared" si="71"/>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row>
    <row r="80" spans="1:218" ht="19.8">
      <c r="A80" s="197"/>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1"/>
        <v>0</v>
      </c>
      <c r="HD80" s="402"/>
      <c r="HE80" s="385">
        <f t="shared" si="71"/>
        <v>0</v>
      </c>
      <c r="HF80" s="403">
        <f t="shared" si="71"/>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row>
    <row r="81" spans="1:218" ht="59.4">
      <c r="A81" s="197"/>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72">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row>
    <row r="82" spans="1:218" ht="19.8">
      <c r="A82" s="197"/>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72"/>
        <v>0</v>
      </c>
      <c r="HD82" s="402"/>
      <c r="HE82" s="402"/>
      <c r="HF82" s="386"/>
      <c r="HG82" s="384">
        <f>SUM(SUMIFS(K82:HB82,$K$13:$HB$13,{"エネルギー管理指定工場等*","県域*"}))</f>
        <v>0</v>
      </c>
      <c r="HH82" s="402"/>
      <c r="HI82" s="402"/>
      <c r="HJ82" s="386"/>
    </row>
    <row r="83" spans="1:218" ht="39.6">
      <c r="A83" s="197"/>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72"/>
        <v>0</v>
      </c>
      <c r="HD83" s="402"/>
      <c r="HE83" s="402"/>
      <c r="HF83" s="386"/>
      <c r="HG83" s="384">
        <f>SUM(SUMIFS(K83:HB83,$K$13:$HB$13,{"エネルギー管理指定工場等*","県域*"}))</f>
        <v>0</v>
      </c>
      <c r="HH83" s="402"/>
      <c r="HI83" s="402"/>
      <c r="HJ83" s="386"/>
    </row>
    <row r="84" spans="1:218" ht="19.8">
      <c r="A84" s="197"/>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72"/>
        <v>0</v>
      </c>
      <c r="HD84" s="402"/>
      <c r="HE84" s="402"/>
      <c r="HF84" s="386"/>
      <c r="HG84" s="384">
        <f>SUM(SUMIFS(K84:HB84,$K$13:$HB$13,{"エネルギー管理指定工場等*","県域*"}))</f>
        <v>0</v>
      </c>
      <c r="HH84" s="402"/>
      <c r="HI84" s="402"/>
      <c r="HJ84" s="386"/>
    </row>
    <row r="85" spans="1:218" ht="19.8">
      <c r="A85" s="197"/>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72"/>
        <v>0</v>
      </c>
      <c r="HD85" s="402"/>
      <c r="HE85" s="402"/>
      <c r="HF85" s="386"/>
      <c r="HG85" s="384">
        <f>SUM(SUMIFS(K85:HB85,$K$13:$HB$13,{"エネルギー管理指定工場等*","県域*"}))</f>
        <v>0</v>
      </c>
      <c r="HH85" s="402"/>
      <c r="HI85" s="402"/>
      <c r="HJ85" s="386"/>
    </row>
    <row r="86" spans="1:218" ht="19.8">
      <c r="A86" s="197"/>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72"/>
        <v>0</v>
      </c>
      <c r="HD86" s="402"/>
      <c r="HE86" s="402"/>
      <c r="HF86" s="386"/>
      <c r="HG86" s="384">
        <f>SUM(SUMIFS(K86:HB86,$K$13:$HB$13,{"エネルギー管理指定工場等*","県域*"}))</f>
        <v>0</v>
      </c>
      <c r="HH86" s="402"/>
      <c r="HI86" s="402"/>
      <c r="HJ86" s="386"/>
    </row>
    <row r="87" spans="1:218" ht="19.8">
      <c r="A87" s="197"/>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72"/>
        <v>0</v>
      </c>
      <c r="HD87" s="402"/>
      <c r="HE87" s="402"/>
      <c r="HF87" s="386"/>
      <c r="HG87" s="384">
        <f>SUM(SUMIFS(K87:HB87,$K$13:$HB$13,{"エネルギー管理指定工場等*","県域*"}))</f>
        <v>0</v>
      </c>
      <c r="HH87" s="402"/>
      <c r="HI87" s="402"/>
      <c r="HJ87" s="386"/>
    </row>
    <row r="88" spans="1:218" ht="19.8">
      <c r="A88" s="197"/>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72"/>
        <v>0</v>
      </c>
      <c r="HD88" s="402"/>
      <c r="HE88" s="402"/>
      <c r="HF88" s="386"/>
      <c r="HG88" s="384">
        <f>SUM(SUMIFS(K88:HB88,$K$13:$HB$13,{"エネルギー管理指定工場等*","県域*"}))</f>
        <v>0</v>
      </c>
      <c r="HH88" s="402"/>
      <c r="HI88" s="402"/>
      <c r="HJ88" s="386"/>
    </row>
    <row r="89" spans="1:218" ht="19.8">
      <c r="A89" s="197"/>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72"/>
        <v>0</v>
      </c>
      <c r="HD89" s="402"/>
      <c r="HE89" s="402"/>
      <c r="HF89" s="386"/>
      <c r="HG89" s="384">
        <f>SUM(SUMIFS(K89:HB89,$K$13:$HB$13,{"エネルギー管理指定工場等*","県域*"}))</f>
        <v>0</v>
      </c>
      <c r="HH89" s="402"/>
      <c r="HI89" s="402"/>
      <c r="HJ89" s="386"/>
    </row>
    <row r="90" spans="1:218" ht="19.8">
      <c r="A90" s="197"/>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72"/>
        <v>0</v>
      </c>
      <c r="HD90" s="402"/>
      <c r="HE90" s="402"/>
      <c r="HF90" s="386"/>
      <c r="HG90" s="384">
        <f>SUM(SUMIFS(K90:HB90,$K$13:$HB$13,{"エネルギー管理指定工場等*","県域*"}))</f>
        <v>0</v>
      </c>
      <c r="HH90" s="402"/>
      <c r="HI90" s="402"/>
      <c r="HJ90" s="386"/>
    </row>
    <row r="91" spans="1:218" ht="19.8">
      <c r="A91" s="197"/>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72"/>
        <v>0</v>
      </c>
      <c r="HD91" s="402"/>
      <c r="HE91" s="402"/>
      <c r="HF91" s="386"/>
      <c r="HG91" s="384">
        <f>SUM(SUMIFS(K91:HB91,$K$13:$HB$13,{"エネルギー管理指定工場等*","県域*"}))</f>
        <v>0</v>
      </c>
      <c r="HH91" s="402"/>
      <c r="HI91" s="402"/>
      <c r="HJ91" s="386"/>
    </row>
    <row r="92" spans="1:218" ht="19.8">
      <c r="A92" s="197"/>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72"/>
        <v>0</v>
      </c>
      <c r="HD92" s="402"/>
      <c r="HE92" s="385">
        <f t="shared" ref="HE92:HE107" si="73">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row>
    <row r="93" spans="1:218" ht="19.8">
      <c r="A93" s="197"/>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72"/>
        <v>0</v>
      </c>
      <c r="HD93" s="402"/>
      <c r="HE93" s="402"/>
      <c r="HF93" s="386"/>
      <c r="HG93" s="384">
        <f>SUM(SUMIFS(K93:HB93,$K$13:$HB$13,{"エネルギー管理指定工場等*","県域*"}))</f>
        <v>0</v>
      </c>
      <c r="HH93" s="402"/>
      <c r="HI93" s="402"/>
      <c r="HJ93" s="386"/>
    </row>
    <row r="94" spans="1:218" ht="19.8">
      <c r="A94" s="197"/>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72"/>
        <v>0</v>
      </c>
      <c r="HD94" s="402"/>
      <c r="HE94" s="385">
        <f t="shared" ref="HE94" si="74">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row>
    <row r="95" spans="1:218" ht="19.8">
      <c r="A95" s="197"/>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72"/>
        <v>0</v>
      </c>
      <c r="HD95" s="402"/>
      <c r="HE95" s="402"/>
      <c r="HF95" s="386"/>
      <c r="HG95" s="384">
        <f>SUM(SUMIFS(K95:HB95,$K$13:$HB$13,{"エネルギー管理指定工場等*","県域*"}))</f>
        <v>0</v>
      </c>
      <c r="HH95" s="402"/>
      <c r="HI95" s="402"/>
      <c r="HJ95" s="386"/>
    </row>
    <row r="96" spans="1:218" ht="19.8">
      <c r="A96" s="197"/>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72"/>
        <v>0</v>
      </c>
      <c r="HD96" s="402"/>
      <c r="HE96" s="385">
        <f t="shared" si="73"/>
        <v>0</v>
      </c>
      <c r="HF96" s="386"/>
      <c r="HG96" s="384">
        <f>SUM(SUMIFS(K96:HB96,$K$13:$HB$13,{"エネルギー管理指定工場等*","県域*"}))</f>
        <v>0</v>
      </c>
      <c r="HH96" s="402"/>
      <c r="HI96" s="385">
        <f>SUM(SUMIFS(M96:HD96,$K$13:$HB$13,{"エネルギー管理指定工場等*","県域*"}))</f>
        <v>0</v>
      </c>
      <c r="HJ96" s="386"/>
    </row>
    <row r="97" spans="1:218" ht="19.8">
      <c r="A97" s="197"/>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72"/>
        <v>0</v>
      </c>
      <c r="HD97" s="402"/>
      <c r="HE97" s="402"/>
      <c r="HF97" s="386"/>
      <c r="HG97" s="384">
        <f>SUM(SUMIFS(K97:HB97,$K$13:$HB$13,{"エネルギー管理指定工場等*","県域*"}))</f>
        <v>0</v>
      </c>
      <c r="HH97" s="402"/>
      <c r="HI97" s="402"/>
      <c r="HJ97" s="386"/>
    </row>
    <row r="98" spans="1:218" ht="19.8">
      <c r="A98" s="197"/>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72"/>
        <v>0</v>
      </c>
      <c r="HD98" s="402"/>
      <c r="HE98" s="385">
        <f t="shared" si="73"/>
        <v>0</v>
      </c>
      <c r="HF98" s="386"/>
      <c r="HG98" s="384">
        <f>SUM(SUMIFS(K98:HB98,$K$13:$HB$13,{"エネルギー管理指定工場等*","県域*"}))</f>
        <v>0</v>
      </c>
      <c r="HH98" s="402"/>
      <c r="HI98" s="385">
        <f>SUM(SUMIFS(M98:HD98,$K$13:$HB$13,{"エネルギー管理指定工場等*","県域*"}))</f>
        <v>0</v>
      </c>
      <c r="HJ98" s="386"/>
    </row>
    <row r="99" spans="1:218" ht="19.8">
      <c r="A99" s="197"/>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72"/>
        <v>0</v>
      </c>
      <c r="HD99" s="402"/>
      <c r="HE99" s="402"/>
      <c r="HF99" s="386"/>
      <c r="HG99" s="384">
        <f>SUM(SUMIFS(K99:HB99,$K$13:$HB$13,{"エネルギー管理指定工場等*","県域*"}))</f>
        <v>0</v>
      </c>
      <c r="HH99" s="402"/>
      <c r="HI99" s="402"/>
      <c r="HJ99" s="386"/>
    </row>
    <row r="100" spans="1:218" ht="99">
      <c r="A100" s="197"/>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72"/>
        <v>0</v>
      </c>
      <c r="HD100" s="402"/>
      <c r="HE100" s="385">
        <f t="shared" si="73"/>
        <v>0</v>
      </c>
      <c r="HF100" s="386"/>
      <c r="HG100" s="384">
        <f>SUM(SUMIFS(K100:HB100,$K$13:$HB$13,{"エネルギー管理指定工場等*","県域*"}))</f>
        <v>0</v>
      </c>
      <c r="HH100" s="402"/>
      <c r="HI100" s="385">
        <f>SUM(SUMIFS(M100:HD100,$K$13:$HB$13,{"エネルギー管理指定工場等*","県域*"}))</f>
        <v>0</v>
      </c>
      <c r="HJ100" s="386"/>
    </row>
    <row r="101" spans="1:218" ht="19.8">
      <c r="A101" s="197"/>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72"/>
        <v>0</v>
      </c>
      <c r="HD101" s="402"/>
      <c r="HE101" s="402"/>
      <c r="HF101" s="386"/>
      <c r="HG101" s="384">
        <f>SUM(SUMIFS(K101:HB101,$K$13:$HB$13,{"エネルギー管理指定工場等*","県域*"}))</f>
        <v>0</v>
      </c>
      <c r="HH101" s="402"/>
      <c r="HI101" s="402"/>
      <c r="HJ101" s="386"/>
    </row>
    <row r="102" spans="1:218" ht="19.8">
      <c r="A102" s="197"/>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72"/>
        <v>0</v>
      </c>
      <c r="HD102" s="402"/>
      <c r="HE102" s="385">
        <f t="shared" si="73"/>
        <v>0</v>
      </c>
      <c r="HF102" s="386"/>
      <c r="HG102" s="384">
        <f>SUM(SUMIFS(K102:HB102,$K$13:$HB$13,{"エネルギー管理指定工場等*","県域*"}))</f>
        <v>0</v>
      </c>
      <c r="HH102" s="402"/>
      <c r="HI102" s="385">
        <f>SUM(SUMIFS(M102:HD102,$K$13:$HB$13,{"エネルギー管理指定工場等*","県域*"}))</f>
        <v>0</v>
      </c>
      <c r="HJ102" s="386"/>
    </row>
    <row r="103" spans="1:218" ht="19.8">
      <c r="A103" s="197"/>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72"/>
        <v>0</v>
      </c>
      <c r="HD103" s="402"/>
      <c r="HE103" s="402"/>
      <c r="HF103" s="386"/>
      <c r="HG103" s="384">
        <f>SUM(SUMIFS(K103:HB103,$K$13:$HB$13,{"エネルギー管理指定工場等*","県域*"}))</f>
        <v>0</v>
      </c>
      <c r="HH103" s="402"/>
      <c r="HI103" s="402"/>
      <c r="HJ103" s="386"/>
    </row>
    <row r="104" spans="1:218" ht="59.4">
      <c r="A104" s="197"/>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72"/>
        <v>0</v>
      </c>
      <c r="HD104" s="402"/>
      <c r="HE104" s="385">
        <f t="shared" si="73"/>
        <v>0</v>
      </c>
      <c r="HF104" s="386"/>
      <c r="HG104" s="384">
        <f>SUM(SUMIFS(K104:HB104,$K$13:$HB$13,{"エネルギー管理指定工場等*","県域*"}))</f>
        <v>0</v>
      </c>
      <c r="HH104" s="402"/>
      <c r="HI104" s="385">
        <f>SUM(SUMIFS(M104:HD104,$K$13:$HB$13,{"エネルギー管理指定工場等*","県域*"}))</f>
        <v>0</v>
      </c>
      <c r="HJ104" s="386"/>
    </row>
    <row r="105" spans="1:218" ht="19.8">
      <c r="A105" s="197"/>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72"/>
        <v>0</v>
      </c>
      <c r="HD105" s="402"/>
      <c r="HE105" s="385">
        <f t="shared" si="73"/>
        <v>0</v>
      </c>
      <c r="HF105" s="386"/>
      <c r="HG105" s="384">
        <f>SUM(SUMIFS(K105:HB105,$K$13:$HB$13,{"エネルギー管理指定工場等*","県域*"}))</f>
        <v>0</v>
      </c>
      <c r="HH105" s="402"/>
      <c r="HI105" s="385">
        <f>SUM(SUMIFS(M105:HD105,$K$13:$HB$13,{"エネルギー管理指定工場等*","県域*"}))</f>
        <v>0</v>
      </c>
      <c r="HJ105" s="386"/>
    </row>
    <row r="106" spans="1:218" ht="59.4">
      <c r="A106" s="197"/>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72"/>
        <v>0</v>
      </c>
      <c r="HD106" s="402"/>
      <c r="HE106" s="385">
        <f t="shared" si="73"/>
        <v>0</v>
      </c>
      <c r="HF106" s="386"/>
      <c r="HG106" s="384">
        <f>SUM(SUMIFS(K106:HB106,$K$13:$HB$13,{"エネルギー管理指定工場等*","県域*"}))</f>
        <v>0</v>
      </c>
      <c r="HH106" s="402"/>
      <c r="HI106" s="385">
        <f>SUM(SUMIFS(M106:HD106,$K$13:$HB$13,{"エネルギー管理指定工場等*","県域*"}))</f>
        <v>0</v>
      </c>
      <c r="HJ106" s="386"/>
    </row>
    <row r="107" spans="1:218" ht="20.399999999999999" thickBot="1">
      <c r="A107" s="197"/>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72"/>
        <v>0</v>
      </c>
      <c r="HD107" s="443"/>
      <c r="HE107" s="444">
        <f t="shared" si="73"/>
        <v>0</v>
      </c>
      <c r="HF107" s="445"/>
      <c r="HG107" s="442">
        <f>SUM(SUMIFS(K107:HB107,$K$13:$HB$13,{"エネルギー管理指定工場等*","県域*"}))</f>
        <v>0</v>
      </c>
      <c r="HH107" s="443"/>
      <c r="HI107" s="444">
        <f>SUM(SUMIFS(M107:HD107,$K$13:$HB$13,{"エネルギー管理指定工場等*","県域*"}))</f>
        <v>0</v>
      </c>
      <c r="HJ107" s="445"/>
    </row>
    <row r="108" spans="1:218" ht="19.8">
      <c r="A108" s="197"/>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row>
    <row r="109" spans="1:218" ht="19.8">
      <c r="A109" s="197"/>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row>
    <row r="110" spans="1:218" ht="20.399999999999999" thickBot="1">
      <c r="A110" s="197"/>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row>
    <row r="111" spans="1:218" ht="20.399999999999999" thickBot="1">
      <c r="A111" s="197"/>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row>
    <row r="112" spans="1:218" ht="19.8">
      <c r="A112" s="197"/>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75"/>
        <v>0</v>
      </c>
      <c r="HE112" s="491">
        <f t="shared" si="75"/>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row>
    <row r="113" spans="1:218" ht="19.8">
      <c r="A113" s="197"/>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75"/>
        <v>0</v>
      </c>
      <c r="HD113" s="502">
        <f t="shared" si="75"/>
        <v>0</v>
      </c>
      <c r="HE113" s="502">
        <f t="shared" si="75"/>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row>
    <row r="114" spans="1:218" ht="19.8">
      <c r="A114" s="197"/>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75"/>
        <v>0</v>
      </c>
      <c r="HD114" s="504">
        <f t="shared" si="75"/>
        <v>0</v>
      </c>
      <c r="HE114" s="504">
        <f t="shared" si="75"/>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row>
    <row r="115" spans="1:218" ht="19.8">
      <c r="A115" s="197"/>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75"/>
        <v>0</v>
      </c>
      <c r="HD115" s="504">
        <f t="shared" si="75"/>
        <v>0</v>
      </c>
      <c r="HE115" s="504">
        <f t="shared" si="75"/>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row>
    <row r="116" spans="1:218" ht="19.8">
      <c r="A116" s="197"/>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75"/>
        <v>0</v>
      </c>
      <c r="HD116" s="504">
        <f t="shared" si="75"/>
        <v>0</v>
      </c>
      <c r="HE116" s="504">
        <f t="shared" si="75"/>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row>
    <row r="117" spans="1:218" ht="19.8">
      <c r="A117" s="197"/>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75"/>
        <v>0</v>
      </c>
      <c r="HD117" s="502">
        <f t="shared" si="75"/>
        <v>0</v>
      </c>
      <c r="HE117" s="502">
        <f t="shared" si="75"/>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row>
    <row r="118" spans="1:218" ht="19.8">
      <c r="A118" s="197"/>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75"/>
        <v>0</v>
      </c>
      <c r="HD118" s="504">
        <f t="shared" si="75"/>
        <v>0</v>
      </c>
      <c r="HE118" s="504">
        <f t="shared" si="75"/>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row>
    <row r="119" spans="1:218" ht="19.8">
      <c r="A119" s="197"/>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75"/>
        <v>0</v>
      </c>
      <c r="HD119" s="504">
        <f t="shared" si="75"/>
        <v>0</v>
      </c>
      <c r="HE119" s="504">
        <f t="shared" si="75"/>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row>
    <row r="120" spans="1:218" ht="19.8">
      <c r="A120" s="197"/>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75"/>
        <v>0</v>
      </c>
      <c r="HD120" s="504">
        <f t="shared" si="75"/>
        <v>0</v>
      </c>
      <c r="HE120" s="504">
        <f t="shared" si="75"/>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row>
    <row r="121" spans="1:218" ht="19.8">
      <c r="A121" s="197"/>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75"/>
        <v>0</v>
      </c>
      <c r="HD121" s="519">
        <f t="shared" si="75"/>
        <v>0</v>
      </c>
      <c r="HE121" s="519">
        <f t="shared" si="75"/>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row>
    <row r="122" spans="1:218" ht="19.8">
      <c r="A122" s="197"/>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75"/>
        <v>0</v>
      </c>
      <c r="HD122" s="523"/>
      <c r="HE122" s="491">
        <f t="shared" si="75"/>
        <v>0</v>
      </c>
      <c r="HF122" s="491">
        <f t="shared" si="75"/>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row>
    <row r="123" spans="1:218" ht="19.8">
      <c r="A123" s="197"/>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75"/>
        <v>0</v>
      </c>
      <c r="HD123" s="528"/>
      <c r="HE123" s="504">
        <f t="shared" si="75"/>
        <v>0</v>
      </c>
      <c r="HF123" s="504">
        <f t="shared" si="75"/>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row>
    <row r="124" spans="1:218" ht="19.8">
      <c r="A124" s="197"/>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75"/>
        <v>0</v>
      </c>
      <c r="HD124" s="536"/>
      <c r="HE124" s="537">
        <f t="shared" si="75"/>
        <v>0</v>
      </c>
      <c r="HF124" s="537">
        <f t="shared" si="75"/>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row>
    <row r="125" spans="1:218" ht="19.8">
      <c r="A125" s="197"/>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75"/>
        <v>0</v>
      </c>
      <c r="HD125" s="523"/>
      <c r="HE125" s="491">
        <f t="shared" si="75"/>
        <v>0</v>
      </c>
      <c r="HF125" s="491">
        <f t="shared" si="75"/>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row>
    <row r="126" spans="1:218" ht="19.8">
      <c r="A126" s="197"/>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75"/>
        <v>0</v>
      </c>
      <c r="HD126" s="528"/>
      <c r="HE126" s="504">
        <f t="shared" si="75"/>
        <v>0</v>
      </c>
      <c r="HF126" s="504">
        <f t="shared" si="75"/>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row>
    <row r="127" spans="1:218" ht="19.8">
      <c r="A127" s="197"/>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75"/>
        <v>0</v>
      </c>
      <c r="HD127" s="543"/>
      <c r="HE127" s="519">
        <f t="shared" si="75"/>
        <v>0</v>
      </c>
      <c r="HF127" s="519">
        <f t="shared" si="75"/>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row>
    <row r="128" spans="1:218" ht="19.8">
      <c r="A128" s="197"/>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75"/>
        <v>0</v>
      </c>
      <c r="HD128" s="551"/>
      <c r="HE128" s="552">
        <f t="shared" si="75"/>
        <v>0</v>
      </c>
      <c r="HF128" s="552">
        <f t="shared" si="75"/>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row>
    <row r="129" spans="1:218" ht="19.8">
      <c r="A129" s="197"/>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75"/>
        <v>0</v>
      </c>
      <c r="HD129" s="536"/>
      <c r="HE129" s="537">
        <f t="shared" si="75"/>
        <v>0</v>
      </c>
      <c r="HF129" s="537">
        <f t="shared" si="75"/>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row>
    <row r="130" spans="1:218" ht="19.8">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75"/>
        <v>0</v>
      </c>
      <c r="HD130" s="543"/>
      <c r="HE130" s="519">
        <f t="shared" si="75"/>
        <v>0</v>
      </c>
      <c r="HF130" s="519">
        <f t="shared" si="75"/>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row>
    <row r="131" spans="1:218" ht="19.8">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75"/>
        <v>0</v>
      </c>
      <c r="HD131" s="523"/>
      <c r="HE131" s="523"/>
      <c r="HF131" s="492"/>
      <c r="HG131" s="490">
        <f>SUM(SUMIFS(K131:HB131,$K$13:$HB$13,{"エネルギー管理指定工場等*","県域*"}))</f>
        <v>0</v>
      </c>
      <c r="HH131" s="523"/>
      <c r="HI131" s="523"/>
      <c r="HJ131" s="492"/>
    </row>
    <row r="132" spans="1:218" ht="19.8">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75"/>
        <v>0</v>
      </c>
      <c r="HD132" s="528"/>
      <c r="HE132" s="528"/>
      <c r="HF132" s="505"/>
      <c r="HG132" s="506">
        <f>SUM(SUMIFS(K132:HB132,$K$13:$HB$13,{"エネルギー管理指定工場等*","県域*"}))</f>
        <v>0</v>
      </c>
      <c r="HH132" s="528"/>
      <c r="HI132" s="528"/>
      <c r="HJ132" s="505"/>
    </row>
    <row r="133" spans="1:218" ht="19.8">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75"/>
        <v>0</v>
      </c>
      <c r="HD133" s="528"/>
      <c r="HE133" s="528"/>
      <c r="HF133" s="505"/>
      <c r="HG133" s="506">
        <f>SUM(SUMIFS(K133:HB133,$K$13:$HB$13,{"エネルギー管理指定工場等*","県域*"}))</f>
        <v>0</v>
      </c>
      <c r="HH133" s="528"/>
      <c r="HI133" s="528"/>
      <c r="HJ133" s="505"/>
    </row>
    <row r="134" spans="1:218" ht="19.8">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75"/>
        <v>0</v>
      </c>
      <c r="HD134" s="528"/>
      <c r="HE134" s="528"/>
      <c r="HF134" s="505"/>
      <c r="HG134" s="506">
        <f>SUM(SUMIFS(K134:HB134,$K$13:$HB$13,{"エネルギー管理指定工場等*","県域*"}))</f>
        <v>0</v>
      </c>
      <c r="HH134" s="528"/>
      <c r="HI134" s="528"/>
      <c r="HJ134" s="505"/>
    </row>
    <row r="135" spans="1:218" ht="19.8">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75"/>
        <v>0</v>
      </c>
      <c r="HD135" s="528"/>
      <c r="HE135" s="528"/>
      <c r="HF135" s="505"/>
      <c r="HG135" s="506">
        <f>SUM(SUMIFS(K135:HB135,$K$13:$HB$13,{"エネルギー管理指定工場等*","県域*"}))</f>
        <v>0</v>
      </c>
      <c r="HH135" s="528"/>
      <c r="HI135" s="528"/>
      <c r="HJ135" s="505"/>
    </row>
    <row r="136" spans="1:218" ht="19.8">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75"/>
        <v>0</v>
      </c>
      <c r="HD136" s="528"/>
      <c r="HE136" s="528"/>
      <c r="HF136" s="505"/>
      <c r="HG136" s="506">
        <f>SUM(SUMIFS(K136:HB136,$K$13:$HB$13,{"エネルギー管理指定工場等*","県域*"}))</f>
        <v>0</v>
      </c>
      <c r="HH136" s="528"/>
      <c r="HI136" s="528"/>
      <c r="HJ136" s="505"/>
    </row>
    <row r="137" spans="1:218" ht="19.8">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75"/>
        <v>0</v>
      </c>
      <c r="HD137" s="528"/>
      <c r="HE137" s="528"/>
      <c r="HF137" s="505"/>
      <c r="HG137" s="506">
        <f>SUM(SUMIFS(K137:HB137,$K$13:$HB$13,{"エネルギー管理指定工場等*","県域*"}))</f>
        <v>0</v>
      </c>
      <c r="HH137" s="528"/>
      <c r="HI137" s="528"/>
      <c r="HJ137" s="505"/>
    </row>
    <row r="138" spans="1:218" ht="19.8">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75"/>
        <v>0</v>
      </c>
      <c r="HD138" s="528"/>
      <c r="HE138" s="528"/>
      <c r="HF138" s="505"/>
      <c r="HG138" s="506">
        <f>SUM(SUMIFS(K138:HB138,$K$13:$HB$13,{"エネルギー管理指定工場等*","県域*"}))</f>
        <v>0</v>
      </c>
      <c r="HH138" s="528"/>
      <c r="HI138" s="528"/>
      <c r="HJ138" s="505"/>
    </row>
    <row r="139" spans="1:218" ht="19.8">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75"/>
        <v>0</v>
      </c>
      <c r="HD139" s="528"/>
      <c r="HE139" s="528"/>
      <c r="HF139" s="505"/>
      <c r="HG139" s="506">
        <f>SUM(SUMIFS(K139:HB139,$K$13:$HB$13,{"エネルギー管理指定工場等*","県域*"}))</f>
        <v>0</v>
      </c>
      <c r="HH139" s="528"/>
      <c r="HI139" s="528"/>
      <c r="HJ139" s="505"/>
    </row>
    <row r="140" spans="1:218" ht="19.8">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75"/>
        <v>0</v>
      </c>
      <c r="HD140" s="543"/>
      <c r="HE140" s="543"/>
      <c r="HF140" s="520"/>
      <c r="HG140" s="518">
        <f>SUM(SUMIFS(K140:HB140,$K$13:$HB$13,{"エネルギー管理指定工場等*","県域*"}))</f>
        <v>0</v>
      </c>
      <c r="HH140" s="543"/>
      <c r="HI140" s="543"/>
      <c r="HJ140" s="520"/>
    </row>
    <row r="141" spans="1:218" ht="19.8">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75"/>
        <v>0</v>
      </c>
      <c r="HD141" s="523"/>
      <c r="HE141" s="523"/>
      <c r="HF141" s="492"/>
      <c r="HG141" s="490">
        <f>SUM(SUMIFS(K141:HB141,$K$13:$HB$13,{"エネルギー管理指定工場等*","県域*"}))</f>
        <v>0</v>
      </c>
      <c r="HH141" s="523"/>
      <c r="HI141" s="523"/>
      <c r="HJ141" s="492"/>
    </row>
    <row r="142" spans="1:218" ht="19.8">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75"/>
        <v>0</v>
      </c>
      <c r="HD142" s="528"/>
      <c r="HE142" s="528"/>
      <c r="HF142" s="505"/>
      <c r="HG142" s="506">
        <f>SUM(SUMIFS(K142:HB142,$K$13:$HB$13,{"エネルギー管理指定工場等*","県域*"}))</f>
        <v>0</v>
      </c>
      <c r="HH142" s="528"/>
      <c r="HI142" s="528"/>
      <c r="HJ142" s="505"/>
    </row>
    <row r="143" spans="1:218" ht="19.8">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75"/>
        <v>0</v>
      </c>
      <c r="HD143" s="528"/>
      <c r="HE143" s="528"/>
      <c r="HF143" s="505"/>
      <c r="HG143" s="506">
        <f>SUM(SUMIFS(K143:HB143,$K$13:$HB$13,{"エネルギー管理指定工場等*","県域*"}))</f>
        <v>0</v>
      </c>
      <c r="HH143" s="528"/>
      <c r="HI143" s="528"/>
      <c r="HJ143" s="505"/>
    </row>
    <row r="144" spans="1:218" ht="19.8">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19.8">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76"/>
        <v>0</v>
      </c>
      <c r="HD145" s="528"/>
      <c r="HE145" s="528"/>
      <c r="HF145" s="505"/>
      <c r="HG145" s="506">
        <f>SUM(SUMIFS(K145:HB145,$K$13:$HB$13,{"エネルギー管理指定工場等*","県域*"}))</f>
        <v>0</v>
      </c>
      <c r="HH145" s="528"/>
      <c r="HI145" s="528"/>
      <c r="HJ145" s="505"/>
    </row>
    <row r="146" spans="1:218" ht="19.8">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76"/>
        <v>0</v>
      </c>
      <c r="HD146" s="528"/>
      <c r="HE146" s="528"/>
      <c r="HF146" s="505"/>
      <c r="HG146" s="506">
        <f>SUM(SUMIFS(K146:HB146,$K$13:$HB$13,{"エネルギー管理指定工場等*","県域*"}))</f>
        <v>0</v>
      </c>
      <c r="HH146" s="528"/>
      <c r="HI146" s="528"/>
      <c r="HJ146" s="505"/>
    </row>
    <row r="147" spans="1:218" ht="19.8">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76"/>
        <v>0</v>
      </c>
      <c r="HD147" s="528"/>
      <c r="HE147" s="528"/>
      <c r="HF147" s="505"/>
      <c r="HG147" s="506">
        <f>SUM(SUMIFS(K147:HB147,$K$13:$HB$13,{"エネルギー管理指定工場等*","県域*"}))</f>
        <v>0</v>
      </c>
      <c r="HH147" s="528"/>
      <c r="HI147" s="528"/>
      <c r="HJ147" s="505"/>
    </row>
    <row r="148" spans="1:218" ht="19.8">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76"/>
        <v>0</v>
      </c>
      <c r="HD148" s="528"/>
      <c r="HE148" s="528"/>
      <c r="HF148" s="505"/>
      <c r="HG148" s="506">
        <f>SUM(SUMIFS(K148:HB148,$K$13:$HB$13,{"エネルギー管理指定工場等*","県域*"}))</f>
        <v>0</v>
      </c>
      <c r="HH148" s="528"/>
      <c r="HI148" s="528"/>
      <c r="HJ148" s="505"/>
    </row>
    <row r="149" spans="1:218" ht="19.8">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76"/>
        <v>0</v>
      </c>
      <c r="HD149" s="528"/>
      <c r="HE149" s="528"/>
      <c r="HF149" s="505"/>
      <c r="HG149" s="506">
        <f>SUM(SUMIFS(K149:HB149,$K$13:$HB$13,{"エネルギー管理指定工場等*","県域*"}))</f>
        <v>0</v>
      </c>
      <c r="HH149" s="528"/>
      <c r="HI149" s="528"/>
      <c r="HJ149" s="505"/>
    </row>
    <row r="150" spans="1:218" ht="19.8">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76"/>
        <v>0</v>
      </c>
      <c r="HD150" s="543"/>
      <c r="HE150" s="543"/>
      <c r="HF150" s="520"/>
      <c r="HG150" s="518">
        <f>SUM(SUMIFS(K150:HB150,$K$13:$HB$13,{"エネルギー管理指定工場等*","県域*"}))</f>
        <v>0</v>
      </c>
      <c r="HH150" s="543"/>
      <c r="HI150" s="543"/>
      <c r="HJ150" s="520"/>
    </row>
    <row r="151" spans="1:218" ht="19.8">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76"/>
        <v>0</v>
      </c>
      <c r="HD151" s="523"/>
      <c r="HE151" s="523"/>
      <c r="HF151" s="492"/>
      <c r="HG151" s="490">
        <f>SUM(SUMIFS(K151:HB151,$K$13:$HB$13,{"エネルギー管理指定工場等*","県域*"}))</f>
        <v>0</v>
      </c>
      <c r="HH151" s="523"/>
      <c r="HI151" s="523"/>
      <c r="HJ151" s="492"/>
    </row>
    <row r="152" spans="1:218" ht="19.8">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76"/>
        <v>0</v>
      </c>
      <c r="HD152" s="528"/>
      <c r="HE152" s="528"/>
      <c r="HF152" s="505"/>
      <c r="HG152" s="506">
        <f>SUM(SUMIFS(K152:HB152,$K$13:$HB$13,{"エネルギー管理指定工場等*","県域*"}))</f>
        <v>0</v>
      </c>
      <c r="HH152" s="528"/>
      <c r="HI152" s="528"/>
      <c r="HJ152" s="505"/>
    </row>
    <row r="153" spans="1:218" ht="19.8">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76"/>
        <v>0</v>
      </c>
      <c r="HD153" s="528"/>
      <c r="HE153" s="528"/>
      <c r="HF153" s="505"/>
      <c r="HG153" s="506">
        <f>SUM(SUMIFS(K153:HB153,$K$13:$HB$13,{"エネルギー管理指定工場等*","県域*"}))</f>
        <v>0</v>
      </c>
      <c r="HH153" s="528"/>
      <c r="HI153" s="528"/>
      <c r="HJ153" s="505"/>
    </row>
    <row r="154" spans="1:218" ht="19.8">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76"/>
        <v>0</v>
      </c>
      <c r="HD154" s="528"/>
      <c r="HE154" s="528"/>
      <c r="HF154" s="505"/>
      <c r="HG154" s="506">
        <f>SUM(SUMIFS(K154:HB154,$K$13:$HB$13,{"エネルギー管理指定工場等*","県域*"}))</f>
        <v>0</v>
      </c>
      <c r="HH154" s="528"/>
      <c r="HI154" s="528"/>
      <c r="HJ154" s="505"/>
    </row>
    <row r="155" spans="1:218" ht="19.8">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76"/>
        <v>0</v>
      </c>
      <c r="HD155" s="528"/>
      <c r="HE155" s="528"/>
      <c r="HF155" s="505"/>
      <c r="HG155" s="506">
        <f>SUM(SUMIFS(K155:HB155,$K$13:$HB$13,{"エネルギー管理指定工場等*","県域*"}))</f>
        <v>0</v>
      </c>
      <c r="HH155" s="528"/>
      <c r="HI155" s="528"/>
      <c r="HJ155" s="505"/>
    </row>
    <row r="156" spans="1:218" ht="19.8">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76"/>
        <v>0</v>
      </c>
      <c r="HD156" s="528"/>
      <c r="HE156" s="528"/>
      <c r="HF156" s="505"/>
      <c r="HG156" s="506">
        <f>SUM(SUMIFS(K156:HB156,$K$13:$HB$13,{"エネルギー管理指定工場等*","県域*"}))</f>
        <v>0</v>
      </c>
      <c r="HH156" s="528"/>
      <c r="HI156" s="528"/>
      <c r="HJ156" s="505"/>
    </row>
    <row r="157" spans="1:218" ht="19.8">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76"/>
        <v>0</v>
      </c>
      <c r="HD157" s="528"/>
      <c r="HE157" s="528"/>
      <c r="HF157" s="505"/>
      <c r="HG157" s="506">
        <f>SUM(SUMIFS(K157:HB157,$K$13:$HB$13,{"エネルギー管理指定工場等*","県域*"}))</f>
        <v>0</v>
      </c>
      <c r="HH157" s="528"/>
      <c r="HI157" s="528"/>
      <c r="HJ157" s="505"/>
    </row>
    <row r="158" spans="1:218" ht="19.8">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76"/>
        <v>0</v>
      </c>
      <c r="HD158" s="528"/>
      <c r="HE158" s="528"/>
      <c r="HF158" s="505"/>
      <c r="HG158" s="506">
        <f>SUM(SUMIFS(K158:HB158,$K$13:$HB$13,{"エネルギー管理指定工場等*","県域*"}))</f>
        <v>0</v>
      </c>
      <c r="HH158" s="528"/>
      <c r="HI158" s="528"/>
      <c r="HJ158" s="505"/>
    </row>
    <row r="159" spans="1:218" ht="19.8">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76"/>
        <v>0</v>
      </c>
      <c r="HD159" s="528"/>
      <c r="HE159" s="528"/>
      <c r="HF159" s="505"/>
      <c r="HG159" s="506">
        <f>SUM(SUMIFS(K159:HB159,$K$13:$HB$13,{"エネルギー管理指定工場等*","県域*"}))</f>
        <v>0</v>
      </c>
      <c r="HH159" s="528"/>
      <c r="HI159" s="528"/>
      <c r="HJ159" s="505"/>
    </row>
    <row r="160" spans="1:218" ht="20.399999999999999"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76"/>
        <v>0</v>
      </c>
      <c r="HD160" s="562"/>
      <c r="HE160" s="562"/>
      <c r="HF160" s="563"/>
      <c r="HG160" s="561">
        <f>SUM(SUMIFS(K160:HB160,$K$13:$HB$13,{"エネルギー管理指定工場等*","県域*"}))</f>
        <v>0</v>
      </c>
      <c r="HH160" s="562"/>
      <c r="HI160" s="562"/>
      <c r="HJ160" s="563"/>
    </row>
    <row r="161" spans="1:210" ht="19.8">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19.8">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19.8">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19.8">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19.8">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19.8">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19.8">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19.8">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19.8">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399999999999999"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19.8">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19.8">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399999999999999"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19.8">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19.8">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19.8">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19.8">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19.8">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19.8">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19.8">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19.8">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19.8">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19.8">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19.8">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19.8">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19.8">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19.8">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19.8">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10" ht="19.8">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10" ht="19.8">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10" ht="19.8">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10" ht="19.8">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10" ht="19.8">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10" ht="19.8">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10" ht="19.8">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10" ht="19.8">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10" ht="19.8">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10" ht="19.8">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10" ht="19.8">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10" ht="19.8">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10" ht="19.8">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10"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10"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10" ht="39.6">
      <c r="A208" s="197"/>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row>
    <row r="209" spans="1:210" ht="19.8">
      <c r="A209" s="197"/>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row>
    <row r="210" spans="1:210" ht="19.8">
      <c r="A210" s="197"/>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row>
    <row r="211" spans="1:210" ht="19.8">
      <c r="A211" s="197"/>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row>
    <row r="212" spans="1:210" ht="19.8">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row>
    <row r="213" spans="1:210" ht="19.8">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10" ht="19.8">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10" ht="19.8">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10" ht="19.8">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10" ht="19.8">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10" ht="19.8">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10" ht="19.8">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10" ht="20.399999999999999"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10" ht="19.8">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10" ht="19.8">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10"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10" ht="19.8">
      <c r="B224" s="638"/>
      <c r="C224" s="639"/>
      <c r="D224" s="639"/>
      <c r="E224" s="639"/>
      <c r="F224" s="639"/>
      <c r="G224" s="639"/>
      <c r="H224" s="639"/>
      <c r="I224" s="639"/>
      <c r="J224" s="639"/>
      <c r="K224" s="639"/>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179"/>
      <c r="AP224" s="179"/>
      <c r="AQ224" s="181"/>
      <c r="AR224" s="181"/>
      <c r="AS224" s="181"/>
      <c r="AT224" s="181"/>
      <c r="AU224" s="181"/>
      <c r="AV224" s="181"/>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181"/>
      <c r="BR224" s="181"/>
      <c r="BS224" s="181"/>
      <c r="BT224" s="181"/>
      <c r="BU224" s="181"/>
      <c r="BV224" s="181"/>
    </row>
    <row r="225" spans="1:242" s="193" customFormat="1" ht="20.100000000000001" hidden="1" customHeight="1">
      <c r="A225" s="201" t="s">
        <v>4258</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c r="B226" s="215" t="s">
        <v>4259</v>
      </c>
      <c r="E226" s="180"/>
      <c r="F226" s="1084" t="s">
        <v>4260</v>
      </c>
      <c r="G226" s="1085" t="s">
        <v>4261</v>
      </c>
      <c r="H226" s="1085"/>
      <c r="I226" s="640" t="s">
        <v>4262</v>
      </c>
      <c r="J226" s="641"/>
      <c r="K226" s="216" t="str">
        <f ca="1">OFFSET(貼付け_2024実績,4,SUM(COLUMN()-COLUMN(貼付け_2024実績)))</f>
        <v>横浜1</v>
      </c>
      <c r="L226" s="217"/>
      <c r="M226" s="217"/>
      <c r="N226" s="218"/>
      <c r="O226" s="216" t="str">
        <f ca="1">OFFSET(貼付け_2024実績,4,SUM(COLUMN()-COLUMN(貼付け_2024実績)))</f>
        <v>横浜2</v>
      </c>
      <c r="P226" s="217"/>
      <c r="Q226" s="217"/>
      <c r="R226" s="218"/>
      <c r="S226" s="216" t="str">
        <f ca="1">OFFSET(貼付け_2024実績,4,SUM(COLUMN()-COLUMN(貼付け_2024実績)))</f>
        <v>横浜3</v>
      </c>
      <c r="T226" s="217"/>
      <c r="U226" s="217"/>
      <c r="V226" s="218"/>
      <c r="W226" s="216" t="str">
        <f ca="1">OFFSET(貼付け_2024実績,4,SUM(COLUMN()-COLUMN(貼付け_2024実績)))</f>
        <v>県域1</v>
      </c>
      <c r="X226" s="217"/>
      <c r="Y226" s="217"/>
      <c r="Z226" s="218"/>
      <c r="AA226" s="216" t="str">
        <f ca="1">OFFSET(貼付け_2024実績,4,SUM(COLUMN()-COLUMN(貼付け_2024実績)))</f>
        <v>県域2</v>
      </c>
      <c r="AB226" s="217"/>
      <c r="AC226" s="217"/>
      <c r="AD226" s="218"/>
      <c r="AE226" s="216" t="str">
        <f ca="1">OFFSET(貼付け_2024実績,4,SUM(COLUMN()-COLUMN(貼付け_2024実績)))</f>
        <v>県域3</v>
      </c>
      <c r="AF226" s="217"/>
      <c r="AG226" s="217"/>
      <c r="AH226" s="218"/>
      <c r="AI226" s="216" t="str">
        <f ca="1">OFFSET(貼付け_2024実績,4,SUM(COLUMN()-COLUMN(貼付け_2024実績)))</f>
        <v>エネルギー管理指定工場等1</v>
      </c>
      <c r="AJ226" s="217"/>
      <c r="AK226" s="217"/>
      <c r="AL226" s="218"/>
      <c r="AM226" s="216" t="str">
        <f ca="1">OFFSET(貼付け_2024実績,4,SUM(COLUMN()-COLUMN(貼付け_2024実績)))</f>
        <v>エネルギー管理指定工場等2</v>
      </c>
      <c r="AN226" s="217"/>
      <c r="AO226" s="217"/>
      <c r="AP226" s="218"/>
      <c r="AQ226" s="216" t="str">
        <f ca="1">OFFSET(貼付け_2024実績,4,SUM(COLUMN()-COLUMN(貼付け_2024実績)))</f>
        <v>エネルギー管理指定工場等3</v>
      </c>
      <c r="AR226" s="217"/>
      <c r="AS226" s="217"/>
      <c r="AT226" s="218"/>
      <c r="AU226" s="216" t="str">
        <f ca="1">OFFSET(貼付け_2024実績,4,SUM(COLUMN()-COLUMN(貼付け_2024実績)))</f>
        <v>エネルギー管理指定工場等4</v>
      </c>
      <c r="AV226" s="217"/>
      <c r="AW226" s="217"/>
      <c r="AX226" s="218"/>
      <c r="AY226" s="216" t="str">
        <f ca="1">OFFSET(貼付け_2024実績,4,SUM(COLUMN()-COLUMN(貼付け_2024実績)))</f>
        <v>エネルギー管理指定工場等5</v>
      </c>
      <c r="AZ226" s="217"/>
      <c r="BA226" s="217"/>
      <c r="BB226" s="218"/>
      <c r="BC226" s="216" t="str">
        <f ca="1">OFFSET(貼付け_2024実績,4,SUM(COLUMN()-COLUMN(貼付け_2024実績)))</f>
        <v>エネルギー管理指定工場等6</v>
      </c>
      <c r="BD226" s="217"/>
      <c r="BE226" s="217"/>
      <c r="BF226" s="218"/>
      <c r="BG226" s="216" t="str">
        <f ca="1">OFFSET(貼付け_2024実績,4,SUM(COLUMN()-COLUMN(貼付け_2024実績)))</f>
        <v>エネルギー管理指定工場等7</v>
      </c>
      <c r="BH226" s="217"/>
      <c r="BI226" s="217"/>
      <c r="BJ226" s="218"/>
      <c r="BK226" s="216" t="str">
        <f ca="1">OFFSET(貼付け_2024実績,4,SUM(COLUMN()-COLUMN(貼付け_2024実績)))</f>
        <v>エネルギー管理指定工場等8</v>
      </c>
      <c r="BL226" s="217"/>
      <c r="BM226" s="217"/>
      <c r="BN226" s="218"/>
      <c r="BO226" s="216" t="str">
        <f ca="1">OFFSET(貼付け_2024実績,4,SUM(COLUMN()-COLUMN(貼付け_2024実績)))</f>
        <v>エネルギー管理指定工場等9</v>
      </c>
      <c r="BP226" s="217"/>
      <c r="BQ226" s="217"/>
      <c r="BR226" s="218"/>
      <c r="BS226" s="216" t="str">
        <f ca="1">OFFSET(貼付け_2024実績,4,SUM(COLUMN()-COLUMN(貼付け_2024実績)))</f>
        <v>エネルギー管理指定工場等10</v>
      </c>
      <c r="BT226" s="217"/>
      <c r="BU226" s="217"/>
      <c r="BV226" s="218"/>
      <c r="BW226" s="216">
        <f ca="1">OFFSET(貼付け_2024実績,4,SUM(COLUMN()-COLUMN(貼付け_2024実績)))</f>
        <v>0</v>
      </c>
      <c r="BX226" s="217"/>
      <c r="BY226" s="217"/>
      <c r="BZ226" s="218"/>
      <c r="CA226" s="216" t="str">
        <f ca="1">OFFSET(貼付け_2024実績,4,SUM(COLUMN()-COLUMN(貼付け_2024実績)))</f>
        <v>県域4</v>
      </c>
      <c r="CB226" s="217"/>
      <c r="CC226" s="217"/>
      <c r="CD226" s="218"/>
      <c r="CE226" s="216" t="str">
        <f ca="1">OFFSET(貼付け_2024実績,4,SUM(COLUMN()-COLUMN(貼付け_2024実績)))</f>
        <v>県域5</v>
      </c>
      <c r="CF226" s="217"/>
      <c r="CG226" s="217"/>
      <c r="CH226" s="218"/>
      <c r="CI226" s="216" t="str">
        <f ca="1">OFFSET(貼付け_2024実績,4,SUM(COLUMN()-COLUMN(貼付け_2024実績)))</f>
        <v>県域6</v>
      </c>
      <c r="CJ226" s="217"/>
      <c r="CK226" s="217"/>
      <c r="CL226" s="218"/>
      <c r="CM226" s="216" t="str">
        <f ca="1">OFFSET(貼付け_2024実績,4,SUM(COLUMN()-COLUMN(貼付け_2024実績)))</f>
        <v>県域7</v>
      </c>
      <c r="CN226" s="217"/>
      <c r="CO226" s="217"/>
      <c r="CP226" s="218"/>
      <c r="CQ226" s="216" t="str">
        <f ca="1">OFFSET(貼付け_2024実績,4,SUM(COLUMN()-COLUMN(貼付け_2024実績)))</f>
        <v>県域8</v>
      </c>
      <c r="CR226" s="217"/>
      <c r="CS226" s="217"/>
      <c r="CT226" s="218"/>
      <c r="CU226" s="216" t="str">
        <f ca="1">OFFSET(貼付け_2024実績,4,SUM(COLUMN()-COLUMN(貼付け_2024実績)))</f>
        <v>県域9</v>
      </c>
      <c r="CV226" s="217"/>
      <c r="CW226" s="217"/>
      <c r="CX226" s="218"/>
      <c r="CY226" s="216" t="str">
        <f ca="1">OFFSET(貼付け_2024実績,4,SUM(COLUMN()-COLUMN(貼付け_2024実績)))</f>
        <v>県域10</v>
      </c>
      <c r="CZ226" s="217"/>
      <c r="DA226" s="217"/>
      <c r="DB226" s="218"/>
      <c r="DC226" s="216" t="str">
        <f ca="1">OFFSET(貼付け_2024実績,4,SUM(COLUMN()-COLUMN(貼付け_2024実績)))</f>
        <v>横浜3</v>
      </c>
      <c r="DD226" s="217"/>
      <c r="DE226" s="217"/>
      <c r="DF226" s="218"/>
      <c r="DG226" s="216" t="str">
        <f ca="1">OFFSET(貼付け_2024実績,4,SUM(COLUMN()-COLUMN(貼付け_2024実績)))</f>
        <v>横浜4</v>
      </c>
      <c r="DH226" s="217"/>
      <c r="DI226" s="217"/>
      <c r="DJ226" s="218"/>
      <c r="DK226" s="216" t="str">
        <f ca="1">OFFSET(貼付け_2024実績,4,SUM(COLUMN()-COLUMN(貼付け_2024実績)))</f>
        <v>横浜5</v>
      </c>
      <c r="DL226" s="217"/>
      <c r="DM226" s="217"/>
      <c r="DN226" s="218"/>
      <c r="DO226" s="216" t="str">
        <f ca="1">OFFSET(貼付け_2024実績,4,SUM(COLUMN()-COLUMN(貼付け_2024実績)))</f>
        <v>横浜6</v>
      </c>
      <c r="DP226" s="217"/>
      <c r="DQ226" s="217"/>
      <c r="DR226" s="218"/>
      <c r="DS226" s="216" t="str">
        <f ca="1">OFFSET(貼付け_2024実績,4,SUM(COLUMN()-COLUMN(貼付け_2024実績)))</f>
        <v>横浜7</v>
      </c>
      <c r="DT226" s="217"/>
      <c r="DU226" s="217"/>
      <c r="DV226" s="218"/>
      <c r="DW226" s="216" t="str">
        <f ca="1">OFFSET(貼付け_2024実績,4,SUM(COLUMN()-COLUMN(貼付け_2024実績)))</f>
        <v>横浜8</v>
      </c>
      <c r="DX226" s="217"/>
      <c r="DY226" s="217"/>
      <c r="DZ226" s="218"/>
      <c r="EA226" s="216" t="str">
        <f ca="1">OFFSET(貼付け_2024実績,4,SUM(COLUMN()-COLUMN(貼付け_2024実績)))</f>
        <v>横浜9</v>
      </c>
      <c r="EB226" s="217"/>
      <c r="EC226" s="217"/>
      <c r="ED226" s="218"/>
      <c r="EE226" s="216" t="str">
        <f ca="1">OFFSET(貼付け_2024実績,4,SUM(COLUMN()-COLUMN(貼付け_2024実績)))</f>
        <v>横浜10</v>
      </c>
      <c r="EF226" s="217"/>
      <c r="EG226" s="217"/>
      <c r="EH226" s="218"/>
      <c r="EI226" s="216" t="str">
        <f ca="1">OFFSET(貼付け_2024実績,4,SUM(COLUMN()-COLUMN(貼付け_2024実績)))</f>
        <v>川崎1</v>
      </c>
      <c r="EJ226" s="217"/>
      <c r="EK226" s="217"/>
      <c r="EL226" s="218"/>
      <c r="EM226" s="216" t="str">
        <f ca="1">OFFSET(貼付け_2024実績,4,SUM(COLUMN()-COLUMN(貼付け_2024実績)))</f>
        <v>川崎2</v>
      </c>
      <c r="EN226" s="217"/>
      <c r="EO226" s="217"/>
      <c r="EP226" s="218"/>
      <c r="EQ226" s="216" t="str">
        <f ca="1">OFFSET(貼付け_2024実績,4,SUM(COLUMN()-COLUMN(貼付け_2024実績)))</f>
        <v>川崎3</v>
      </c>
      <c r="ER226" s="217"/>
      <c r="ES226" s="217"/>
      <c r="ET226" s="218"/>
      <c r="EU226" s="216" t="str">
        <f ca="1">OFFSET(貼付け_2024実績,4,SUM(COLUMN()-COLUMN(貼付け_2024実績)))</f>
        <v>川崎6</v>
      </c>
      <c r="EV226" s="217"/>
      <c r="EW226" s="217"/>
      <c r="EX226" s="218"/>
      <c r="EY226" s="216" t="str">
        <f ca="1">OFFSET(貼付け_2024実績,4,SUM(COLUMN()-COLUMN(貼付け_2024実績)))</f>
        <v>川崎7</v>
      </c>
      <c r="EZ226" s="217"/>
      <c r="FA226" s="217"/>
      <c r="FB226" s="218"/>
      <c r="FC226" s="216" t="str">
        <f ca="1">OFFSET(貼付け_2024実績,4,SUM(COLUMN()-COLUMN(貼付け_2024実績)))</f>
        <v>川崎8</v>
      </c>
      <c r="FD226" s="217"/>
      <c r="FE226" s="217"/>
      <c r="FF226" s="218"/>
      <c r="FG226" s="216" t="str">
        <f ca="1">OFFSET(貼付け_2024実績,4,SUM(COLUMN()-COLUMN(貼付け_2024実績)))</f>
        <v>川崎9</v>
      </c>
      <c r="FH226" s="217"/>
      <c r="FI226" s="217"/>
      <c r="FJ226" s="218"/>
      <c r="FK226" s="216" t="str">
        <f ca="1">OFFSET(貼付け_2024実績,4,SUM(COLUMN()-COLUMN(貼付け_2024実績)))</f>
        <v>川崎10</v>
      </c>
      <c r="FL226" s="217"/>
      <c r="FM226" s="217"/>
      <c r="FN226" s="218"/>
      <c r="FO226" s="216" t="str">
        <f ca="1">OFFSET(貼付け_2024実績,4,SUM(COLUMN()-COLUMN(貼付け_2024実績)))</f>
        <v>川崎11</v>
      </c>
      <c r="FP226" s="217"/>
      <c r="FQ226" s="217"/>
      <c r="FR226" s="218"/>
      <c r="FS226" s="216" t="str">
        <f ca="1">OFFSET(貼付け_2024実績,4,SUM(COLUMN()-COLUMN(貼付け_2024実績)))</f>
        <v>川崎12</v>
      </c>
      <c r="FT226" s="217"/>
      <c r="FU226" s="217"/>
      <c r="FV226" s="218"/>
      <c r="FW226" s="216" t="str">
        <f ca="1">OFFSET(貼付け_2024実績,4,SUM(COLUMN()-COLUMN(貼付け_2024実績)))</f>
        <v>川崎13</v>
      </c>
      <c r="FX226" s="217"/>
      <c r="FY226" s="217"/>
      <c r="FZ226" s="218"/>
      <c r="GA226" s="216" t="str">
        <f ca="1">OFFSET(貼付け_2024実績,4,SUM(COLUMN()-COLUMN(貼付け_2024実績)))</f>
        <v>川崎14</v>
      </c>
      <c r="GB226" s="217"/>
      <c r="GC226" s="217"/>
      <c r="GD226" s="218"/>
      <c r="GE226" s="216" t="str">
        <f ca="1">OFFSET(貼付け_2024実績,4,SUM(COLUMN()-COLUMN(貼付け_2024実績)))</f>
        <v>川崎15</v>
      </c>
      <c r="GF226" s="217"/>
      <c r="GG226" s="217"/>
      <c r="GH226" s="218"/>
      <c r="GI226" s="216" t="str">
        <f ca="1">OFFSET(貼付け_2024実績,4,SUM(COLUMN()-COLUMN(貼付け_2024実績)))</f>
        <v>川崎16</v>
      </c>
      <c r="GJ226" s="217"/>
      <c r="GK226" s="217"/>
      <c r="GL226" s="218"/>
      <c r="GM226" s="216" t="str">
        <f ca="1">OFFSET(貼付け_2024実績,4,SUM(COLUMN()-COLUMN(貼付け_2024実績)))</f>
        <v>川崎17</v>
      </c>
      <c r="GN226" s="217"/>
      <c r="GO226" s="217"/>
      <c r="GP226" s="218"/>
      <c r="GQ226" s="216" t="str">
        <f ca="1">OFFSET(貼付け_2024実績,4,SUM(COLUMN()-COLUMN(貼付け_2024実績)))</f>
        <v>川崎18</v>
      </c>
      <c r="GR226" s="217"/>
      <c r="GS226" s="217"/>
      <c r="GT226" s="218"/>
      <c r="GU226" s="216" t="str">
        <f ca="1">OFFSET(貼付け_2024実績,4,SUM(COLUMN()-COLUMN(貼付け_2024実績)))</f>
        <v>川崎19</v>
      </c>
      <c r="GV226" s="217"/>
      <c r="GW226" s="217"/>
      <c r="GX226" s="218"/>
      <c r="GY226" s="216" t="str">
        <f ca="1">OFFSET(貼付け_2024実績,4,SUM(COLUMN()-COLUMN(貼付け_2024実績)))</f>
        <v>川崎20</v>
      </c>
      <c r="GZ226" s="217"/>
      <c r="HA226" s="217"/>
      <c r="HB226" s="218"/>
      <c r="IE226" s="219"/>
      <c r="IF226" s="219"/>
      <c r="IG226" s="219"/>
      <c r="IH226" s="219"/>
    </row>
    <row r="227" spans="1:242" s="197" customFormat="1" ht="19.8" hidden="1">
      <c r="A227" s="214"/>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c r="C228" s="221" t="s">
        <v>4265</v>
      </c>
      <c r="D228" s="222"/>
      <c r="E228" s="223"/>
      <c r="F228" s="224">
        <v>200</v>
      </c>
      <c r="G228" s="224">
        <v>103</v>
      </c>
      <c r="H228" s="224">
        <v>169</v>
      </c>
      <c r="I228" s="224">
        <f ca="1">SUMPRODUCT(OFFSET(貼付け_2024実績,$F228,6,5,1),OFFSET(貼付け_2024実績,$F228,SUM(COLUMN()-COLUMN(貼付け_2024実績)),5,1))</f>
        <v>0</v>
      </c>
      <c r="J228" s="224">
        <f ca="1">SUMPRODUCT(OFFSET(貼付け_2024実績,$F228,6,5,1),OFFSET(貼付け_2024実績,$F228,SUM(COLUMN()-COLUMN(貼付け_2024実績)),5,1))</f>
        <v>0</v>
      </c>
      <c r="K228" s="224">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224">
        <f t="shared" ca="1" si="77"/>
        <v>0</v>
      </c>
      <c r="M228" s="224">
        <f t="shared" ca="1" si="77"/>
        <v>0</v>
      </c>
      <c r="N228" s="224">
        <f t="shared" ca="1" si="77"/>
        <v>0</v>
      </c>
      <c r="O228" s="224">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224">
        <f t="shared" ca="1" si="77"/>
        <v>0</v>
      </c>
      <c r="Q228" s="224">
        <f t="shared" ca="1" si="77"/>
        <v>0</v>
      </c>
      <c r="R228" s="224">
        <f t="shared" ca="1" si="77"/>
        <v>0</v>
      </c>
      <c r="S228" s="224">
        <f t="shared" ca="1" si="77"/>
        <v>0</v>
      </c>
      <c r="T228" s="224">
        <f t="shared" ca="1" si="77"/>
        <v>0</v>
      </c>
      <c r="U228" s="224">
        <f t="shared" ca="1" si="77"/>
        <v>0</v>
      </c>
      <c r="V228" s="224">
        <f t="shared" ca="1" si="77"/>
        <v>0</v>
      </c>
      <c r="W228" s="224">
        <f t="shared" ca="1" si="77"/>
        <v>0</v>
      </c>
      <c r="X228" s="224">
        <f t="shared" ca="1" si="77"/>
        <v>0</v>
      </c>
      <c r="Y228" s="224">
        <f t="shared" ca="1" si="77"/>
        <v>0</v>
      </c>
      <c r="Z228" s="224">
        <f t="shared" ca="1" si="77"/>
        <v>0</v>
      </c>
      <c r="AA228" s="224">
        <f t="shared" ca="1" si="77"/>
        <v>0</v>
      </c>
      <c r="AB228" s="224">
        <f t="shared" ca="1" si="77"/>
        <v>0</v>
      </c>
      <c r="AC228" s="224">
        <f t="shared" ca="1" si="77"/>
        <v>0</v>
      </c>
      <c r="AD228" s="224">
        <f t="shared" ca="1" si="77"/>
        <v>0</v>
      </c>
      <c r="AE228" s="224">
        <f t="shared" ca="1" si="77"/>
        <v>0</v>
      </c>
      <c r="AF228" s="224">
        <f t="shared" ca="1" si="77"/>
        <v>0</v>
      </c>
      <c r="AG228" s="224">
        <f t="shared" ca="1" si="77"/>
        <v>0</v>
      </c>
      <c r="AH228" s="224">
        <f t="shared" ca="1" si="77"/>
        <v>0</v>
      </c>
      <c r="AI228" s="224">
        <f t="shared" ca="1" si="77"/>
        <v>0</v>
      </c>
      <c r="AJ228" s="224">
        <f t="shared" ca="1" si="77"/>
        <v>0</v>
      </c>
      <c r="AK228" s="224">
        <f t="shared" ca="1" si="77"/>
        <v>0</v>
      </c>
      <c r="AL228" s="224">
        <f t="shared" ca="1" si="77"/>
        <v>0</v>
      </c>
      <c r="AM228" s="224">
        <f t="shared" ca="1" si="77"/>
        <v>0</v>
      </c>
      <c r="AN228" s="224">
        <f t="shared" ca="1" si="77"/>
        <v>0</v>
      </c>
      <c r="AO228" s="224">
        <f t="shared" ca="1" si="77"/>
        <v>0</v>
      </c>
      <c r="AP228" s="224">
        <f t="shared" ca="1" si="77"/>
        <v>0</v>
      </c>
      <c r="AQ228" s="224">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224">
        <f t="shared" ca="1" si="78"/>
        <v>0</v>
      </c>
      <c r="AS228" s="224">
        <f t="shared" ca="1" si="78"/>
        <v>0</v>
      </c>
      <c r="AT228" s="224">
        <f t="shared" ca="1" si="78"/>
        <v>0</v>
      </c>
      <c r="AU228" s="224">
        <f t="shared" ca="1" si="78"/>
        <v>0</v>
      </c>
      <c r="AV228" s="224">
        <f t="shared" ca="1" si="78"/>
        <v>0</v>
      </c>
      <c r="AW228" s="224">
        <f t="shared" ca="1" si="78"/>
        <v>0</v>
      </c>
      <c r="AX228" s="224">
        <f t="shared" ca="1" si="78"/>
        <v>0</v>
      </c>
      <c r="AY228" s="224">
        <f t="shared" ca="1" si="78"/>
        <v>0</v>
      </c>
      <c r="AZ228" s="224">
        <f t="shared" ca="1" si="78"/>
        <v>0</v>
      </c>
      <c r="BA228" s="224">
        <f t="shared" ca="1" si="78"/>
        <v>0</v>
      </c>
      <c r="BB228" s="224">
        <f t="shared" ca="1" si="78"/>
        <v>0</v>
      </c>
      <c r="BC228" s="224">
        <f t="shared" ca="1" si="78"/>
        <v>0</v>
      </c>
      <c r="BD228" s="224">
        <f t="shared" ca="1" si="78"/>
        <v>0</v>
      </c>
      <c r="BE228" s="224">
        <f t="shared" ca="1" si="78"/>
        <v>0</v>
      </c>
      <c r="BF228" s="224">
        <f t="shared" ca="1" si="78"/>
        <v>0</v>
      </c>
      <c r="BG228" s="224">
        <f t="shared" ca="1" si="78"/>
        <v>0</v>
      </c>
      <c r="BH228" s="224">
        <f t="shared" ca="1" si="78"/>
        <v>0</v>
      </c>
      <c r="BI228" s="224">
        <f t="shared" ca="1" si="78"/>
        <v>0</v>
      </c>
      <c r="BJ228" s="224">
        <f t="shared" ca="1" si="78"/>
        <v>0</v>
      </c>
      <c r="BK228" s="224">
        <f t="shared" ca="1" si="78"/>
        <v>0</v>
      </c>
      <c r="BL228" s="224">
        <f t="shared" ca="1" si="78"/>
        <v>0</v>
      </c>
      <c r="BM228" s="224">
        <f t="shared" ca="1" si="78"/>
        <v>0</v>
      </c>
      <c r="BN228" s="224">
        <f t="shared" ca="1" si="78"/>
        <v>0</v>
      </c>
      <c r="BO228" s="224">
        <f t="shared" ca="1" si="78"/>
        <v>0</v>
      </c>
      <c r="BP228" s="224">
        <f t="shared" ca="1" si="78"/>
        <v>0</v>
      </c>
      <c r="BQ228" s="224">
        <f t="shared" ca="1" si="78"/>
        <v>0</v>
      </c>
      <c r="BR228" s="224">
        <f t="shared" ca="1" si="78"/>
        <v>0</v>
      </c>
      <c r="BS228" s="224">
        <f t="shared" ca="1" si="78"/>
        <v>0</v>
      </c>
      <c r="BT228" s="224">
        <f t="shared" ca="1" si="78"/>
        <v>0</v>
      </c>
      <c r="BU228" s="224">
        <f t="shared" ca="1" si="78"/>
        <v>0</v>
      </c>
      <c r="BV228" s="224">
        <f t="shared" ca="1" si="78"/>
        <v>0</v>
      </c>
      <c r="BW228" s="224">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224">
        <f t="shared" ca="1" si="79"/>
        <v>0</v>
      </c>
      <c r="BY228" s="224">
        <f t="shared" ca="1" si="79"/>
        <v>0</v>
      </c>
      <c r="BZ228" s="224">
        <f t="shared" ca="1" si="79"/>
        <v>0</v>
      </c>
      <c r="CA228" s="224">
        <f t="shared" ca="1" si="79"/>
        <v>0</v>
      </c>
      <c r="CB228" s="224">
        <f t="shared" ca="1" si="79"/>
        <v>0</v>
      </c>
      <c r="CC228" s="224">
        <f t="shared" ca="1" si="79"/>
        <v>0</v>
      </c>
      <c r="CD228" s="224">
        <f t="shared" ca="1" si="79"/>
        <v>0</v>
      </c>
      <c r="CE228" s="224">
        <f t="shared" ca="1" si="79"/>
        <v>0</v>
      </c>
      <c r="CF228" s="224">
        <f t="shared" ca="1" si="79"/>
        <v>0</v>
      </c>
      <c r="CG228" s="224">
        <f t="shared" ca="1" si="79"/>
        <v>0</v>
      </c>
      <c r="CH228" s="224">
        <f t="shared" ca="1" si="79"/>
        <v>0</v>
      </c>
      <c r="CI228" s="224">
        <f t="shared" ca="1" si="79"/>
        <v>0</v>
      </c>
      <c r="CJ228" s="224">
        <f t="shared" ca="1" si="79"/>
        <v>0</v>
      </c>
      <c r="CK228" s="224">
        <f t="shared" ca="1" si="79"/>
        <v>0</v>
      </c>
      <c r="CL228" s="224">
        <f t="shared" ca="1" si="79"/>
        <v>0</v>
      </c>
      <c r="CM228" s="224">
        <f t="shared" ca="1" si="79"/>
        <v>0</v>
      </c>
      <c r="CN228" s="224">
        <f t="shared" ca="1" si="79"/>
        <v>0</v>
      </c>
      <c r="CO228" s="224">
        <f t="shared" ca="1" si="79"/>
        <v>0</v>
      </c>
      <c r="CP228" s="224">
        <f t="shared" ca="1" si="79"/>
        <v>0</v>
      </c>
      <c r="CQ228" s="224">
        <f t="shared" ca="1" si="79"/>
        <v>0</v>
      </c>
      <c r="CR228" s="224">
        <f t="shared" ca="1" si="79"/>
        <v>0</v>
      </c>
      <c r="CS228" s="224">
        <f t="shared" ca="1" si="79"/>
        <v>0</v>
      </c>
      <c r="CT228" s="224">
        <f t="shared" ca="1" si="79"/>
        <v>0</v>
      </c>
      <c r="CU228" s="224">
        <f t="shared" ca="1" si="79"/>
        <v>0</v>
      </c>
      <c r="CV228" s="224">
        <f t="shared" ca="1" si="79"/>
        <v>0</v>
      </c>
      <c r="CW228" s="224">
        <f t="shared" ca="1" si="79"/>
        <v>0</v>
      </c>
      <c r="CX228" s="224">
        <f t="shared" ca="1" si="79"/>
        <v>0</v>
      </c>
      <c r="CY228" s="224">
        <f t="shared" ca="1" si="79"/>
        <v>0</v>
      </c>
      <c r="CZ228" s="224">
        <f t="shared" ca="1" si="79"/>
        <v>0</v>
      </c>
      <c r="DA228" s="224">
        <f t="shared" ca="1" si="79"/>
        <v>0</v>
      </c>
      <c r="DB228" s="224">
        <f t="shared" ca="1" si="79"/>
        <v>0</v>
      </c>
      <c r="DC228" s="224">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224">
        <f t="shared" ca="1" si="80"/>
        <v>0</v>
      </c>
      <c r="DE228" s="224">
        <f t="shared" ca="1" si="80"/>
        <v>0</v>
      </c>
      <c r="DF228" s="224">
        <f t="shared" ca="1" si="80"/>
        <v>0</v>
      </c>
      <c r="DG228" s="224">
        <f t="shared" ca="1" si="80"/>
        <v>0</v>
      </c>
      <c r="DH228" s="224">
        <f t="shared" ca="1" si="80"/>
        <v>0</v>
      </c>
      <c r="DI228" s="224">
        <f t="shared" ca="1" si="80"/>
        <v>0</v>
      </c>
      <c r="DJ228" s="224">
        <f t="shared" ca="1" si="80"/>
        <v>0</v>
      </c>
      <c r="DK228" s="224">
        <f t="shared" ca="1" si="80"/>
        <v>0</v>
      </c>
      <c r="DL228" s="224">
        <f t="shared" ca="1" si="80"/>
        <v>0</v>
      </c>
      <c r="DM228" s="224">
        <f t="shared" ca="1" si="80"/>
        <v>0</v>
      </c>
      <c r="DN228" s="224">
        <f t="shared" ca="1" si="80"/>
        <v>0</v>
      </c>
      <c r="DO228" s="224">
        <f t="shared" ca="1" si="80"/>
        <v>0</v>
      </c>
      <c r="DP228" s="224">
        <f t="shared" ca="1" si="80"/>
        <v>0</v>
      </c>
      <c r="DQ228" s="224">
        <f t="shared" ca="1" si="80"/>
        <v>0</v>
      </c>
      <c r="DR228" s="224">
        <f t="shared" ca="1" si="80"/>
        <v>0</v>
      </c>
      <c r="DS228" s="224">
        <f t="shared" ca="1" si="80"/>
        <v>0</v>
      </c>
      <c r="DT228" s="224">
        <f t="shared" ca="1" si="80"/>
        <v>0</v>
      </c>
      <c r="DU228" s="224">
        <f t="shared" ca="1" si="80"/>
        <v>0</v>
      </c>
      <c r="DV228" s="224">
        <f t="shared" ca="1" si="80"/>
        <v>0</v>
      </c>
      <c r="DW228" s="224">
        <f t="shared" ca="1" si="80"/>
        <v>0</v>
      </c>
      <c r="DX228" s="224">
        <f t="shared" ca="1" si="80"/>
        <v>0</v>
      </c>
      <c r="DY228" s="224">
        <f t="shared" ca="1" si="80"/>
        <v>0</v>
      </c>
      <c r="DZ228" s="224">
        <f t="shared" ca="1" si="80"/>
        <v>0</v>
      </c>
      <c r="EA228" s="224">
        <f t="shared" ca="1" si="80"/>
        <v>0</v>
      </c>
      <c r="EB228" s="224">
        <f t="shared" ca="1" si="80"/>
        <v>0</v>
      </c>
      <c r="EC228" s="224">
        <f t="shared" ca="1" si="80"/>
        <v>0</v>
      </c>
      <c r="ED228" s="224">
        <f t="shared" ca="1" si="80"/>
        <v>0</v>
      </c>
      <c r="EE228" s="224">
        <f t="shared" ca="1" si="80"/>
        <v>0</v>
      </c>
      <c r="EF228" s="224">
        <f t="shared" ca="1" si="80"/>
        <v>0</v>
      </c>
      <c r="EG228" s="224">
        <f t="shared" ca="1" si="80"/>
        <v>0</v>
      </c>
      <c r="EH228" s="224">
        <f t="shared" ca="1" si="80"/>
        <v>0</v>
      </c>
      <c r="EI228" s="224">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224">
        <f t="shared" ca="1" si="81"/>
        <v>0</v>
      </c>
      <c r="EK228" s="224">
        <f t="shared" ca="1" si="81"/>
        <v>0</v>
      </c>
      <c r="EL228" s="224">
        <f t="shared" ca="1" si="81"/>
        <v>0</v>
      </c>
      <c r="EM228" s="224">
        <f t="shared" ca="1" si="81"/>
        <v>0</v>
      </c>
      <c r="EN228" s="224">
        <f t="shared" ca="1" si="81"/>
        <v>0</v>
      </c>
      <c r="EO228" s="224">
        <f t="shared" ca="1" si="81"/>
        <v>0</v>
      </c>
      <c r="EP228" s="224">
        <f t="shared" ca="1" si="81"/>
        <v>0</v>
      </c>
      <c r="EQ228" s="224">
        <f t="shared" ca="1" si="81"/>
        <v>0</v>
      </c>
      <c r="ER228" s="224">
        <f t="shared" ca="1" si="81"/>
        <v>0</v>
      </c>
      <c r="ES228" s="224">
        <f t="shared" ca="1" si="81"/>
        <v>0</v>
      </c>
      <c r="ET228" s="224">
        <f t="shared" ca="1" si="81"/>
        <v>0</v>
      </c>
      <c r="EU228" s="224">
        <f t="shared" ca="1" si="81"/>
        <v>0</v>
      </c>
      <c r="EV228" s="224">
        <f t="shared" ca="1" si="81"/>
        <v>0</v>
      </c>
      <c r="EW228" s="224">
        <f t="shared" ca="1" si="81"/>
        <v>0</v>
      </c>
      <c r="EX228" s="224">
        <f t="shared" ca="1" si="81"/>
        <v>0</v>
      </c>
      <c r="EY228" s="224">
        <f t="shared" ca="1" si="81"/>
        <v>0</v>
      </c>
      <c r="EZ228" s="224">
        <f t="shared" ca="1" si="81"/>
        <v>0</v>
      </c>
      <c r="FA228" s="224">
        <f t="shared" ca="1" si="81"/>
        <v>0</v>
      </c>
      <c r="FB228" s="224">
        <f t="shared" ca="1" si="81"/>
        <v>0</v>
      </c>
      <c r="FC228" s="224">
        <f t="shared" ca="1" si="81"/>
        <v>0</v>
      </c>
      <c r="FD228" s="224">
        <f t="shared" ca="1" si="81"/>
        <v>0</v>
      </c>
      <c r="FE228" s="224">
        <f t="shared" ca="1" si="81"/>
        <v>0</v>
      </c>
      <c r="FF228" s="224">
        <f t="shared" ca="1" si="81"/>
        <v>0</v>
      </c>
      <c r="FG228" s="224">
        <f t="shared" ca="1" si="81"/>
        <v>0</v>
      </c>
      <c r="FH228" s="224">
        <f t="shared" ca="1" si="81"/>
        <v>0</v>
      </c>
      <c r="FI228" s="224">
        <f t="shared" ca="1" si="81"/>
        <v>0</v>
      </c>
      <c r="FJ228" s="224">
        <f t="shared" ca="1" si="81"/>
        <v>0</v>
      </c>
      <c r="FK228" s="224">
        <f t="shared" ca="1" si="81"/>
        <v>0</v>
      </c>
      <c r="FL228" s="224">
        <f t="shared" ca="1" si="81"/>
        <v>0</v>
      </c>
      <c r="FM228" s="224">
        <f t="shared" ca="1" si="81"/>
        <v>0</v>
      </c>
      <c r="FN228" s="224">
        <f t="shared" ca="1" si="81"/>
        <v>0</v>
      </c>
      <c r="FO228" s="224">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224">
        <f t="shared" ca="1" si="82"/>
        <v>0</v>
      </c>
      <c r="FQ228" s="224">
        <f t="shared" ca="1" si="82"/>
        <v>0</v>
      </c>
      <c r="FR228" s="224">
        <f t="shared" ca="1" si="82"/>
        <v>0</v>
      </c>
      <c r="FS228" s="224">
        <f t="shared" ca="1" si="82"/>
        <v>0</v>
      </c>
      <c r="FT228" s="224">
        <f t="shared" ca="1" si="82"/>
        <v>0</v>
      </c>
      <c r="FU228" s="224">
        <f t="shared" ca="1" si="82"/>
        <v>0</v>
      </c>
      <c r="FV228" s="224">
        <f t="shared" ca="1" si="82"/>
        <v>0</v>
      </c>
      <c r="FW228" s="224">
        <f t="shared" ca="1" si="82"/>
        <v>0</v>
      </c>
      <c r="FX228" s="224">
        <f t="shared" ca="1" si="82"/>
        <v>0</v>
      </c>
      <c r="FY228" s="224">
        <f t="shared" ca="1" si="82"/>
        <v>0</v>
      </c>
      <c r="FZ228" s="224">
        <f t="shared" ca="1" si="82"/>
        <v>0</v>
      </c>
      <c r="GA228" s="224">
        <f t="shared" ca="1" si="82"/>
        <v>0</v>
      </c>
      <c r="GB228" s="224">
        <f t="shared" ca="1" si="82"/>
        <v>0</v>
      </c>
      <c r="GC228" s="224">
        <f t="shared" ca="1" si="82"/>
        <v>0</v>
      </c>
      <c r="GD228" s="224">
        <f t="shared" ca="1" si="82"/>
        <v>0</v>
      </c>
      <c r="GE228" s="224">
        <f t="shared" ca="1" si="82"/>
        <v>0</v>
      </c>
      <c r="GF228" s="224">
        <f t="shared" ca="1" si="82"/>
        <v>0</v>
      </c>
      <c r="GG228" s="224">
        <f t="shared" ca="1" si="82"/>
        <v>0</v>
      </c>
      <c r="GH228" s="224">
        <f t="shared" ca="1" si="82"/>
        <v>0</v>
      </c>
      <c r="GI228" s="224">
        <f t="shared" ca="1" si="82"/>
        <v>0</v>
      </c>
      <c r="GJ228" s="224">
        <f t="shared" ca="1" si="82"/>
        <v>0</v>
      </c>
      <c r="GK228" s="224">
        <f t="shared" ca="1" si="82"/>
        <v>0</v>
      </c>
      <c r="GL228" s="224">
        <f t="shared" ca="1" si="82"/>
        <v>0</v>
      </c>
      <c r="GM228" s="224">
        <f t="shared" ca="1" si="82"/>
        <v>0</v>
      </c>
      <c r="GN228" s="224">
        <f t="shared" ca="1" si="82"/>
        <v>0</v>
      </c>
      <c r="GO228" s="224">
        <f t="shared" ca="1" si="82"/>
        <v>0</v>
      </c>
      <c r="GP228" s="224">
        <f t="shared" ca="1" si="82"/>
        <v>0</v>
      </c>
      <c r="GQ228" s="224">
        <f t="shared" ca="1" si="82"/>
        <v>0</v>
      </c>
      <c r="GR228" s="224">
        <f t="shared" ca="1" si="82"/>
        <v>0</v>
      </c>
      <c r="GS228" s="224">
        <f t="shared" ca="1" si="82"/>
        <v>0</v>
      </c>
      <c r="GT228" s="224">
        <f t="shared" ca="1" si="82"/>
        <v>0</v>
      </c>
      <c r="GU228" s="224">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224">
        <f t="shared" ca="1" si="83"/>
        <v>0</v>
      </c>
      <c r="GW228" s="224">
        <f t="shared" ca="1" si="83"/>
        <v>0</v>
      </c>
      <c r="GX228" s="224">
        <f t="shared" ca="1" si="83"/>
        <v>0</v>
      </c>
      <c r="GY228" s="224">
        <f t="shared" ca="1" si="83"/>
        <v>0</v>
      </c>
      <c r="GZ228" s="224">
        <f t="shared" ca="1" si="83"/>
        <v>0</v>
      </c>
      <c r="HA228" s="224">
        <f t="shared" ca="1" si="83"/>
        <v>0</v>
      </c>
      <c r="HB228" s="224">
        <f t="shared" ca="1" si="83"/>
        <v>0</v>
      </c>
      <c r="IE228" s="219"/>
      <c r="IF228" s="219"/>
      <c r="IG228" s="219"/>
      <c r="IH228" s="219"/>
    </row>
    <row r="229" spans="1:242" s="197" customFormat="1" ht="19.8" hidden="1">
      <c r="A229" s="214"/>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84">(SUMPRODUCT($G$17:$G$65,L17:L65)+$G$67*L67+$G$69*L69+$G$71*L71+$G$73*L73+SUMPRODUCT($G$75:$G$81,L75:L81)+$G$83*L83+$G$85*L85+$G$86*L86+$G$89*L89+SUMPRODUCT($G$92:$G$103,L92:L103)+L228)*0.0258</f>
        <v>0</v>
      </c>
      <c r="M229" s="224">
        <f t="shared" ca="1" si="84"/>
        <v>0</v>
      </c>
      <c r="N229" s="224">
        <f t="shared" ca="1" si="84"/>
        <v>0</v>
      </c>
      <c r="O229" s="224">
        <f t="shared" ca="1" si="84"/>
        <v>0</v>
      </c>
      <c r="P229" s="224">
        <f t="shared" ca="1" si="84"/>
        <v>0</v>
      </c>
      <c r="Q229" s="224">
        <f t="shared" ca="1" si="84"/>
        <v>0</v>
      </c>
      <c r="R229" s="224">
        <f t="shared" ca="1" si="84"/>
        <v>0</v>
      </c>
      <c r="S229" s="224">
        <f t="shared" ca="1" si="84"/>
        <v>0</v>
      </c>
      <c r="T229" s="224">
        <f t="shared" ca="1" si="84"/>
        <v>0</v>
      </c>
      <c r="U229" s="224">
        <f t="shared" ca="1" si="84"/>
        <v>0</v>
      </c>
      <c r="V229" s="224">
        <f t="shared" ca="1" si="84"/>
        <v>0</v>
      </c>
      <c r="W229" s="224">
        <f t="shared" ca="1" si="84"/>
        <v>0</v>
      </c>
      <c r="X229" s="224">
        <f t="shared" ca="1" si="84"/>
        <v>0</v>
      </c>
      <c r="Y229" s="224">
        <f t="shared" ca="1" si="84"/>
        <v>0</v>
      </c>
      <c r="Z229" s="224">
        <f t="shared" ca="1" si="84"/>
        <v>0</v>
      </c>
      <c r="AA229" s="224">
        <f t="shared" ca="1" si="84"/>
        <v>0</v>
      </c>
      <c r="AB229" s="224">
        <f t="shared" ca="1" si="84"/>
        <v>0</v>
      </c>
      <c r="AC229" s="224">
        <f t="shared" ca="1" si="84"/>
        <v>0</v>
      </c>
      <c r="AD229" s="224">
        <f t="shared" ca="1" si="84"/>
        <v>0</v>
      </c>
      <c r="AE229" s="224">
        <f t="shared" ca="1" si="84"/>
        <v>0</v>
      </c>
      <c r="AF229" s="224">
        <f t="shared" ca="1" si="84"/>
        <v>0</v>
      </c>
      <c r="AG229" s="224">
        <f t="shared" ca="1" si="84"/>
        <v>0</v>
      </c>
      <c r="AH229" s="224">
        <f t="shared" ca="1" si="84"/>
        <v>0</v>
      </c>
      <c r="AI229" s="224">
        <f t="shared" ca="1" si="84"/>
        <v>0</v>
      </c>
      <c r="AJ229" s="224">
        <f t="shared" ca="1" si="84"/>
        <v>0</v>
      </c>
      <c r="AK229" s="224">
        <f t="shared" ca="1" si="84"/>
        <v>0</v>
      </c>
      <c r="AL229" s="224">
        <f t="shared" ca="1" si="84"/>
        <v>0</v>
      </c>
      <c r="AM229" s="224">
        <f t="shared" ca="1" si="84"/>
        <v>0</v>
      </c>
      <c r="AN229" s="224">
        <f t="shared" ca="1" si="84"/>
        <v>0</v>
      </c>
      <c r="AO229" s="224">
        <f t="shared" ca="1" si="84"/>
        <v>0</v>
      </c>
      <c r="AP229" s="224">
        <f t="shared" ca="1" si="84"/>
        <v>0</v>
      </c>
      <c r="AQ229" s="224">
        <f t="shared" ca="1" si="84"/>
        <v>0</v>
      </c>
      <c r="AR229" s="224">
        <f t="shared" ca="1" si="84"/>
        <v>0</v>
      </c>
      <c r="AS229" s="224">
        <f t="shared" ca="1" si="84"/>
        <v>0</v>
      </c>
      <c r="AT229" s="224">
        <f t="shared" ca="1" si="84"/>
        <v>0</v>
      </c>
      <c r="AU229" s="224">
        <f t="shared" ca="1" si="84"/>
        <v>0</v>
      </c>
      <c r="AV229" s="224">
        <f t="shared" ca="1" si="84"/>
        <v>0</v>
      </c>
      <c r="AW229" s="224">
        <f t="shared" ca="1" si="84"/>
        <v>0</v>
      </c>
      <c r="AX229" s="224">
        <f t="shared" ca="1" si="84"/>
        <v>0</v>
      </c>
      <c r="AY229" s="224">
        <f t="shared" ca="1" si="84"/>
        <v>0</v>
      </c>
      <c r="AZ229" s="224">
        <f t="shared" ca="1" si="84"/>
        <v>0</v>
      </c>
      <c r="BA229" s="224">
        <f t="shared" ca="1" si="84"/>
        <v>0</v>
      </c>
      <c r="BB229" s="224">
        <f t="shared" ca="1" si="84"/>
        <v>0</v>
      </c>
      <c r="BC229" s="224">
        <f t="shared" ca="1" si="84"/>
        <v>0</v>
      </c>
      <c r="BD229" s="224">
        <f t="shared" ca="1" si="84"/>
        <v>0</v>
      </c>
      <c r="BE229" s="224">
        <f t="shared" ca="1" si="84"/>
        <v>0</v>
      </c>
      <c r="BF229" s="224">
        <f t="shared" ca="1" si="84"/>
        <v>0</v>
      </c>
      <c r="BG229" s="224">
        <f t="shared" ca="1" si="84"/>
        <v>0</v>
      </c>
      <c r="BH229" s="224">
        <f t="shared" ca="1" si="84"/>
        <v>0</v>
      </c>
      <c r="BI229" s="224">
        <f t="shared" ca="1" si="84"/>
        <v>0</v>
      </c>
      <c r="BJ229" s="224">
        <f t="shared" ca="1" si="84"/>
        <v>0</v>
      </c>
      <c r="BK229" s="224">
        <f t="shared" ca="1" si="84"/>
        <v>0</v>
      </c>
      <c r="BL229" s="224">
        <f t="shared" ca="1" si="84"/>
        <v>0</v>
      </c>
      <c r="BM229" s="224">
        <f t="shared" ca="1" si="84"/>
        <v>0</v>
      </c>
      <c r="BN229" s="224">
        <f t="shared" ca="1" si="84"/>
        <v>0</v>
      </c>
      <c r="BO229" s="224">
        <f t="shared" ca="1" si="84"/>
        <v>0</v>
      </c>
      <c r="BP229" s="224">
        <f t="shared" ca="1" si="84"/>
        <v>0</v>
      </c>
      <c r="BQ229" s="224">
        <f t="shared" ca="1" si="84"/>
        <v>0</v>
      </c>
      <c r="BR229" s="224">
        <f t="shared" ca="1" si="84"/>
        <v>0</v>
      </c>
      <c r="BS229" s="224">
        <f t="shared" ca="1" si="84"/>
        <v>0</v>
      </c>
      <c r="BT229" s="224">
        <f t="shared" ca="1" si="84"/>
        <v>0</v>
      </c>
      <c r="BU229" s="224">
        <f t="shared" ca="1" si="84"/>
        <v>0</v>
      </c>
      <c r="BV229" s="224">
        <f t="shared" ca="1" si="84"/>
        <v>0</v>
      </c>
      <c r="BW229" s="224">
        <f t="shared" ca="1" si="84"/>
        <v>0</v>
      </c>
      <c r="BX229" s="224">
        <f t="shared" ref="BX229:EI229" ca="1" si="85">(SUMPRODUCT($G$17:$G$65,BX17:BX65)+$G$67*BX67+$G$69*BX69+$G$71*BX71+$G$73*BX73+SUMPRODUCT($G$75:$G$81,BX75:BX81)+$G$83*BX83+$G$85*BX85+$G$86*BX86+$G$89*BX89+SUMPRODUCT($G$92:$G$103,BX92:BX103)+BX228)*0.0258</f>
        <v>0</v>
      </c>
      <c r="BY229" s="224">
        <f t="shared" ca="1" si="85"/>
        <v>0</v>
      </c>
      <c r="BZ229" s="224">
        <f t="shared" ca="1" si="85"/>
        <v>0</v>
      </c>
      <c r="CA229" s="224">
        <f t="shared" ca="1" si="85"/>
        <v>0</v>
      </c>
      <c r="CB229" s="224">
        <f t="shared" ca="1" si="85"/>
        <v>0</v>
      </c>
      <c r="CC229" s="224">
        <f t="shared" ca="1" si="85"/>
        <v>0</v>
      </c>
      <c r="CD229" s="224">
        <f t="shared" ca="1" si="85"/>
        <v>0</v>
      </c>
      <c r="CE229" s="224">
        <f t="shared" ca="1" si="85"/>
        <v>0</v>
      </c>
      <c r="CF229" s="224">
        <f t="shared" ca="1" si="85"/>
        <v>0</v>
      </c>
      <c r="CG229" s="224">
        <f t="shared" ca="1" si="85"/>
        <v>0</v>
      </c>
      <c r="CH229" s="224">
        <f t="shared" ca="1" si="85"/>
        <v>0</v>
      </c>
      <c r="CI229" s="224">
        <f t="shared" ca="1" si="85"/>
        <v>0</v>
      </c>
      <c r="CJ229" s="224">
        <f t="shared" ca="1" si="85"/>
        <v>0</v>
      </c>
      <c r="CK229" s="224">
        <f t="shared" ca="1" si="85"/>
        <v>0</v>
      </c>
      <c r="CL229" s="224">
        <f t="shared" ca="1" si="85"/>
        <v>0</v>
      </c>
      <c r="CM229" s="224">
        <f t="shared" ca="1" si="85"/>
        <v>0</v>
      </c>
      <c r="CN229" s="224">
        <f t="shared" ca="1" si="85"/>
        <v>0</v>
      </c>
      <c r="CO229" s="224">
        <f t="shared" ca="1" si="85"/>
        <v>0</v>
      </c>
      <c r="CP229" s="224">
        <f t="shared" ca="1" si="85"/>
        <v>0</v>
      </c>
      <c r="CQ229" s="224">
        <f t="shared" ca="1" si="85"/>
        <v>0</v>
      </c>
      <c r="CR229" s="224">
        <f t="shared" ca="1" si="85"/>
        <v>0</v>
      </c>
      <c r="CS229" s="224">
        <f t="shared" ca="1" si="85"/>
        <v>0</v>
      </c>
      <c r="CT229" s="224">
        <f t="shared" ca="1" si="85"/>
        <v>0</v>
      </c>
      <c r="CU229" s="224">
        <f t="shared" ca="1" si="85"/>
        <v>0</v>
      </c>
      <c r="CV229" s="224">
        <f t="shared" ca="1" si="85"/>
        <v>0</v>
      </c>
      <c r="CW229" s="224">
        <f t="shared" ca="1" si="85"/>
        <v>0</v>
      </c>
      <c r="CX229" s="224">
        <f t="shared" ca="1" si="85"/>
        <v>0</v>
      </c>
      <c r="CY229" s="224">
        <f t="shared" ca="1" si="85"/>
        <v>0</v>
      </c>
      <c r="CZ229" s="224">
        <f t="shared" ca="1" si="85"/>
        <v>0</v>
      </c>
      <c r="DA229" s="224">
        <f t="shared" ca="1" si="85"/>
        <v>0</v>
      </c>
      <c r="DB229" s="224">
        <f t="shared" ca="1" si="85"/>
        <v>0</v>
      </c>
      <c r="DC229" s="224">
        <f t="shared" ca="1" si="85"/>
        <v>0</v>
      </c>
      <c r="DD229" s="224">
        <f t="shared" ca="1" si="85"/>
        <v>0</v>
      </c>
      <c r="DE229" s="224">
        <f t="shared" ca="1" si="85"/>
        <v>0</v>
      </c>
      <c r="DF229" s="224">
        <f t="shared" ca="1" si="85"/>
        <v>0</v>
      </c>
      <c r="DG229" s="224">
        <f t="shared" ca="1" si="85"/>
        <v>0</v>
      </c>
      <c r="DH229" s="224">
        <f t="shared" ca="1" si="85"/>
        <v>0</v>
      </c>
      <c r="DI229" s="224">
        <f t="shared" ca="1" si="85"/>
        <v>0</v>
      </c>
      <c r="DJ229" s="224">
        <f t="shared" ca="1" si="85"/>
        <v>0</v>
      </c>
      <c r="DK229" s="224">
        <f t="shared" ca="1" si="85"/>
        <v>0</v>
      </c>
      <c r="DL229" s="224">
        <f t="shared" ca="1" si="85"/>
        <v>0</v>
      </c>
      <c r="DM229" s="224">
        <f t="shared" ca="1" si="85"/>
        <v>0</v>
      </c>
      <c r="DN229" s="224">
        <f t="shared" ca="1" si="85"/>
        <v>0</v>
      </c>
      <c r="DO229" s="224">
        <f t="shared" ca="1" si="85"/>
        <v>0</v>
      </c>
      <c r="DP229" s="224">
        <f t="shared" ca="1" si="85"/>
        <v>0</v>
      </c>
      <c r="DQ229" s="224">
        <f t="shared" ca="1" si="85"/>
        <v>0</v>
      </c>
      <c r="DR229" s="224">
        <f t="shared" ca="1" si="85"/>
        <v>0</v>
      </c>
      <c r="DS229" s="224">
        <f t="shared" ca="1" si="85"/>
        <v>0</v>
      </c>
      <c r="DT229" s="224">
        <f t="shared" ca="1" si="85"/>
        <v>0</v>
      </c>
      <c r="DU229" s="224">
        <f t="shared" ca="1" si="85"/>
        <v>0</v>
      </c>
      <c r="DV229" s="224">
        <f t="shared" ca="1" si="85"/>
        <v>0</v>
      </c>
      <c r="DW229" s="224">
        <f t="shared" ca="1" si="85"/>
        <v>0</v>
      </c>
      <c r="DX229" s="224">
        <f t="shared" ca="1" si="85"/>
        <v>0</v>
      </c>
      <c r="DY229" s="224">
        <f t="shared" ca="1" si="85"/>
        <v>0</v>
      </c>
      <c r="DZ229" s="224">
        <f t="shared" ca="1" si="85"/>
        <v>0</v>
      </c>
      <c r="EA229" s="224">
        <f t="shared" ca="1" si="85"/>
        <v>0</v>
      </c>
      <c r="EB229" s="224">
        <f t="shared" ca="1" si="85"/>
        <v>0</v>
      </c>
      <c r="EC229" s="224">
        <f t="shared" ca="1" si="85"/>
        <v>0</v>
      </c>
      <c r="ED229" s="224">
        <f t="shared" ca="1" si="85"/>
        <v>0</v>
      </c>
      <c r="EE229" s="224">
        <f t="shared" ca="1" si="85"/>
        <v>0</v>
      </c>
      <c r="EF229" s="224">
        <f t="shared" ca="1" si="85"/>
        <v>0</v>
      </c>
      <c r="EG229" s="224">
        <f t="shared" ca="1" si="85"/>
        <v>0</v>
      </c>
      <c r="EH229" s="224">
        <f t="shared" ca="1" si="85"/>
        <v>0</v>
      </c>
      <c r="EI229" s="224">
        <f t="shared" ca="1" si="85"/>
        <v>0</v>
      </c>
      <c r="EJ229" s="224">
        <f t="shared" ref="EJ229:GU229" ca="1" si="86">(SUMPRODUCT($G$17:$G$65,EJ17:EJ65)+$G$67*EJ67+$G$69*EJ69+$G$71*EJ71+$G$73*EJ73+SUMPRODUCT($G$75:$G$81,EJ75:EJ81)+$G$83*EJ83+$G$85*EJ85+$G$86*EJ86+$G$89*EJ89+SUMPRODUCT($G$92:$G$103,EJ92:EJ103)+EJ228)*0.0258</f>
        <v>0</v>
      </c>
      <c r="EK229" s="224">
        <f t="shared" ca="1" si="86"/>
        <v>0</v>
      </c>
      <c r="EL229" s="224">
        <f t="shared" ca="1" si="86"/>
        <v>0</v>
      </c>
      <c r="EM229" s="224">
        <f t="shared" ca="1" si="86"/>
        <v>0</v>
      </c>
      <c r="EN229" s="224">
        <f t="shared" ca="1" si="86"/>
        <v>0</v>
      </c>
      <c r="EO229" s="224">
        <f t="shared" ca="1" si="86"/>
        <v>0</v>
      </c>
      <c r="EP229" s="224">
        <f t="shared" ca="1" si="86"/>
        <v>0</v>
      </c>
      <c r="EQ229" s="224">
        <f t="shared" ca="1" si="86"/>
        <v>0</v>
      </c>
      <c r="ER229" s="224">
        <f t="shared" ca="1" si="86"/>
        <v>0</v>
      </c>
      <c r="ES229" s="224">
        <f t="shared" ca="1" si="86"/>
        <v>0</v>
      </c>
      <c r="ET229" s="224">
        <f t="shared" ca="1" si="86"/>
        <v>0</v>
      </c>
      <c r="EU229" s="224">
        <f t="shared" ca="1" si="86"/>
        <v>0</v>
      </c>
      <c r="EV229" s="224">
        <f t="shared" ca="1" si="86"/>
        <v>0</v>
      </c>
      <c r="EW229" s="224">
        <f t="shared" ca="1" si="86"/>
        <v>0</v>
      </c>
      <c r="EX229" s="224">
        <f t="shared" ca="1" si="86"/>
        <v>0</v>
      </c>
      <c r="EY229" s="224">
        <f t="shared" ca="1" si="86"/>
        <v>0</v>
      </c>
      <c r="EZ229" s="224">
        <f t="shared" ca="1" si="86"/>
        <v>0</v>
      </c>
      <c r="FA229" s="224">
        <f t="shared" ca="1" si="86"/>
        <v>0</v>
      </c>
      <c r="FB229" s="224">
        <f t="shared" ca="1" si="86"/>
        <v>0</v>
      </c>
      <c r="FC229" s="224">
        <f t="shared" ca="1" si="86"/>
        <v>0</v>
      </c>
      <c r="FD229" s="224">
        <f t="shared" ca="1" si="86"/>
        <v>0</v>
      </c>
      <c r="FE229" s="224">
        <f t="shared" ca="1" si="86"/>
        <v>0</v>
      </c>
      <c r="FF229" s="224">
        <f t="shared" ca="1" si="86"/>
        <v>0</v>
      </c>
      <c r="FG229" s="224">
        <f t="shared" ca="1" si="86"/>
        <v>0</v>
      </c>
      <c r="FH229" s="224">
        <f t="shared" ca="1" si="86"/>
        <v>0</v>
      </c>
      <c r="FI229" s="224">
        <f t="shared" ca="1" si="86"/>
        <v>0</v>
      </c>
      <c r="FJ229" s="224">
        <f t="shared" ca="1" si="86"/>
        <v>0</v>
      </c>
      <c r="FK229" s="224">
        <f t="shared" ca="1" si="86"/>
        <v>0</v>
      </c>
      <c r="FL229" s="224">
        <f t="shared" ca="1" si="86"/>
        <v>0</v>
      </c>
      <c r="FM229" s="224">
        <f t="shared" ca="1" si="86"/>
        <v>0</v>
      </c>
      <c r="FN229" s="224">
        <f t="shared" ca="1" si="86"/>
        <v>0</v>
      </c>
      <c r="FO229" s="224">
        <f t="shared" ca="1" si="86"/>
        <v>0</v>
      </c>
      <c r="FP229" s="224">
        <f t="shared" ca="1" si="86"/>
        <v>0</v>
      </c>
      <c r="FQ229" s="224">
        <f t="shared" ca="1" si="86"/>
        <v>0</v>
      </c>
      <c r="FR229" s="224">
        <f t="shared" ca="1" si="86"/>
        <v>0</v>
      </c>
      <c r="FS229" s="224">
        <f t="shared" ca="1" si="86"/>
        <v>0</v>
      </c>
      <c r="FT229" s="224">
        <f t="shared" ca="1" si="86"/>
        <v>0</v>
      </c>
      <c r="FU229" s="224">
        <f t="shared" ca="1" si="86"/>
        <v>0</v>
      </c>
      <c r="FV229" s="224">
        <f t="shared" ca="1" si="86"/>
        <v>0</v>
      </c>
      <c r="FW229" s="224">
        <f t="shared" ca="1" si="86"/>
        <v>0</v>
      </c>
      <c r="FX229" s="224">
        <f t="shared" ca="1" si="86"/>
        <v>0</v>
      </c>
      <c r="FY229" s="224">
        <f t="shared" ca="1" si="86"/>
        <v>0</v>
      </c>
      <c r="FZ229" s="224">
        <f t="shared" ca="1" si="86"/>
        <v>0</v>
      </c>
      <c r="GA229" s="224">
        <f t="shared" ca="1" si="86"/>
        <v>0</v>
      </c>
      <c r="GB229" s="224">
        <f t="shared" ca="1" si="86"/>
        <v>0</v>
      </c>
      <c r="GC229" s="224">
        <f t="shared" ca="1" si="86"/>
        <v>0</v>
      </c>
      <c r="GD229" s="224">
        <f t="shared" ca="1" si="86"/>
        <v>0</v>
      </c>
      <c r="GE229" s="224">
        <f t="shared" ca="1" si="86"/>
        <v>0</v>
      </c>
      <c r="GF229" s="224">
        <f t="shared" ca="1" si="86"/>
        <v>0</v>
      </c>
      <c r="GG229" s="224">
        <f t="shared" ca="1" si="86"/>
        <v>0</v>
      </c>
      <c r="GH229" s="224">
        <f t="shared" ca="1" si="86"/>
        <v>0</v>
      </c>
      <c r="GI229" s="224">
        <f t="shared" ca="1" si="86"/>
        <v>0</v>
      </c>
      <c r="GJ229" s="224">
        <f t="shared" ca="1" si="86"/>
        <v>0</v>
      </c>
      <c r="GK229" s="224">
        <f t="shared" ca="1" si="86"/>
        <v>0</v>
      </c>
      <c r="GL229" s="224">
        <f t="shared" ca="1" si="86"/>
        <v>0</v>
      </c>
      <c r="GM229" s="224">
        <f t="shared" ca="1" si="86"/>
        <v>0</v>
      </c>
      <c r="GN229" s="224">
        <f t="shared" ca="1" si="86"/>
        <v>0</v>
      </c>
      <c r="GO229" s="224">
        <f t="shared" ca="1" si="86"/>
        <v>0</v>
      </c>
      <c r="GP229" s="224">
        <f t="shared" ca="1" si="86"/>
        <v>0</v>
      </c>
      <c r="GQ229" s="224">
        <f t="shared" ca="1" si="86"/>
        <v>0</v>
      </c>
      <c r="GR229" s="224">
        <f t="shared" ca="1" si="86"/>
        <v>0</v>
      </c>
      <c r="GS229" s="224">
        <f t="shared" ca="1" si="86"/>
        <v>0</v>
      </c>
      <c r="GT229" s="224">
        <f t="shared" ca="1" si="86"/>
        <v>0</v>
      </c>
      <c r="GU229" s="224">
        <f t="shared" ca="1" si="86"/>
        <v>0</v>
      </c>
      <c r="GV229" s="224">
        <f t="shared" ref="GV229:HB229" ca="1" si="87">(SUMPRODUCT($G$17:$G$65,GV17:GV65)+$G$67*GV67+$G$69*GV69+$G$71*GV71+$G$73*GV73+SUMPRODUCT($G$75:$G$81,GV75:GV81)+$G$83*GV83+$G$85*GV85+$G$86*GV86+$G$89*GV89+SUMPRODUCT($G$92:$G$103,GV92:GV103)+GV228)*0.0258</f>
        <v>0</v>
      </c>
      <c r="GW229" s="224">
        <f t="shared" ca="1" si="87"/>
        <v>0</v>
      </c>
      <c r="GX229" s="224">
        <f t="shared" ca="1" si="87"/>
        <v>0</v>
      </c>
      <c r="GY229" s="224">
        <f t="shared" ca="1" si="87"/>
        <v>0</v>
      </c>
      <c r="GZ229" s="224">
        <f t="shared" ca="1" si="87"/>
        <v>0</v>
      </c>
      <c r="HA229" s="224">
        <f t="shared" ca="1" si="87"/>
        <v>0</v>
      </c>
      <c r="HB229" s="224">
        <f t="shared" ca="1" si="87"/>
        <v>0</v>
      </c>
      <c r="IE229" s="219"/>
      <c r="IF229" s="219"/>
      <c r="IG229" s="219"/>
      <c r="IH229" s="219"/>
    </row>
    <row r="230" spans="1:242" s="197" customFormat="1" ht="19.8" hidden="1">
      <c r="A230" s="214"/>
      <c r="C230" s="221" t="s">
        <v>4267</v>
      </c>
      <c r="D230" s="223"/>
      <c r="E230" s="223"/>
      <c r="F230" s="224"/>
      <c r="G230" s="224">
        <v>37</v>
      </c>
      <c r="H230" s="224">
        <v>55</v>
      </c>
      <c r="I230" s="224"/>
      <c r="J230" s="224"/>
      <c r="K230" s="224">
        <f ca="1">SUMPRODUCT(OFFSET(貼付け_2024実績,$G230,5,($H230-$G230+1),1),OFFSET(貼付け_2024実績,$G230,SUM(COLUMN()-COLUMN(貼付け_2024実績)),($H230-$G230+1),1))*0.0258</f>
        <v>0</v>
      </c>
      <c r="L230" s="225"/>
      <c r="M230" s="225"/>
      <c r="N230" s="225"/>
      <c r="O230" s="224">
        <f ca="1">SUMPRODUCT(OFFSET(貼付け_2024実績,$G230,5,($H230-$G230+1),1),OFFSET(貼付け_2024実績,$G230,SUM(COLUMN()-COLUMN(貼付け_2024実績)),($H230-$G230+1),1))*0.0258</f>
        <v>0</v>
      </c>
      <c r="P230" s="225"/>
      <c r="Q230" s="225"/>
      <c r="R230" s="225"/>
      <c r="S230" s="224">
        <f ca="1">SUMPRODUCT(OFFSET(貼付け_2024実績,$G230,5,($H230-$G230+1),1),OFFSET(貼付け_2024実績,$G230,SUM(COLUMN()-COLUMN(貼付け_2024実績)),($H230-$G230+1),1))*0.0258</f>
        <v>0</v>
      </c>
      <c r="T230" s="225"/>
      <c r="U230" s="225"/>
      <c r="V230" s="225"/>
      <c r="W230" s="224">
        <f ca="1">SUMPRODUCT(OFFSET(貼付け_2024実績,$G230,5,($H230-$G230+1),1),OFFSET(貼付け_2024実績,$G230,SUM(COLUMN()-COLUMN(貼付け_2024実績)),($H230-$G230+1),1))*0.0258</f>
        <v>0</v>
      </c>
      <c r="X230" s="225"/>
      <c r="Y230" s="225"/>
      <c r="Z230" s="225"/>
      <c r="AA230" s="224">
        <f ca="1">SUMPRODUCT(OFFSET(貼付け_2024実績,$G230,5,($H230-$G230+1),1),OFFSET(貼付け_2024実績,$G230,SUM(COLUMN()-COLUMN(貼付け_2024実績)),($H230-$G230+1),1))*0.0258</f>
        <v>0</v>
      </c>
      <c r="AB230" s="225"/>
      <c r="AC230" s="225"/>
      <c r="AD230" s="225"/>
      <c r="AE230" s="224">
        <f ca="1">SUMPRODUCT(OFFSET(貼付け_2024実績,$G230,5,($H230-$G230+1),1),OFFSET(貼付け_2024実績,$G230,SUM(COLUMN()-COLUMN(貼付け_2024実績)),($H230-$G230+1),1))*0.0258</f>
        <v>0</v>
      </c>
      <c r="AF230" s="225"/>
      <c r="AG230" s="225"/>
      <c r="AH230" s="225"/>
      <c r="AI230" s="224">
        <f ca="1">SUMPRODUCT(OFFSET(貼付け_2024実績,$G230,5,($H230-$G230+1),1),OFFSET(貼付け_2024実績,$G230,SUM(COLUMN()-COLUMN(貼付け_2024実績)),($H230-$G230+1),1))*0.0258</f>
        <v>0</v>
      </c>
      <c r="AJ230" s="225"/>
      <c r="AK230" s="225"/>
      <c r="AL230" s="225"/>
      <c r="AM230" s="224">
        <f ca="1">SUMPRODUCT(OFFSET(貼付け_2024実績,$G230,5,($H230-$G230+1),1),OFFSET(貼付け_2024実績,$G230,SUM(COLUMN()-COLUMN(貼付け_2024実績)),($H230-$G230+1),1))*0.0258</f>
        <v>0</v>
      </c>
      <c r="AN230" s="225"/>
      <c r="AO230" s="225"/>
      <c r="AP230" s="225"/>
      <c r="AQ230" s="224">
        <f ca="1">SUMPRODUCT(OFFSET(貼付け_2024実績,$G230,5,($H230-$G230+1),1),OFFSET(貼付け_2024実績,$G230,SUM(COLUMN()-COLUMN(貼付け_2024実績)),($H230-$G230+1),1))*0.0258</f>
        <v>0</v>
      </c>
      <c r="AR230" s="225"/>
      <c r="AS230" s="225"/>
      <c r="AT230" s="225"/>
      <c r="AU230" s="224">
        <f ca="1">SUMPRODUCT(OFFSET(貼付け_2024実績,$G230,5,($H230-$G230+1),1),OFFSET(貼付け_2024実績,$G230,SUM(COLUMN()-COLUMN(貼付け_2024実績)),($H230-$G230+1),1))*0.0258</f>
        <v>0</v>
      </c>
      <c r="AV230" s="225"/>
      <c r="AW230" s="225"/>
      <c r="AX230" s="225"/>
      <c r="AY230" s="224">
        <f ca="1">SUMPRODUCT(OFFSET(貼付け_2024実績,$G230,5,($H230-$G230+1),1),OFFSET(貼付け_2024実績,$G230,SUM(COLUMN()-COLUMN(貼付け_2024実績)),($H230-$G230+1),1))*0.0258</f>
        <v>0</v>
      </c>
      <c r="AZ230" s="225"/>
      <c r="BA230" s="225"/>
      <c r="BB230" s="225"/>
      <c r="BC230" s="224">
        <f ca="1">SUMPRODUCT(OFFSET(貼付け_2024実績,$G230,5,($H230-$G230+1),1),OFFSET(貼付け_2024実績,$G230,SUM(COLUMN()-COLUMN(貼付け_2024実績)),($H230-$G230+1),1))*0.0258</f>
        <v>0</v>
      </c>
      <c r="BD230" s="225"/>
      <c r="BE230" s="225"/>
      <c r="BF230" s="225"/>
      <c r="BG230" s="224">
        <f ca="1">SUMPRODUCT(OFFSET(貼付け_2024実績,$G230,5,($H230-$G230+1),1),OFFSET(貼付け_2024実績,$G230,SUM(COLUMN()-COLUMN(貼付け_2024実績)),($H230-$G230+1),1))*0.0258</f>
        <v>0</v>
      </c>
      <c r="BH230" s="225"/>
      <c r="BI230" s="225"/>
      <c r="BJ230" s="225"/>
      <c r="BK230" s="224">
        <f ca="1">SUMPRODUCT(OFFSET(貼付け_2024実績,$G230,5,($H230-$G230+1),1),OFFSET(貼付け_2024実績,$G230,SUM(COLUMN()-COLUMN(貼付け_2024実績)),($H230-$G230+1),1))*0.0258</f>
        <v>0</v>
      </c>
      <c r="BL230" s="225"/>
      <c r="BM230" s="225"/>
      <c r="BN230" s="225"/>
      <c r="BO230" s="224">
        <f ca="1">SUMPRODUCT(OFFSET(貼付け_2024実績,$G230,5,($H230-$G230+1),1),OFFSET(貼付け_2024実績,$G230,SUM(COLUMN()-COLUMN(貼付け_2024実績)),($H230-$G230+1),1))*0.0258</f>
        <v>0</v>
      </c>
      <c r="BP230" s="225"/>
      <c r="BQ230" s="225"/>
      <c r="BR230" s="225"/>
      <c r="BS230" s="224">
        <f ca="1">SUMPRODUCT(OFFSET(貼付け_2024実績,$G230,5,($H230-$G230+1),1),OFFSET(貼付け_2024実績,$G230,SUM(COLUMN()-COLUMN(貼付け_2024実績)),($H230-$G230+1),1))*0.0258</f>
        <v>0</v>
      </c>
      <c r="BT230" s="225"/>
      <c r="BU230" s="225"/>
      <c r="BV230" s="225"/>
      <c r="BW230" s="224">
        <f ca="1">SUMPRODUCT(OFFSET(貼付け_2024実績,$G230,5,($H230-$G230+1),1),OFFSET(貼付け_2024実績,$G230,SUM(COLUMN()-COLUMN(貼付け_2024実績)),($H230-$G230+1),1))*0.0258</f>
        <v>0</v>
      </c>
      <c r="BX230" s="225"/>
      <c r="BY230" s="225"/>
      <c r="BZ230" s="225"/>
      <c r="CA230" s="224">
        <f ca="1">SUMPRODUCT(OFFSET(貼付け_2024実績,$G230,5,($H230-$G230+1),1),OFFSET(貼付け_2024実績,$G230,SUM(COLUMN()-COLUMN(貼付け_2024実績)),($H230-$G230+1),1))*0.0258</f>
        <v>0</v>
      </c>
      <c r="CB230" s="225"/>
      <c r="CC230" s="225"/>
      <c r="CD230" s="225"/>
      <c r="CE230" s="224">
        <f ca="1">SUMPRODUCT(OFFSET(貼付け_2024実績,$G230,5,($H230-$G230+1),1),OFFSET(貼付け_2024実績,$G230,SUM(COLUMN()-COLUMN(貼付け_2024実績)),($H230-$G230+1),1))*0.0258</f>
        <v>0</v>
      </c>
      <c r="CF230" s="225"/>
      <c r="CG230" s="225"/>
      <c r="CH230" s="225"/>
      <c r="CI230" s="224">
        <f ca="1">SUMPRODUCT(OFFSET(貼付け_2024実績,$G230,5,($H230-$G230+1),1),OFFSET(貼付け_2024実績,$G230,SUM(COLUMN()-COLUMN(貼付け_2024実績)),($H230-$G230+1),1))*0.0258</f>
        <v>0</v>
      </c>
      <c r="CJ230" s="225"/>
      <c r="CK230" s="225"/>
      <c r="CL230" s="225"/>
      <c r="CM230" s="224">
        <f ca="1">SUMPRODUCT(OFFSET(貼付け_2024実績,$G230,5,($H230-$G230+1),1),OFFSET(貼付け_2024実績,$G230,SUM(COLUMN()-COLUMN(貼付け_2024実績)),($H230-$G230+1),1))*0.0258</f>
        <v>0</v>
      </c>
      <c r="CN230" s="225"/>
      <c r="CO230" s="225"/>
      <c r="CP230" s="225"/>
      <c r="CQ230" s="224">
        <f ca="1">SUMPRODUCT(OFFSET(貼付け_2024実績,$G230,5,($H230-$G230+1),1),OFFSET(貼付け_2024実績,$G230,SUM(COLUMN()-COLUMN(貼付け_2024実績)),($H230-$G230+1),1))*0.0258</f>
        <v>0</v>
      </c>
      <c r="CR230" s="225"/>
      <c r="CS230" s="225"/>
      <c r="CT230" s="225"/>
      <c r="CU230" s="224">
        <f ca="1">SUMPRODUCT(OFFSET(貼付け_2024実績,$G230,5,($H230-$G230+1),1),OFFSET(貼付け_2024実績,$G230,SUM(COLUMN()-COLUMN(貼付け_2024実績)),($H230-$G230+1),1))*0.0258</f>
        <v>0</v>
      </c>
      <c r="CV230" s="225"/>
      <c r="CW230" s="225"/>
      <c r="CX230" s="225"/>
      <c r="CY230" s="224">
        <f ca="1">SUMPRODUCT(OFFSET(貼付け_2024実績,$G230,5,($H230-$G230+1),1),OFFSET(貼付け_2024実績,$G230,SUM(COLUMN()-COLUMN(貼付け_2024実績)),($H230-$G230+1),1))*0.0258</f>
        <v>0</v>
      </c>
      <c r="CZ230" s="225"/>
      <c r="DA230" s="225"/>
      <c r="DB230" s="225"/>
      <c r="DC230" s="224">
        <f ca="1">SUMPRODUCT(OFFSET(貼付け_2024実績,$G230,5,($H230-$G230+1),1),OFFSET(貼付け_2024実績,$G230,SUM(COLUMN()-COLUMN(貼付け_2024実績)),($H230-$G230+1),1))*0.0258</f>
        <v>0</v>
      </c>
      <c r="DD230" s="225"/>
      <c r="DE230" s="225"/>
      <c r="DF230" s="225"/>
      <c r="DG230" s="224">
        <f ca="1">SUMPRODUCT(OFFSET(貼付け_2024実績,$G230,5,($H230-$G230+1),1),OFFSET(貼付け_2024実績,$G230,SUM(COLUMN()-COLUMN(貼付け_2024実績)),($H230-$G230+1),1))*0.0258</f>
        <v>0</v>
      </c>
      <c r="DH230" s="225"/>
      <c r="DI230" s="225"/>
      <c r="DJ230" s="225"/>
      <c r="DK230" s="224">
        <f ca="1">SUMPRODUCT(OFFSET(貼付け_2024実績,$G230,5,($H230-$G230+1),1),OFFSET(貼付け_2024実績,$G230,SUM(COLUMN()-COLUMN(貼付け_2024実績)),($H230-$G230+1),1))*0.0258</f>
        <v>0</v>
      </c>
      <c r="DL230" s="225"/>
      <c r="DM230" s="225"/>
      <c r="DN230" s="225"/>
      <c r="DO230" s="224">
        <f ca="1">SUMPRODUCT(OFFSET(貼付け_2024実績,$G230,5,($H230-$G230+1),1),OFFSET(貼付け_2024実績,$G230,SUM(COLUMN()-COLUMN(貼付け_2024実績)),($H230-$G230+1),1))*0.0258</f>
        <v>0</v>
      </c>
      <c r="DP230" s="225"/>
      <c r="DQ230" s="225"/>
      <c r="DR230" s="225"/>
      <c r="DS230" s="224">
        <f ca="1">SUMPRODUCT(OFFSET(貼付け_2024実績,$G230,5,($H230-$G230+1),1),OFFSET(貼付け_2024実績,$G230,SUM(COLUMN()-COLUMN(貼付け_2024実績)),($H230-$G230+1),1))*0.0258</f>
        <v>0</v>
      </c>
      <c r="DT230" s="225"/>
      <c r="DU230" s="225"/>
      <c r="DV230" s="225"/>
      <c r="DW230" s="224">
        <f ca="1">SUMPRODUCT(OFFSET(貼付け_2024実績,$G230,5,($H230-$G230+1),1),OFFSET(貼付け_2024実績,$G230,SUM(COLUMN()-COLUMN(貼付け_2024実績)),($H230-$G230+1),1))*0.0258</f>
        <v>0</v>
      </c>
      <c r="DX230" s="225"/>
      <c r="DY230" s="225"/>
      <c r="DZ230" s="225"/>
      <c r="EA230" s="224">
        <f ca="1">SUMPRODUCT(OFFSET(貼付け_2024実績,$G230,5,($H230-$G230+1),1),OFFSET(貼付け_2024実績,$G230,SUM(COLUMN()-COLUMN(貼付け_2024実績)),($H230-$G230+1),1))*0.0258</f>
        <v>0</v>
      </c>
      <c r="EB230" s="225"/>
      <c r="EC230" s="225"/>
      <c r="ED230" s="225"/>
      <c r="EE230" s="224">
        <f ca="1">SUMPRODUCT(OFFSET(貼付け_2024実績,$G230,5,($H230-$G230+1),1),OFFSET(貼付け_2024実績,$G230,SUM(COLUMN()-COLUMN(貼付け_2024実績)),($H230-$G230+1),1))*0.0258</f>
        <v>0</v>
      </c>
      <c r="EF230" s="225"/>
      <c r="EG230" s="225"/>
      <c r="EH230" s="225"/>
      <c r="EI230" s="224">
        <f ca="1">SUMPRODUCT(OFFSET(貼付け_2024実績,$G230,5,($H230-$G230+1),1),OFFSET(貼付け_2024実績,$G230,SUM(COLUMN()-COLUMN(貼付け_2024実績)),($H230-$G230+1),1))*0.0258</f>
        <v>0</v>
      </c>
      <c r="EJ230" s="225"/>
      <c r="EK230" s="225"/>
      <c r="EL230" s="225"/>
      <c r="EM230" s="224">
        <f ca="1">SUMPRODUCT(OFFSET(貼付け_2024実績,$G230,5,($H230-$G230+1),1),OFFSET(貼付け_2024実績,$G230,SUM(COLUMN()-COLUMN(貼付け_2024実績)),($H230-$G230+1),1))*0.0258</f>
        <v>0</v>
      </c>
      <c r="EN230" s="225"/>
      <c r="EO230" s="225"/>
      <c r="EP230" s="225"/>
      <c r="EQ230" s="224">
        <f ca="1">SUMPRODUCT(OFFSET(貼付け_2024実績,$G230,5,($H230-$G230+1),1),OFFSET(貼付け_2024実績,$G230,SUM(COLUMN()-COLUMN(貼付け_2024実績)),($H230-$G230+1),1))*0.0258</f>
        <v>0</v>
      </c>
      <c r="ER230" s="225"/>
      <c r="ES230" s="225"/>
      <c r="ET230" s="225"/>
      <c r="EU230" s="224">
        <f ca="1">SUMPRODUCT(OFFSET(貼付け_2024実績,$G230,5,($H230-$G230+1),1),OFFSET(貼付け_2024実績,$G230,SUM(COLUMN()-COLUMN(貼付け_2024実績)),($H230-$G230+1),1))*0.0258</f>
        <v>0</v>
      </c>
      <c r="EV230" s="225"/>
      <c r="EW230" s="225"/>
      <c r="EX230" s="225"/>
      <c r="EY230" s="224">
        <f ca="1">SUMPRODUCT(OFFSET(貼付け_2024実績,$G230,5,($H230-$G230+1),1),OFFSET(貼付け_2024実績,$G230,SUM(COLUMN()-COLUMN(貼付け_2024実績)),($H230-$G230+1),1))*0.0258</f>
        <v>0</v>
      </c>
      <c r="EZ230" s="225"/>
      <c r="FA230" s="225"/>
      <c r="FB230" s="225"/>
      <c r="FC230" s="224">
        <f ca="1">SUMPRODUCT(OFFSET(貼付け_2024実績,$G230,5,($H230-$G230+1),1),OFFSET(貼付け_2024実績,$G230,SUM(COLUMN()-COLUMN(貼付け_2024実績)),($H230-$G230+1),1))*0.0258</f>
        <v>0</v>
      </c>
      <c r="FD230" s="225"/>
      <c r="FE230" s="225"/>
      <c r="FF230" s="225"/>
      <c r="FG230" s="224">
        <f ca="1">SUMPRODUCT(OFFSET(貼付け_2024実績,$G230,5,($H230-$G230+1),1),OFFSET(貼付け_2024実績,$G230,SUM(COLUMN()-COLUMN(貼付け_2024実績)),($H230-$G230+1),1))*0.0258</f>
        <v>0</v>
      </c>
      <c r="FH230" s="225"/>
      <c r="FI230" s="225"/>
      <c r="FJ230" s="225"/>
      <c r="FK230" s="224">
        <f ca="1">SUMPRODUCT(OFFSET(貼付け_2024実績,$G230,5,($H230-$G230+1),1),OFFSET(貼付け_2024実績,$G230,SUM(COLUMN()-COLUMN(貼付け_2024実績)),($H230-$G230+1),1))*0.0258</f>
        <v>0</v>
      </c>
      <c r="FL230" s="225"/>
      <c r="FM230" s="225"/>
      <c r="FN230" s="225"/>
      <c r="FO230" s="224">
        <f ca="1">SUMPRODUCT(OFFSET(貼付け_2024実績,$G230,5,($H230-$G230+1),1),OFFSET(貼付け_2024実績,$G230,SUM(COLUMN()-COLUMN(貼付け_2024実績)),($H230-$G230+1),1))*0.0258</f>
        <v>0</v>
      </c>
      <c r="FP230" s="225"/>
      <c r="FQ230" s="225"/>
      <c r="FR230" s="225"/>
      <c r="FS230" s="224">
        <f ca="1">SUMPRODUCT(OFFSET(貼付け_2024実績,$G230,5,($H230-$G230+1),1),OFFSET(貼付け_2024実績,$G230,SUM(COLUMN()-COLUMN(貼付け_2024実績)),($H230-$G230+1),1))*0.0258</f>
        <v>0</v>
      </c>
      <c r="FT230" s="225"/>
      <c r="FU230" s="225"/>
      <c r="FV230" s="225"/>
      <c r="FW230" s="224">
        <f ca="1">SUMPRODUCT(OFFSET(貼付け_2024実績,$G230,5,($H230-$G230+1),1),OFFSET(貼付け_2024実績,$G230,SUM(COLUMN()-COLUMN(貼付け_2024実績)),($H230-$G230+1),1))*0.0258</f>
        <v>0</v>
      </c>
      <c r="FX230" s="225"/>
      <c r="FY230" s="225"/>
      <c r="FZ230" s="225"/>
      <c r="GA230" s="224">
        <f ca="1">SUMPRODUCT(OFFSET(貼付け_2024実績,$G230,5,($H230-$G230+1),1),OFFSET(貼付け_2024実績,$G230,SUM(COLUMN()-COLUMN(貼付け_2024実績)),($H230-$G230+1),1))*0.0258</f>
        <v>0</v>
      </c>
      <c r="GB230" s="225"/>
      <c r="GC230" s="225"/>
      <c r="GD230" s="225"/>
      <c r="GE230" s="224">
        <f ca="1">SUMPRODUCT(OFFSET(貼付け_2024実績,$G230,5,($H230-$G230+1),1),OFFSET(貼付け_2024実績,$G230,SUM(COLUMN()-COLUMN(貼付け_2024実績)),($H230-$G230+1),1))*0.0258</f>
        <v>0</v>
      </c>
      <c r="GF230" s="225"/>
      <c r="GG230" s="225"/>
      <c r="GH230" s="225"/>
      <c r="GI230" s="224">
        <f ca="1">SUMPRODUCT(OFFSET(貼付け_2024実績,$G230,5,($H230-$G230+1),1),OFFSET(貼付け_2024実績,$G230,SUM(COLUMN()-COLUMN(貼付け_2024実績)),($H230-$G230+1),1))*0.0258</f>
        <v>0</v>
      </c>
      <c r="GJ230" s="225"/>
      <c r="GK230" s="225"/>
      <c r="GL230" s="225"/>
      <c r="GM230" s="224">
        <f ca="1">SUMPRODUCT(OFFSET(貼付け_2024実績,$G230,5,($H230-$G230+1),1),OFFSET(貼付け_2024実績,$G230,SUM(COLUMN()-COLUMN(貼付け_2024実績)),($H230-$G230+1),1))*0.0258</f>
        <v>0</v>
      </c>
      <c r="GN230" s="225"/>
      <c r="GO230" s="225"/>
      <c r="GP230" s="225"/>
      <c r="GQ230" s="224">
        <f ca="1">SUMPRODUCT(OFFSET(貼付け_2024実績,$G230,5,($H230-$G230+1),1),OFFSET(貼付け_2024実績,$G230,SUM(COLUMN()-COLUMN(貼付け_2024実績)),($H230-$G230+1),1))*0.0258</f>
        <v>0</v>
      </c>
      <c r="GR230" s="225"/>
      <c r="GS230" s="225"/>
      <c r="GT230" s="225"/>
      <c r="GU230" s="224">
        <f ca="1">SUMPRODUCT(OFFSET(貼付け_2024実績,$G230,5,($H230-$G230+1),1),OFFSET(貼付け_2024実績,$G230,SUM(COLUMN()-COLUMN(貼付け_2024実績)),($H230-$G230+1),1))*0.0258</f>
        <v>0</v>
      </c>
      <c r="GV230" s="225"/>
      <c r="GW230" s="225"/>
      <c r="GX230" s="225"/>
      <c r="GY230" s="224">
        <f ca="1">SUMPRODUCT(OFFSET(貼付け_2024実績,$G230,5,($H230-$G230+1),1),OFFSET(貼付け_2024実績,$G230,SUM(COLUMN()-COLUMN(貼付け_2024実績)),($H230-$G230+1),1))*0.0258</f>
        <v>0</v>
      </c>
      <c r="GZ230" s="225"/>
      <c r="HA230" s="225"/>
      <c r="HB230" s="225"/>
      <c r="IE230" s="219"/>
      <c r="IF230" s="219"/>
      <c r="IG230" s="219"/>
      <c r="IH230" s="219"/>
    </row>
    <row r="231" spans="1:242" s="197" customFormat="1" ht="19.8" hidden="1">
      <c r="A231" s="214"/>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c r="C232" s="221" t="s">
        <v>4269</v>
      </c>
      <c r="D232" s="223"/>
      <c r="E232" s="223"/>
      <c r="F232" s="224"/>
      <c r="G232" s="224">
        <v>101</v>
      </c>
      <c r="H232" s="224"/>
      <c r="I232" s="224"/>
      <c r="J232" s="224"/>
      <c r="K232" s="224">
        <f ca="1">K231-M229-N229</f>
        <v>0</v>
      </c>
      <c r="L232" s="224">
        <f ca="1">OFFSET(貼付け_2024実績,$G232,SUM(COLUMN()-COLUMN(貼付け_2024実績))-1)</f>
        <v>0</v>
      </c>
      <c r="M232" s="224" t="str">
        <f ca="1">IFERROR(K232/L232,"")</f>
        <v/>
      </c>
      <c r="N232" s="226"/>
      <c r="O232" s="224">
        <f ca="1">O231-Q229-R229</f>
        <v>0</v>
      </c>
      <c r="P232" s="224">
        <f ca="1">OFFSET(貼付け_2024実績,$G232,SUM(COLUMN()-COLUMN(貼付け_2024実績))-1)</f>
        <v>0</v>
      </c>
      <c r="Q232" s="224" t="str">
        <f ca="1">IFERROR(O232/P232,"")</f>
        <v/>
      </c>
      <c r="R232" s="226"/>
      <c r="S232" s="224">
        <f ca="1">S231-U229-V229</f>
        <v>0</v>
      </c>
      <c r="T232" s="224">
        <f ca="1">OFFSET(貼付け_2024実績,$G232,SUM(COLUMN()-COLUMN(貼付け_2024実績))-1)</f>
        <v>0</v>
      </c>
      <c r="U232" s="224" t="str">
        <f ca="1">IFERROR(S232/T232,"")</f>
        <v/>
      </c>
      <c r="V232" s="226"/>
      <c r="W232" s="224">
        <f ca="1">W231-Y229-Z229</f>
        <v>0</v>
      </c>
      <c r="X232" s="224">
        <f ca="1">OFFSET(貼付け_2024実績,$G232,SUM(COLUMN()-COLUMN(貼付け_2024実績))-1)</f>
        <v>0</v>
      </c>
      <c r="Y232" s="224" t="str">
        <f ca="1">IFERROR(W232/X232,"")</f>
        <v/>
      </c>
      <c r="Z232" s="226"/>
      <c r="AA232" s="224">
        <f ca="1">AA231-AC229-AD229</f>
        <v>0</v>
      </c>
      <c r="AB232" s="224">
        <f ca="1">OFFSET(貼付け_2024実績,$G232,SUM(COLUMN()-COLUMN(貼付け_2024実績))-1)</f>
        <v>0</v>
      </c>
      <c r="AC232" s="224" t="str">
        <f ca="1">IFERROR(AA232/AB232,"")</f>
        <v/>
      </c>
      <c r="AD232" s="226"/>
      <c r="AE232" s="224">
        <f ca="1">AE231-AG229-AH229</f>
        <v>0</v>
      </c>
      <c r="AF232" s="224">
        <f ca="1">OFFSET(貼付け_2024実績,$G232,SUM(COLUMN()-COLUMN(貼付け_2024実績))-1)</f>
        <v>0</v>
      </c>
      <c r="AG232" s="224" t="str">
        <f ca="1">IFERROR(AE232/AF232,"")</f>
        <v/>
      </c>
      <c r="AH232" s="226"/>
      <c r="AI232" s="224">
        <f ca="1">AI231-AK229-AL229</f>
        <v>0</v>
      </c>
      <c r="AJ232" s="224">
        <f ca="1">OFFSET(貼付け_2024実績,$G232,SUM(COLUMN()-COLUMN(貼付け_2024実績))-1)</f>
        <v>0</v>
      </c>
      <c r="AK232" s="224" t="str">
        <f ca="1">IFERROR(AI232/AJ232,"")</f>
        <v/>
      </c>
      <c r="AL232" s="226"/>
      <c r="AM232" s="224">
        <f ca="1">AM231-AO229-AP229</f>
        <v>0</v>
      </c>
      <c r="AN232" s="224">
        <f ca="1">OFFSET(貼付け_2024実績,$G232,SUM(COLUMN()-COLUMN(貼付け_2024実績))-1)</f>
        <v>0</v>
      </c>
      <c r="AO232" s="224" t="str">
        <f ca="1">IFERROR(AM232/AN232,"")</f>
        <v/>
      </c>
      <c r="AP232" s="226"/>
      <c r="AQ232" s="224">
        <f ca="1">AQ231-AS229-AT229</f>
        <v>0</v>
      </c>
      <c r="AR232" s="224">
        <f ca="1">OFFSET(貼付け_2024実績,$G232,SUM(COLUMN()-COLUMN(貼付け_2024実績))-1)</f>
        <v>0</v>
      </c>
      <c r="AS232" s="224" t="str">
        <f ca="1">IFERROR(AQ232/AR232,"")</f>
        <v/>
      </c>
      <c r="AT232" s="226"/>
      <c r="AU232" s="224">
        <f ca="1">AU231-AW229-AX229</f>
        <v>0</v>
      </c>
      <c r="AV232" s="224">
        <f ca="1">OFFSET(貼付け_2024実績,$G232,SUM(COLUMN()-COLUMN(貼付け_2024実績))-1)</f>
        <v>0</v>
      </c>
      <c r="AW232" s="224" t="str">
        <f ca="1">IFERROR(AU232/AV232,"")</f>
        <v/>
      </c>
      <c r="AX232" s="226"/>
      <c r="AY232" s="224">
        <f ca="1">AY231-BA229-BB229</f>
        <v>0</v>
      </c>
      <c r="AZ232" s="224">
        <f ca="1">OFFSET(貼付け_2024実績,$G232,SUM(COLUMN()-COLUMN(貼付け_2024実績))-1)</f>
        <v>0</v>
      </c>
      <c r="BA232" s="224" t="str">
        <f ca="1">IFERROR(AY232/AZ232,"")</f>
        <v/>
      </c>
      <c r="BB232" s="226"/>
      <c r="BC232" s="224">
        <f ca="1">BC231-BE229-BF229</f>
        <v>0</v>
      </c>
      <c r="BD232" s="224">
        <f ca="1">OFFSET(貼付け_2024実績,$G232,SUM(COLUMN()-COLUMN(貼付け_2024実績))-1)</f>
        <v>0</v>
      </c>
      <c r="BE232" s="224" t="str">
        <f ca="1">IFERROR(BC232/BD232,"")</f>
        <v/>
      </c>
      <c r="BF232" s="226"/>
      <c r="BG232" s="224">
        <f ca="1">BG231-BI229-BJ229</f>
        <v>0</v>
      </c>
      <c r="BH232" s="224">
        <f ca="1">OFFSET(貼付け_2024実績,$G232,SUM(COLUMN()-COLUMN(貼付け_2024実績))-1)</f>
        <v>0</v>
      </c>
      <c r="BI232" s="224" t="str">
        <f ca="1">IFERROR(BG232/BH232,"")</f>
        <v/>
      </c>
      <c r="BJ232" s="226"/>
      <c r="BK232" s="224">
        <f ca="1">BK231-BM229-BN229</f>
        <v>0</v>
      </c>
      <c r="BL232" s="224">
        <f ca="1">OFFSET(貼付け_2024実績,$G232,SUM(COLUMN()-COLUMN(貼付け_2024実績))-1)</f>
        <v>0</v>
      </c>
      <c r="BM232" s="224" t="str">
        <f ca="1">IFERROR(BK232/BL232,"")</f>
        <v/>
      </c>
      <c r="BN232" s="226"/>
      <c r="BO232" s="224">
        <f ca="1">BO231-BQ229-BR229</f>
        <v>0</v>
      </c>
      <c r="BP232" s="224">
        <f ca="1">OFFSET(貼付け_2024実績,$G232,SUM(COLUMN()-COLUMN(貼付け_2024実績))-1)</f>
        <v>0</v>
      </c>
      <c r="BQ232" s="224" t="str">
        <f ca="1">IFERROR(BO232/BP232,"")</f>
        <v/>
      </c>
      <c r="BR232" s="226"/>
      <c r="BS232" s="224">
        <f ca="1">BS231-BU229-BV229</f>
        <v>0</v>
      </c>
      <c r="BT232" s="224">
        <f ca="1">OFFSET(貼付け_2024実績,$G232,SUM(COLUMN()-COLUMN(貼付け_2024実績))-1)</f>
        <v>0</v>
      </c>
      <c r="BU232" s="224" t="str">
        <f ca="1">IFERROR(BS232/BT232,"")</f>
        <v/>
      </c>
      <c r="BV232" s="226"/>
      <c r="BW232" s="224">
        <f ca="1">BW231-BY229-BZ229</f>
        <v>0</v>
      </c>
      <c r="BX232" s="224">
        <f ca="1">OFFSET(貼付け_2024実績,$G232,SUM(COLUMN()-COLUMN(貼付け_2024実績))-1)</f>
        <v>0</v>
      </c>
      <c r="BY232" s="224" t="str">
        <f ca="1">IFERROR(BW232/BX232,"")</f>
        <v/>
      </c>
      <c r="BZ232" s="226"/>
      <c r="CA232" s="224">
        <f ca="1">CA231-CC229-CD229</f>
        <v>0</v>
      </c>
      <c r="CB232" s="224">
        <f ca="1">OFFSET(貼付け_2024実績,$G232,SUM(COLUMN()-COLUMN(貼付け_2024実績))-1)</f>
        <v>0</v>
      </c>
      <c r="CC232" s="224" t="str">
        <f ca="1">IFERROR(CA232/CB232,"")</f>
        <v/>
      </c>
      <c r="CD232" s="226"/>
      <c r="CE232" s="224">
        <f ca="1">CE231-CG229-CH229</f>
        <v>0</v>
      </c>
      <c r="CF232" s="224">
        <f ca="1">OFFSET(貼付け_2024実績,$G232,SUM(COLUMN()-COLUMN(貼付け_2024実績))-1)</f>
        <v>0</v>
      </c>
      <c r="CG232" s="224" t="str">
        <f ca="1">IFERROR(CE232/CF232,"")</f>
        <v/>
      </c>
      <c r="CH232" s="226"/>
      <c r="CI232" s="224">
        <f ca="1">CI231-CK229-CL229</f>
        <v>0</v>
      </c>
      <c r="CJ232" s="224">
        <f ca="1">OFFSET(貼付け_2024実績,$G232,SUM(COLUMN()-COLUMN(貼付け_2024実績))-1)</f>
        <v>0</v>
      </c>
      <c r="CK232" s="224" t="str">
        <f ca="1">IFERROR(CI232/CJ232,"")</f>
        <v/>
      </c>
      <c r="CL232" s="226"/>
      <c r="CM232" s="224">
        <f ca="1">CM231-CO229-CP229</f>
        <v>0</v>
      </c>
      <c r="CN232" s="224">
        <f ca="1">OFFSET(貼付け_2024実績,$G232,SUM(COLUMN()-COLUMN(貼付け_2024実績))-1)</f>
        <v>0</v>
      </c>
      <c r="CO232" s="224" t="str">
        <f ca="1">IFERROR(CM232/CN232,"")</f>
        <v/>
      </c>
      <c r="CP232" s="226"/>
      <c r="CQ232" s="224">
        <f ca="1">CQ231-CS229-CT229</f>
        <v>0</v>
      </c>
      <c r="CR232" s="224">
        <f ca="1">OFFSET(貼付け_2024実績,$G232,SUM(COLUMN()-COLUMN(貼付け_2024実績))-1)</f>
        <v>0</v>
      </c>
      <c r="CS232" s="224" t="str">
        <f ca="1">IFERROR(CQ232/CR232,"")</f>
        <v/>
      </c>
      <c r="CT232" s="226"/>
      <c r="CU232" s="224">
        <f ca="1">CU231-CW229-CX229</f>
        <v>0</v>
      </c>
      <c r="CV232" s="224">
        <f ca="1">OFFSET(貼付け_2024実績,$G232,SUM(COLUMN()-COLUMN(貼付け_2024実績))-1)</f>
        <v>0</v>
      </c>
      <c r="CW232" s="224" t="str">
        <f ca="1">IFERROR(CU232/CV232,"")</f>
        <v/>
      </c>
      <c r="CX232" s="226"/>
      <c r="CY232" s="224">
        <f ca="1">CY231-DA229-DB229</f>
        <v>0</v>
      </c>
      <c r="CZ232" s="224">
        <f ca="1">OFFSET(貼付け_2024実績,$G232,SUM(COLUMN()-COLUMN(貼付け_2024実績))-1)</f>
        <v>0</v>
      </c>
      <c r="DA232" s="224" t="str">
        <f ca="1">IFERROR(CY232/CZ232,"")</f>
        <v/>
      </c>
      <c r="DB232" s="226"/>
      <c r="DC232" s="224">
        <f ca="1">DC231-DE229-DF229</f>
        <v>0</v>
      </c>
      <c r="DD232" s="224">
        <f ca="1">OFFSET(貼付け_2024実績,$G232,SUM(COLUMN()-COLUMN(貼付け_2024実績))-1)</f>
        <v>0</v>
      </c>
      <c r="DE232" s="224" t="str">
        <f ca="1">IFERROR(DC232/DD232,"")</f>
        <v/>
      </c>
      <c r="DF232" s="226"/>
      <c r="DG232" s="224">
        <f ca="1">DG231-DI229-DJ229</f>
        <v>0</v>
      </c>
      <c r="DH232" s="224">
        <f ca="1">OFFSET(貼付け_2024実績,$G232,SUM(COLUMN()-COLUMN(貼付け_2024実績))-1)</f>
        <v>0</v>
      </c>
      <c r="DI232" s="224" t="str">
        <f ca="1">IFERROR(DG232/DH232,"")</f>
        <v/>
      </c>
      <c r="DJ232" s="226"/>
      <c r="DK232" s="224">
        <f ca="1">DK231-DM229-DN229</f>
        <v>0</v>
      </c>
      <c r="DL232" s="224">
        <f ca="1">OFFSET(貼付け_2024実績,$G232,SUM(COLUMN()-COLUMN(貼付け_2024実績))-1)</f>
        <v>0</v>
      </c>
      <c r="DM232" s="224" t="str">
        <f ca="1">IFERROR(DK232/DL232,"")</f>
        <v/>
      </c>
      <c r="DN232" s="226"/>
      <c r="DO232" s="224">
        <f ca="1">DO231-DQ229-DR229</f>
        <v>0</v>
      </c>
      <c r="DP232" s="224">
        <f ca="1">OFFSET(貼付け_2024実績,$G232,SUM(COLUMN()-COLUMN(貼付け_2024実績))-1)</f>
        <v>0</v>
      </c>
      <c r="DQ232" s="224" t="str">
        <f ca="1">IFERROR(DO232/DP232,"")</f>
        <v/>
      </c>
      <c r="DR232" s="226"/>
      <c r="DS232" s="224">
        <f ca="1">DS231-DU229-DV229</f>
        <v>0</v>
      </c>
      <c r="DT232" s="224">
        <f ca="1">OFFSET(貼付け_2024実績,$G232,SUM(COLUMN()-COLUMN(貼付け_2024実績))-1)</f>
        <v>0</v>
      </c>
      <c r="DU232" s="224" t="str">
        <f ca="1">IFERROR(DS232/DT232,"")</f>
        <v/>
      </c>
      <c r="DV232" s="226"/>
      <c r="DW232" s="224">
        <f ca="1">DW231-DY229-DZ229</f>
        <v>0</v>
      </c>
      <c r="DX232" s="224">
        <f ca="1">OFFSET(貼付け_2024実績,$G232,SUM(COLUMN()-COLUMN(貼付け_2024実績))-1)</f>
        <v>0</v>
      </c>
      <c r="DY232" s="224" t="str">
        <f ca="1">IFERROR(DW232/DX232,"")</f>
        <v/>
      </c>
      <c r="DZ232" s="226"/>
      <c r="EA232" s="224">
        <f ca="1">EA231-EC229-ED229</f>
        <v>0</v>
      </c>
      <c r="EB232" s="224">
        <f ca="1">OFFSET(貼付け_2024実績,$G232,SUM(COLUMN()-COLUMN(貼付け_2024実績))-1)</f>
        <v>0</v>
      </c>
      <c r="EC232" s="224" t="str">
        <f ca="1">IFERROR(EA232/EB232,"")</f>
        <v/>
      </c>
      <c r="ED232" s="226"/>
      <c r="EE232" s="224">
        <f ca="1">EE231-EG229-EH229</f>
        <v>0</v>
      </c>
      <c r="EF232" s="224">
        <f ca="1">OFFSET(貼付け_2024実績,$G232,SUM(COLUMN()-COLUMN(貼付け_2024実績))-1)</f>
        <v>0</v>
      </c>
      <c r="EG232" s="224" t="str">
        <f ca="1">IFERROR(EE232/EF232,"")</f>
        <v/>
      </c>
      <c r="EH232" s="226"/>
      <c r="EI232" s="224">
        <f ca="1">EI231-EK229-EL229</f>
        <v>0</v>
      </c>
      <c r="EJ232" s="224">
        <f ca="1">OFFSET(貼付け_2024実績,$G232,SUM(COLUMN()-COLUMN(貼付け_2024実績))-1)</f>
        <v>0</v>
      </c>
      <c r="EK232" s="224" t="str">
        <f ca="1">IFERROR(EI232/EJ232,"")</f>
        <v/>
      </c>
      <c r="EL232" s="226"/>
      <c r="EM232" s="224">
        <f ca="1">EM231-EO229-EP229</f>
        <v>0</v>
      </c>
      <c r="EN232" s="224">
        <f ca="1">OFFSET(貼付け_2024実績,$G232,SUM(COLUMN()-COLUMN(貼付け_2024実績))-1)</f>
        <v>0</v>
      </c>
      <c r="EO232" s="224" t="str">
        <f ca="1">IFERROR(EM232/EN232,"")</f>
        <v/>
      </c>
      <c r="EP232" s="226"/>
      <c r="EQ232" s="224">
        <f ca="1">EQ231-ES229-ET229</f>
        <v>0</v>
      </c>
      <c r="ER232" s="224">
        <f ca="1">OFFSET(貼付け_2024実績,$G232,SUM(COLUMN()-COLUMN(貼付け_2024実績))-1)</f>
        <v>0</v>
      </c>
      <c r="ES232" s="224" t="str">
        <f ca="1">IFERROR(EQ232/ER232,"")</f>
        <v/>
      </c>
      <c r="ET232" s="226"/>
      <c r="EU232" s="224">
        <f ca="1">EU231-EW229-EX229</f>
        <v>0</v>
      </c>
      <c r="EV232" s="224">
        <f ca="1">OFFSET(貼付け_2024実績,$G232,SUM(COLUMN()-COLUMN(貼付け_2024実績))-1)</f>
        <v>0</v>
      </c>
      <c r="EW232" s="224" t="str">
        <f ca="1">IFERROR(EU232/EV232,"")</f>
        <v/>
      </c>
      <c r="EX232" s="226"/>
      <c r="EY232" s="224">
        <f ca="1">EY231-FA229-FB229</f>
        <v>0</v>
      </c>
      <c r="EZ232" s="224">
        <f ca="1">OFFSET(貼付け_2024実績,$G232,SUM(COLUMN()-COLUMN(貼付け_2024実績))-1)</f>
        <v>0</v>
      </c>
      <c r="FA232" s="224" t="str">
        <f ca="1">IFERROR(EY232/EZ232,"")</f>
        <v/>
      </c>
      <c r="FB232" s="226"/>
      <c r="FC232" s="224">
        <f ca="1">FC231-FE229-FF229</f>
        <v>0</v>
      </c>
      <c r="FD232" s="224">
        <f ca="1">OFFSET(貼付け_2024実績,$G232,SUM(COLUMN()-COLUMN(貼付け_2024実績))-1)</f>
        <v>0</v>
      </c>
      <c r="FE232" s="224" t="str">
        <f ca="1">IFERROR(FC232/FD232,"")</f>
        <v/>
      </c>
      <c r="FF232" s="226"/>
      <c r="FG232" s="224">
        <f ca="1">FG231-FI229-FJ229</f>
        <v>0</v>
      </c>
      <c r="FH232" s="224">
        <f ca="1">OFFSET(貼付け_2024実績,$G232,SUM(COLUMN()-COLUMN(貼付け_2024実績))-1)</f>
        <v>0</v>
      </c>
      <c r="FI232" s="224" t="str">
        <f ca="1">IFERROR(FG232/FH232,"")</f>
        <v/>
      </c>
      <c r="FJ232" s="226"/>
      <c r="FK232" s="224">
        <f ca="1">FK231-FM229-FN229</f>
        <v>0</v>
      </c>
      <c r="FL232" s="224">
        <f ca="1">OFFSET(貼付け_2024実績,$G232,SUM(COLUMN()-COLUMN(貼付け_2024実績))-1)</f>
        <v>0</v>
      </c>
      <c r="FM232" s="224" t="str">
        <f ca="1">IFERROR(FK232/FL232,"")</f>
        <v/>
      </c>
      <c r="FN232" s="226"/>
      <c r="FO232" s="224">
        <f ca="1">FO231-FQ229-FR229</f>
        <v>0</v>
      </c>
      <c r="FP232" s="224">
        <f ca="1">OFFSET(貼付け_2024実績,$G232,SUM(COLUMN()-COLUMN(貼付け_2024実績))-1)</f>
        <v>0</v>
      </c>
      <c r="FQ232" s="224" t="str">
        <f ca="1">IFERROR(FO232/FP232,"")</f>
        <v/>
      </c>
      <c r="FR232" s="226"/>
      <c r="FS232" s="224">
        <f ca="1">FS231-FU229-FV229</f>
        <v>0</v>
      </c>
      <c r="FT232" s="224">
        <f ca="1">OFFSET(貼付け_2024実績,$G232,SUM(COLUMN()-COLUMN(貼付け_2024実績))-1)</f>
        <v>0</v>
      </c>
      <c r="FU232" s="224" t="str">
        <f ca="1">IFERROR(FS232/FT232,"")</f>
        <v/>
      </c>
      <c r="FV232" s="226"/>
      <c r="FW232" s="224">
        <f ca="1">FW231-FY229-FZ229</f>
        <v>0</v>
      </c>
      <c r="FX232" s="224">
        <f ca="1">OFFSET(貼付け_2024実績,$G232,SUM(COLUMN()-COLUMN(貼付け_2024実績))-1)</f>
        <v>0</v>
      </c>
      <c r="FY232" s="224" t="str">
        <f ca="1">IFERROR(FW232/FX232,"")</f>
        <v/>
      </c>
      <c r="FZ232" s="226"/>
      <c r="GA232" s="224">
        <f ca="1">GA231-GC229-GD229</f>
        <v>0</v>
      </c>
      <c r="GB232" s="224">
        <f ca="1">OFFSET(貼付け_2024実績,$G232,SUM(COLUMN()-COLUMN(貼付け_2024実績))-1)</f>
        <v>0</v>
      </c>
      <c r="GC232" s="224" t="str">
        <f ca="1">IFERROR(GA232/GB232,"")</f>
        <v/>
      </c>
      <c r="GD232" s="226"/>
      <c r="GE232" s="224">
        <f ca="1">GE231-GG229-GH229</f>
        <v>0</v>
      </c>
      <c r="GF232" s="224">
        <f ca="1">OFFSET(貼付け_2024実績,$G232,SUM(COLUMN()-COLUMN(貼付け_2024実績))-1)</f>
        <v>0</v>
      </c>
      <c r="GG232" s="224" t="str">
        <f ca="1">IFERROR(GE232/GF232,"")</f>
        <v/>
      </c>
      <c r="GH232" s="226"/>
      <c r="GI232" s="224">
        <f ca="1">GI231-GK229-GL229</f>
        <v>0</v>
      </c>
      <c r="GJ232" s="224">
        <f ca="1">OFFSET(貼付け_2024実績,$G232,SUM(COLUMN()-COLUMN(貼付け_2024実績))-1)</f>
        <v>0</v>
      </c>
      <c r="GK232" s="224" t="str">
        <f ca="1">IFERROR(GI232/GJ232,"")</f>
        <v/>
      </c>
      <c r="GL232" s="226"/>
      <c r="GM232" s="224">
        <f ca="1">GM231-GO229-GP229</f>
        <v>0</v>
      </c>
      <c r="GN232" s="224">
        <f ca="1">OFFSET(貼付け_2024実績,$G232,SUM(COLUMN()-COLUMN(貼付け_2024実績))-1)</f>
        <v>0</v>
      </c>
      <c r="GO232" s="224" t="str">
        <f ca="1">IFERROR(GM232/GN232,"")</f>
        <v/>
      </c>
      <c r="GP232" s="226"/>
      <c r="GQ232" s="224">
        <f ca="1">GQ231-GS229-GT229</f>
        <v>0</v>
      </c>
      <c r="GR232" s="224">
        <f ca="1">OFFSET(貼付け_2024実績,$G232,SUM(COLUMN()-COLUMN(貼付け_2024実績))-1)</f>
        <v>0</v>
      </c>
      <c r="GS232" s="224" t="str">
        <f ca="1">IFERROR(GQ232/GR232,"")</f>
        <v/>
      </c>
      <c r="GT232" s="226"/>
      <c r="GU232" s="224">
        <f ca="1">GU231-GW229-GX229</f>
        <v>0</v>
      </c>
      <c r="GV232" s="224">
        <f ca="1">OFFSET(貼付け_2024実績,$G232,SUM(COLUMN()-COLUMN(貼付け_2024実績))-1)</f>
        <v>0</v>
      </c>
      <c r="GW232" s="224" t="str">
        <f ca="1">IFERROR(GU232/GV232,"")</f>
        <v/>
      </c>
      <c r="GX232" s="226"/>
      <c r="GY232" s="224">
        <f ca="1">GY231-HA229-HB229</f>
        <v>0</v>
      </c>
      <c r="GZ232" s="224">
        <f ca="1">OFFSET(貼付け_2024実績,$G232,SUM(COLUMN()-COLUMN(貼付け_2024実績))-1)</f>
        <v>0</v>
      </c>
      <c r="HA232" s="224" t="str">
        <f ca="1">IFERROR(GY232/GZ232,"")</f>
        <v/>
      </c>
      <c r="HB232" s="226"/>
      <c r="IE232" s="219"/>
      <c r="IF232" s="219"/>
      <c r="IG232" s="219"/>
      <c r="IH232" s="219"/>
    </row>
    <row r="233" spans="1:242" s="197" customFormat="1" ht="19.8" hidden="1">
      <c r="A233" s="214"/>
      <c r="C233" s="221" t="s">
        <v>4270</v>
      </c>
      <c r="D233" s="223"/>
      <c r="E233" s="223"/>
      <c r="F233" s="224">
        <v>200</v>
      </c>
      <c r="G233" s="224">
        <v>103</v>
      </c>
      <c r="H233" s="224">
        <v>169</v>
      </c>
      <c r="I233" s="224">
        <f ca="1">SUMPRODUCT(OFFSET(貼付け_2024実績,$F233,4,5,1),OFFSET(貼付け_2024実績,$F233,SUM(COLUMN()-COLUMN(貼付け_2024実績)),5,1))</f>
        <v>0</v>
      </c>
      <c r="J233" s="224">
        <f ca="1">SUMPRODUCT(OFFSET(貼付け_2024実績,$F233,4,5,1),OFFSET(貼付け_2024実績,$F233,SUM(COLUMN()-COLUMN(貼付け_2024実績)),5,1))</f>
        <v>0</v>
      </c>
      <c r="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226"/>
      <c r="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226"/>
      <c r="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226"/>
      <c r="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226"/>
      <c r="A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226"/>
      <c r="A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226"/>
      <c r="A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226"/>
      <c r="A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226"/>
      <c r="A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226"/>
      <c r="A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226"/>
      <c r="A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226"/>
      <c r="B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226"/>
      <c r="B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226"/>
      <c r="B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226"/>
      <c r="B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226"/>
      <c r="B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226"/>
      <c r="B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226"/>
      <c r="C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226"/>
      <c r="C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226"/>
      <c r="C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226"/>
      <c r="C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226"/>
      <c r="C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226"/>
      <c r="C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226"/>
      <c r="C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226"/>
      <c r="D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226"/>
      <c r="D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226"/>
      <c r="D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226"/>
      <c r="D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226"/>
      <c r="D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226"/>
      <c r="D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226"/>
      <c r="E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226"/>
      <c r="E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226"/>
      <c r="E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226"/>
      <c r="E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226"/>
      <c r="E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226"/>
      <c r="E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226"/>
      <c r="E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226"/>
      <c r="F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226"/>
      <c r="F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226"/>
      <c r="F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226"/>
      <c r="F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226"/>
      <c r="F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226"/>
      <c r="F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226"/>
      <c r="G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226"/>
      <c r="G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226"/>
      <c r="G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226"/>
      <c r="G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226"/>
      <c r="G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226"/>
      <c r="G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226"/>
      <c r="G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226"/>
      <c r="IE233" s="219"/>
      <c r="IF233" s="219"/>
      <c r="IG233" s="219"/>
      <c r="IH233" s="219"/>
    </row>
    <row r="234" spans="1:242" s="197" customFormat="1" ht="19.8" hidden="1">
      <c r="A234" s="214"/>
      <c r="C234" s="221" t="s">
        <v>4271</v>
      </c>
      <c r="D234" s="223"/>
      <c r="E234" s="223"/>
      <c r="F234" s="224">
        <v>200</v>
      </c>
      <c r="G234" s="224">
        <v>103</v>
      </c>
      <c r="H234" s="224">
        <v>169</v>
      </c>
      <c r="I234" s="224">
        <f ca="1">SUMPRODUCT(OFFSET(貼付け_2024実績,$F234,5,5,1),OFFSET(貼付け_2024実績,$F234,SUM(COLUMN()-COLUMN(貼付け_2024実績)),5,1))</f>
        <v>0</v>
      </c>
      <c r="J234" s="224">
        <f ca="1">SUMPRODUCT(OFFSET(貼付け_2024実績,$F234,5,5,1),OFFSET(貼付け_2024実績,$F234,SUM(COLUMN()-COLUMN(貼付け_2024実績)),5,1))</f>
        <v>0</v>
      </c>
      <c r="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226"/>
      <c r="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226"/>
      <c r="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226"/>
      <c r="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226"/>
      <c r="A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226"/>
      <c r="A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226"/>
      <c r="A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226"/>
      <c r="A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226"/>
      <c r="A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226"/>
      <c r="A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226"/>
      <c r="A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226"/>
      <c r="B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226"/>
      <c r="B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226"/>
      <c r="B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226"/>
      <c r="B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226"/>
      <c r="B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226"/>
      <c r="B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226"/>
      <c r="C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226"/>
      <c r="C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226"/>
      <c r="C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226"/>
      <c r="C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226"/>
      <c r="C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226"/>
      <c r="C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226"/>
      <c r="C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226"/>
      <c r="D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226"/>
      <c r="D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226"/>
      <c r="D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226"/>
      <c r="D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226"/>
      <c r="D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226"/>
      <c r="D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226"/>
      <c r="E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226"/>
      <c r="E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226"/>
      <c r="E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226"/>
      <c r="E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226"/>
      <c r="E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226"/>
      <c r="E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226"/>
      <c r="E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226"/>
      <c r="F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226"/>
      <c r="F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226"/>
      <c r="F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226"/>
      <c r="F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226"/>
      <c r="F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226"/>
      <c r="F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226"/>
      <c r="G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226"/>
      <c r="G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226"/>
      <c r="G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226"/>
      <c r="G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226"/>
      <c r="G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226"/>
      <c r="G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226"/>
      <c r="G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226"/>
      <c r="IE234" s="219"/>
      <c r="IF234" s="219"/>
      <c r="IG234" s="219"/>
      <c r="IH234" s="219"/>
    </row>
    <row r="235" spans="1:242" s="197" customFormat="1" ht="19.8" hidden="1">
      <c r="A235" s="214"/>
      <c r="C235" s="221" t="s">
        <v>4272</v>
      </c>
      <c r="D235" s="223"/>
      <c r="E235" s="223"/>
      <c r="F235" s="224"/>
      <c r="G235" s="224">
        <v>113</v>
      </c>
      <c r="H235" s="224">
        <v>169</v>
      </c>
      <c r="I235" s="226"/>
      <c r="J235" s="226"/>
      <c r="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226"/>
      <c r="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226"/>
      <c r="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226"/>
      <c r="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226"/>
      <c r="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226"/>
      <c r="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226"/>
      <c r="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226"/>
      <c r="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226"/>
      <c r="A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226"/>
      <c r="A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226"/>
      <c r="A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226"/>
      <c r="A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226"/>
      <c r="A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226"/>
      <c r="A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226"/>
      <c r="A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226"/>
      <c r="A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226"/>
      <c r="A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226"/>
      <c r="A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226"/>
      <c r="A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226"/>
      <c r="A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226"/>
      <c r="A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226"/>
      <c r="B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226"/>
      <c r="B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226"/>
      <c r="B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226"/>
      <c r="B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226"/>
      <c r="B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226"/>
      <c r="B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226"/>
      <c r="B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226"/>
      <c r="B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226"/>
      <c r="B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226"/>
      <c r="B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226"/>
      <c r="B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226"/>
      <c r="B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226"/>
      <c r="B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226"/>
      <c r="C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226"/>
      <c r="C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226"/>
      <c r="C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226"/>
      <c r="C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226"/>
      <c r="C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226"/>
      <c r="C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226"/>
      <c r="C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226"/>
      <c r="C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226"/>
      <c r="C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226"/>
      <c r="C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226"/>
      <c r="C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226"/>
      <c r="C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226"/>
      <c r="C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226"/>
      <c r="D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226"/>
      <c r="D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226"/>
      <c r="D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226"/>
      <c r="D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226"/>
      <c r="D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226"/>
      <c r="D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226"/>
      <c r="D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226"/>
      <c r="D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226"/>
      <c r="D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226"/>
      <c r="D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226"/>
      <c r="D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226"/>
      <c r="D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226"/>
      <c r="D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226"/>
      <c r="E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226"/>
      <c r="E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226"/>
      <c r="E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226"/>
      <c r="E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226"/>
      <c r="E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226"/>
      <c r="E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226"/>
      <c r="E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226"/>
      <c r="E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226"/>
      <c r="E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226"/>
      <c r="E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226"/>
      <c r="E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226"/>
      <c r="E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226"/>
      <c r="E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226"/>
      <c r="F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226"/>
      <c r="F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226"/>
      <c r="F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226"/>
      <c r="F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226"/>
      <c r="F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226"/>
      <c r="F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226"/>
      <c r="F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226"/>
      <c r="F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226"/>
      <c r="F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226"/>
      <c r="F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226"/>
      <c r="F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226"/>
      <c r="F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226"/>
      <c r="F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226"/>
      <c r="G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226"/>
      <c r="G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226"/>
      <c r="G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226"/>
      <c r="G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226"/>
      <c r="G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226"/>
      <c r="G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226"/>
      <c r="G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226"/>
      <c r="G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226"/>
      <c r="G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226"/>
      <c r="G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226"/>
      <c r="G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226"/>
      <c r="G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226"/>
      <c r="G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226"/>
      <c r="H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226"/>
      <c r="IE235" s="219"/>
      <c r="IF235" s="219"/>
      <c r="IG235" s="219"/>
      <c r="IH235" s="219"/>
    </row>
    <row r="236" spans="1:242" s="197" customFormat="1" ht="19.8" hidden="1">
      <c r="A236" s="214"/>
      <c r="C236" s="221" t="s">
        <v>4273</v>
      </c>
      <c r="D236" s="223"/>
      <c r="E236" s="223"/>
      <c r="F236" s="224"/>
      <c r="G236" s="224">
        <v>113</v>
      </c>
      <c r="H236" s="224">
        <v>169</v>
      </c>
      <c r="I236" s="226"/>
      <c r="J236" s="226"/>
      <c r="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226"/>
      <c r="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226"/>
      <c r="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226"/>
      <c r="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226"/>
      <c r="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226"/>
      <c r="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226"/>
      <c r="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226"/>
      <c r="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226"/>
      <c r="A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226"/>
      <c r="A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226"/>
      <c r="A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226"/>
      <c r="A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226"/>
      <c r="A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226"/>
      <c r="A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226"/>
      <c r="A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226"/>
      <c r="A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226"/>
      <c r="A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226"/>
      <c r="A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226"/>
      <c r="A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226"/>
      <c r="A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226"/>
      <c r="A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226"/>
      <c r="B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226"/>
      <c r="B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226"/>
      <c r="B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226"/>
      <c r="B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226"/>
      <c r="B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226"/>
      <c r="B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226"/>
      <c r="B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226"/>
      <c r="B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226"/>
      <c r="B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226"/>
      <c r="B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226"/>
      <c r="B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226"/>
      <c r="B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226"/>
      <c r="B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226"/>
      <c r="C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226"/>
      <c r="C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226"/>
      <c r="C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226"/>
      <c r="C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226"/>
      <c r="C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226"/>
      <c r="C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226"/>
      <c r="C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226"/>
      <c r="C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226"/>
      <c r="C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226"/>
      <c r="C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226"/>
      <c r="C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226"/>
      <c r="C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226"/>
      <c r="C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226"/>
      <c r="D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226"/>
      <c r="D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226"/>
      <c r="D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226"/>
      <c r="D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226"/>
      <c r="D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226"/>
      <c r="D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226"/>
      <c r="D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226"/>
      <c r="D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226"/>
      <c r="D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226"/>
      <c r="D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226"/>
      <c r="D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226"/>
      <c r="D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226"/>
      <c r="D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226"/>
      <c r="E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226"/>
      <c r="E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226"/>
      <c r="E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226"/>
      <c r="E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226"/>
      <c r="E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226"/>
      <c r="E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226"/>
      <c r="E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226"/>
      <c r="E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226"/>
      <c r="E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226"/>
      <c r="E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226"/>
      <c r="E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226"/>
      <c r="E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226"/>
      <c r="E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226"/>
      <c r="F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226"/>
      <c r="F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226"/>
      <c r="F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226"/>
      <c r="F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226"/>
      <c r="F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226"/>
      <c r="F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226"/>
      <c r="F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226"/>
      <c r="F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226"/>
      <c r="F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226"/>
      <c r="F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226"/>
      <c r="F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226"/>
      <c r="F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226"/>
      <c r="F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226"/>
      <c r="G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226"/>
      <c r="G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226"/>
      <c r="G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226"/>
      <c r="G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226"/>
      <c r="G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226"/>
      <c r="G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226"/>
      <c r="G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226"/>
      <c r="G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226"/>
      <c r="G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226"/>
      <c r="G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226"/>
      <c r="G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226"/>
      <c r="G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226"/>
      <c r="G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226"/>
      <c r="H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226"/>
      <c r="IE236" s="219"/>
      <c r="IF236" s="219"/>
      <c r="IG236" s="219"/>
      <c r="IH236" s="219"/>
    </row>
    <row r="237" spans="1:242" s="197" customFormat="1" ht="19.8" hidden="1">
      <c r="A237" s="214"/>
      <c r="C237" s="221" t="s">
        <v>4274</v>
      </c>
      <c r="D237" s="223"/>
      <c r="E237" s="223"/>
      <c r="F237" s="224"/>
      <c r="G237" s="224">
        <v>116</v>
      </c>
      <c r="H237" s="224">
        <v>169</v>
      </c>
      <c r="I237" s="226"/>
      <c r="J237" s="226"/>
      <c r="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226"/>
      <c r="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226"/>
      <c r="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226"/>
      <c r="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226"/>
      <c r="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226"/>
      <c r="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226"/>
      <c r="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226"/>
      <c r="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226"/>
      <c r="A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226"/>
      <c r="A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226"/>
      <c r="A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226"/>
      <c r="A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226"/>
      <c r="A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226"/>
      <c r="A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226"/>
      <c r="A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226"/>
      <c r="A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226"/>
      <c r="A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226"/>
      <c r="A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226"/>
      <c r="A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226"/>
      <c r="A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226"/>
      <c r="A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226"/>
      <c r="B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226"/>
      <c r="B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226"/>
      <c r="B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226"/>
      <c r="B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226"/>
      <c r="B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226"/>
      <c r="B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226"/>
      <c r="B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226"/>
      <c r="B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226"/>
      <c r="B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226"/>
      <c r="B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226"/>
      <c r="B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226"/>
      <c r="B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226"/>
      <c r="B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226"/>
      <c r="C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226"/>
      <c r="C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226"/>
      <c r="C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226"/>
      <c r="C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226"/>
      <c r="C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226"/>
      <c r="C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226"/>
      <c r="C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226"/>
      <c r="C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226"/>
      <c r="C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226"/>
      <c r="C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226"/>
      <c r="C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226"/>
      <c r="C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226"/>
      <c r="C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226"/>
      <c r="D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226"/>
      <c r="D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226"/>
      <c r="D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226"/>
      <c r="D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226"/>
      <c r="D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226"/>
      <c r="D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226"/>
      <c r="D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226"/>
      <c r="D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226"/>
      <c r="D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226"/>
      <c r="D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226"/>
      <c r="D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226"/>
      <c r="D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226"/>
      <c r="D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226"/>
      <c r="E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226"/>
      <c r="E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226"/>
      <c r="E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226"/>
      <c r="E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226"/>
      <c r="E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226"/>
      <c r="E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226"/>
      <c r="E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226"/>
      <c r="E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226"/>
      <c r="E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226"/>
      <c r="E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226"/>
      <c r="E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226"/>
      <c r="E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226"/>
      <c r="E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226"/>
      <c r="F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226"/>
      <c r="F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226"/>
      <c r="F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226"/>
      <c r="F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226"/>
      <c r="F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226"/>
      <c r="F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226"/>
      <c r="F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226"/>
      <c r="F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226"/>
      <c r="F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226"/>
      <c r="F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226"/>
      <c r="F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226"/>
      <c r="F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226"/>
      <c r="F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226"/>
      <c r="G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226"/>
      <c r="G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226"/>
      <c r="G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226"/>
      <c r="G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226"/>
      <c r="G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226"/>
      <c r="G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226"/>
      <c r="G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226"/>
      <c r="G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226"/>
      <c r="G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226"/>
      <c r="G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226"/>
      <c r="G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226"/>
      <c r="G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226"/>
      <c r="G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226"/>
      <c r="H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226"/>
      <c r="IE237" s="219"/>
      <c r="IF237" s="219"/>
      <c r="IG237" s="219"/>
      <c r="IH237" s="219"/>
    </row>
    <row r="238" spans="1:242" s="197" customFormat="1" ht="19.8" hidden="1">
      <c r="A238" s="214"/>
      <c r="C238" s="221" t="s">
        <v>4275</v>
      </c>
      <c r="D238" s="223"/>
      <c r="E238" s="223"/>
      <c r="F238" s="224"/>
      <c r="G238" s="224">
        <v>116</v>
      </c>
      <c r="H238" s="224">
        <v>169</v>
      </c>
      <c r="I238" s="226"/>
      <c r="J238" s="226"/>
      <c r="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226"/>
      <c r="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226"/>
      <c r="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226"/>
      <c r="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226"/>
      <c r="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226"/>
      <c r="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226"/>
      <c r="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226"/>
      <c r="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226"/>
      <c r="A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226"/>
      <c r="A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226"/>
      <c r="A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226"/>
      <c r="A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226"/>
      <c r="A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226"/>
      <c r="A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226"/>
      <c r="A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226"/>
      <c r="A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226"/>
      <c r="A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226"/>
      <c r="A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226"/>
      <c r="A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226"/>
      <c r="A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226"/>
      <c r="A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226"/>
      <c r="B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226"/>
      <c r="B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226"/>
      <c r="B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226"/>
      <c r="B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226"/>
      <c r="B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226"/>
      <c r="B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226"/>
      <c r="B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226"/>
      <c r="B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226"/>
      <c r="B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226"/>
      <c r="B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226"/>
      <c r="B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226"/>
      <c r="B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226"/>
      <c r="B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226"/>
      <c r="C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226"/>
      <c r="C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226"/>
      <c r="C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226"/>
      <c r="C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226"/>
      <c r="C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226"/>
      <c r="C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226"/>
      <c r="C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226"/>
      <c r="C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226"/>
      <c r="C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226"/>
      <c r="C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226"/>
      <c r="C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226"/>
      <c r="C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226"/>
      <c r="C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226"/>
      <c r="D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226"/>
      <c r="D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226"/>
      <c r="D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226"/>
      <c r="D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226"/>
      <c r="D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226"/>
      <c r="D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226"/>
      <c r="D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226"/>
      <c r="D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226"/>
      <c r="D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226"/>
      <c r="D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226"/>
      <c r="D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226"/>
      <c r="D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226"/>
      <c r="D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226"/>
      <c r="E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226"/>
      <c r="E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226"/>
      <c r="E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226"/>
      <c r="E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226"/>
      <c r="E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226"/>
      <c r="E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226"/>
      <c r="E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226"/>
      <c r="E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226"/>
      <c r="E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226"/>
      <c r="E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226"/>
      <c r="E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226"/>
      <c r="E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226"/>
      <c r="E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226"/>
      <c r="F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226"/>
      <c r="F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226"/>
      <c r="F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226"/>
      <c r="F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226"/>
      <c r="F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226"/>
      <c r="F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226"/>
      <c r="F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226"/>
      <c r="F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226"/>
      <c r="F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226"/>
      <c r="F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226"/>
      <c r="F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226"/>
      <c r="F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226"/>
      <c r="F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226"/>
      <c r="G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226"/>
      <c r="G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226"/>
      <c r="G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226"/>
      <c r="G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226"/>
      <c r="G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226"/>
      <c r="G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226"/>
      <c r="G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226"/>
      <c r="G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226"/>
      <c r="G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226"/>
      <c r="G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226"/>
      <c r="G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226"/>
      <c r="G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226"/>
      <c r="G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226"/>
      <c r="H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226"/>
      <c r="IE238" s="219"/>
      <c r="IF238" s="219"/>
      <c r="IG238" s="219"/>
      <c r="IH238" s="219"/>
    </row>
    <row r="239" spans="1:242" s="197" customFormat="1" ht="19.8" hidden="1">
      <c r="A239" s="214"/>
      <c r="C239" s="221" t="s">
        <v>4276</v>
      </c>
      <c r="D239" s="223"/>
      <c r="E239" s="223"/>
      <c r="F239" s="224"/>
      <c r="G239" s="224">
        <v>119</v>
      </c>
      <c r="H239" s="224">
        <v>169</v>
      </c>
      <c r="I239" s="226"/>
      <c r="J239" s="226"/>
      <c r="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226"/>
      <c r="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226"/>
      <c r="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226"/>
      <c r="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226"/>
      <c r="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226"/>
      <c r="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226"/>
      <c r="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226"/>
      <c r="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226"/>
      <c r="A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226"/>
      <c r="A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226"/>
      <c r="A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226"/>
      <c r="A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226"/>
      <c r="A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226"/>
      <c r="A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226"/>
      <c r="A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226"/>
      <c r="A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226"/>
      <c r="A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226"/>
      <c r="A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226"/>
      <c r="A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226"/>
      <c r="A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226"/>
      <c r="A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226"/>
      <c r="B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226"/>
      <c r="B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226"/>
      <c r="B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226"/>
      <c r="B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226"/>
      <c r="B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226"/>
      <c r="B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226"/>
      <c r="B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226"/>
      <c r="B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226"/>
      <c r="B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226"/>
      <c r="B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226"/>
      <c r="B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226"/>
      <c r="B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226"/>
      <c r="B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226"/>
      <c r="C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226"/>
      <c r="C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226"/>
      <c r="C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226"/>
      <c r="C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226"/>
      <c r="C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226"/>
      <c r="C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226"/>
      <c r="C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226"/>
      <c r="C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226"/>
      <c r="C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226"/>
      <c r="C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226"/>
      <c r="C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226"/>
      <c r="C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226"/>
      <c r="C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226"/>
      <c r="D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226"/>
      <c r="D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226"/>
      <c r="D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226"/>
      <c r="D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226"/>
      <c r="D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226"/>
      <c r="D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226"/>
      <c r="D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226"/>
      <c r="D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226"/>
      <c r="D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226"/>
      <c r="D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226"/>
      <c r="D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226"/>
      <c r="D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226"/>
      <c r="D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226"/>
      <c r="E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226"/>
      <c r="E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226"/>
      <c r="E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226"/>
      <c r="E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226"/>
      <c r="E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226"/>
      <c r="E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226"/>
      <c r="E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226"/>
      <c r="E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226"/>
      <c r="E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226"/>
      <c r="E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226"/>
      <c r="E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226"/>
      <c r="E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226"/>
      <c r="E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226"/>
      <c r="F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226"/>
      <c r="F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226"/>
      <c r="F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226"/>
      <c r="F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226"/>
      <c r="F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226"/>
      <c r="F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226"/>
      <c r="F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226"/>
      <c r="F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226"/>
      <c r="F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226"/>
      <c r="F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226"/>
      <c r="F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226"/>
      <c r="F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226"/>
      <c r="F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226"/>
      <c r="G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226"/>
      <c r="G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226"/>
      <c r="G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226"/>
      <c r="G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226"/>
      <c r="G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226"/>
      <c r="G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226"/>
      <c r="G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226"/>
      <c r="G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226"/>
      <c r="G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226"/>
      <c r="G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226"/>
      <c r="G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226"/>
      <c r="G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226"/>
      <c r="G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226"/>
      <c r="H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226"/>
      <c r="IE239" s="219"/>
      <c r="IF239" s="219"/>
      <c r="IG239" s="219"/>
      <c r="IH239" s="219"/>
    </row>
    <row r="240" spans="1:242" s="197" customFormat="1" ht="19.8" hidden="1">
      <c r="A240" s="214"/>
      <c r="C240" s="221" t="s">
        <v>4277</v>
      </c>
      <c r="D240" s="223"/>
      <c r="E240" s="223"/>
      <c r="F240" s="224"/>
      <c r="G240" s="224">
        <v>119</v>
      </c>
      <c r="H240" s="224">
        <v>169</v>
      </c>
      <c r="I240" s="226"/>
      <c r="J240" s="226"/>
      <c r="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226"/>
      <c r="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226"/>
      <c r="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226"/>
      <c r="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226"/>
      <c r="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226"/>
      <c r="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226"/>
      <c r="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226"/>
      <c r="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226"/>
      <c r="A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226"/>
      <c r="A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226"/>
      <c r="A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226"/>
      <c r="A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226"/>
      <c r="A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226"/>
      <c r="A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226"/>
      <c r="A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226"/>
      <c r="A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226"/>
      <c r="A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226"/>
      <c r="A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226"/>
      <c r="A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226"/>
      <c r="A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226"/>
      <c r="A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226"/>
      <c r="B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226"/>
      <c r="B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226"/>
      <c r="B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226"/>
      <c r="B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226"/>
      <c r="B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226"/>
      <c r="B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226"/>
      <c r="B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226"/>
      <c r="B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226"/>
      <c r="B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226"/>
      <c r="B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226"/>
      <c r="B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226"/>
      <c r="B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226"/>
      <c r="B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226"/>
      <c r="C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226"/>
      <c r="C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226"/>
      <c r="C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226"/>
      <c r="C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226"/>
      <c r="C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226"/>
      <c r="C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226"/>
      <c r="C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226"/>
      <c r="C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226"/>
      <c r="C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226"/>
      <c r="C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226"/>
      <c r="C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226"/>
      <c r="C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226"/>
      <c r="C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226"/>
      <c r="D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226"/>
      <c r="D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226"/>
      <c r="D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226"/>
      <c r="D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226"/>
      <c r="D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226"/>
      <c r="D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226"/>
      <c r="D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226"/>
      <c r="D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226"/>
      <c r="D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226"/>
      <c r="D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226"/>
      <c r="D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226"/>
      <c r="D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226"/>
      <c r="D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226"/>
      <c r="E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226"/>
      <c r="E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226"/>
      <c r="E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226"/>
      <c r="E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226"/>
      <c r="E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226"/>
      <c r="E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226"/>
      <c r="E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226"/>
      <c r="E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226"/>
      <c r="E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226"/>
      <c r="E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226"/>
      <c r="E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226"/>
      <c r="E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226"/>
      <c r="E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226"/>
      <c r="F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226"/>
      <c r="F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226"/>
      <c r="F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226"/>
      <c r="F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226"/>
      <c r="F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226"/>
      <c r="F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226"/>
      <c r="F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226"/>
      <c r="F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226"/>
      <c r="F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226"/>
      <c r="F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226"/>
      <c r="F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226"/>
      <c r="F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226"/>
      <c r="F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226"/>
      <c r="G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226"/>
      <c r="G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226"/>
      <c r="G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226"/>
      <c r="G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226"/>
      <c r="G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226"/>
      <c r="G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226"/>
      <c r="G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226"/>
      <c r="G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226"/>
      <c r="G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226"/>
      <c r="G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226"/>
      <c r="G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226"/>
      <c r="G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226"/>
      <c r="G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226"/>
      <c r="H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226"/>
      <c r="IE240" s="219"/>
      <c r="IF240" s="219"/>
      <c r="IG240" s="219"/>
      <c r="IH240" s="219"/>
    </row>
    <row r="241" spans="1:242" s="197" customFormat="1" ht="19.8" hidden="1">
      <c r="A241" s="214"/>
      <c r="C241" s="221" t="s">
        <v>4278</v>
      </c>
      <c r="D241" s="223"/>
      <c r="E241" s="223"/>
      <c r="F241" s="224">
        <v>205</v>
      </c>
      <c r="G241" s="224">
        <v>122</v>
      </c>
      <c r="H241" s="224">
        <v>169</v>
      </c>
      <c r="I241" s="224">
        <f ca="1">SUMPRODUCT(OFFSET(貼付け_2024実績,$F241,4,10,1),OFFSET(貼付け_2024実績,$F241,SUM(COLUMN()-COLUMN(貼付け_2024実績)),10,1))*1000</f>
        <v>0</v>
      </c>
      <c r="J241" s="224">
        <f ca="1">SUMPRODUCT(OFFSET(貼付け_2024実績,$F241,4,10,1),OFFSET(貼付け_2024実績,$F241,SUM(COLUMN()-COLUMN(貼付け_2024実績)),10,1))*1000</f>
        <v>0</v>
      </c>
      <c r="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226"/>
      <c r="M241" s="226"/>
      <c r="N241" s="226"/>
      <c r="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226"/>
      <c r="Q241" s="226"/>
      <c r="R241" s="226"/>
      <c r="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226"/>
      <c r="U241" s="226"/>
      <c r="V241" s="226"/>
      <c r="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226"/>
      <c r="Y241" s="226"/>
      <c r="Z241" s="226"/>
      <c r="A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226"/>
      <c r="AC241" s="226"/>
      <c r="AD241" s="226"/>
      <c r="A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226"/>
      <c r="AG241" s="226"/>
      <c r="AH241" s="226"/>
      <c r="A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226"/>
      <c r="AK241" s="226"/>
      <c r="AL241" s="226"/>
      <c r="A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226"/>
      <c r="AO241" s="226"/>
      <c r="AP241" s="226"/>
      <c r="A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226"/>
      <c r="AS241" s="226"/>
      <c r="AT241" s="226"/>
      <c r="A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226"/>
      <c r="AW241" s="226"/>
      <c r="AX241" s="226"/>
      <c r="A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226"/>
      <c r="BA241" s="226"/>
      <c r="BB241" s="226"/>
      <c r="B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226"/>
      <c r="BE241" s="226"/>
      <c r="BF241" s="226"/>
      <c r="B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226"/>
      <c r="BI241" s="226"/>
      <c r="BJ241" s="226"/>
      <c r="B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226"/>
      <c r="BM241" s="226"/>
      <c r="BN241" s="226"/>
      <c r="B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226"/>
      <c r="BQ241" s="226"/>
      <c r="BR241" s="226"/>
      <c r="B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226"/>
      <c r="BU241" s="226"/>
      <c r="BV241" s="226"/>
      <c r="B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226"/>
      <c r="BY241" s="226"/>
      <c r="BZ241" s="226"/>
      <c r="C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226"/>
      <c r="CC241" s="226"/>
      <c r="CD241" s="226"/>
      <c r="C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226"/>
      <c r="CG241" s="226"/>
      <c r="CH241" s="226"/>
      <c r="C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226"/>
      <c r="CK241" s="226"/>
      <c r="CL241" s="226"/>
      <c r="C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226"/>
      <c r="CO241" s="226"/>
      <c r="CP241" s="226"/>
      <c r="C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226"/>
      <c r="CS241" s="226"/>
      <c r="CT241" s="226"/>
      <c r="C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226"/>
      <c r="CW241" s="226"/>
      <c r="CX241" s="226"/>
      <c r="C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226"/>
      <c r="DA241" s="226"/>
      <c r="DB241" s="226"/>
      <c r="D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226"/>
      <c r="DE241" s="226"/>
      <c r="DF241" s="226"/>
      <c r="D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226"/>
      <c r="DI241" s="226"/>
      <c r="DJ241" s="226"/>
      <c r="D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226"/>
      <c r="DM241" s="226"/>
      <c r="DN241" s="226"/>
      <c r="D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226"/>
      <c r="DQ241" s="226"/>
      <c r="DR241" s="226"/>
      <c r="D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226"/>
      <c r="DU241" s="226"/>
      <c r="DV241" s="226"/>
      <c r="D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226"/>
      <c r="DY241" s="226"/>
      <c r="DZ241" s="226"/>
      <c r="E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226"/>
      <c r="EC241" s="226"/>
      <c r="ED241" s="226"/>
      <c r="E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226"/>
      <c r="EG241" s="226"/>
      <c r="EH241" s="226"/>
      <c r="E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226"/>
      <c r="EK241" s="226"/>
      <c r="EL241" s="226"/>
      <c r="E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226"/>
      <c r="EO241" s="226"/>
      <c r="EP241" s="226"/>
      <c r="E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226"/>
      <c r="ES241" s="226"/>
      <c r="ET241" s="226"/>
      <c r="E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226"/>
      <c r="EW241" s="226"/>
      <c r="EX241" s="226"/>
      <c r="E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226"/>
      <c r="FA241" s="226"/>
      <c r="FB241" s="226"/>
      <c r="F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226"/>
      <c r="FE241" s="226"/>
      <c r="FF241" s="226"/>
      <c r="F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226"/>
      <c r="FI241" s="226"/>
      <c r="FJ241" s="226"/>
      <c r="F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226"/>
      <c r="FM241" s="226"/>
      <c r="FN241" s="226"/>
      <c r="F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226"/>
      <c r="FQ241" s="226"/>
      <c r="FR241" s="226"/>
      <c r="F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226"/>
      <c r="FU241" s="226"/>
      <c r="FV241" s="226"/>
      <c r="F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226"/>
      <c r="FY241" s="226"/>
      <c r="FZ241" s="226"/>
      <c r="G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226"/>
      <c r="GC241" s="226"/>
      <c r="GD241" s="226"/>
      <c r="G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226"/>
      <c r="GG241" s="226"/>
      <c r="GH241" s="226"/>
      <c r="G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226"/>
      <c r="GK241" s="226"/>
      <c r="GL241" s="226"/>
      <c r="G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226"/>
      <c r="GO241" s="226"/>
      <c r="GP241" s="226"/>
      <c r="G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226"/>
      <c r="GS241" s="226"/>
      <c r="GT241" s="226"/>
      <c r="G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226"/>
      <c r="GW241" s="226"/>
      <c r="GX241" s="226"/>
      <c r="G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226"/>
      <c r="HA241" s="226"/>
      <c r="HB241" s="226"/>
      <c r="IE241" s="219"/>
      <c r="IF241" s="219"/>
      <c r="IG241" s="219"/>
      <c r="IH241" s="219"/>
    </row>
    <row r="242" spans="1:242" s="197" customFormat="1" ht="19.8" hidden="1">
      <c r="A242" s="214"/>
      <c r="C242" s="221" t="s">
        <v>4279</v>
      </c>
      <c r="D242" s="223"/>
      <c r="E242" s="223"/>
      <c r="F242" s="224">
        <v>205</v>
      </c>
      <c r="G242" s="224">
        <v>122</v>
      </c>
      <c r="H242" s="224">
        <v>169</v>
      </c>
      <c r="I242" s="224">
        <f ca="1">SUMPRODUCT(OFFSET(貼付け_2024実績,$F242,5,10,1),OFFSET(貼付け_2024実績,$F242,SUM(COLUMN()-COLUMN(貼付け_2024実績)),10,1))*1000</f>
        <v>0</v>
      </c>
      <c r="J242" s="224">
        <f ca="1">SUMPRODUCT(OFFSET(貼付け_2024実績,$F242,5,10,1),OFFSET(貼付け_2024実績,$F242,SUM(COLUMN()-COLUMN(貼付け_2024実績)),10,1))*1000</f>
        <v>0</v>
      </c>
      <c r="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226"/>
      <c r="M242" s="226"/>
      <c r="N242" s="226"/>
      <c r="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226"/>
      <c r="Q242" s="226"/>
      <c r="R242" s="226"/>
      <c r="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226"/>
      <c r="U242" s="226"/>
      <c r="V242" s="226"/>
      <c r="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226"/>
      <c r="Y242" s="226"/>
      <c r="Z242" s="226"/>
      <c r="A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226"/>
      <c r="AC242" s="226"/>
      <c r="AD242" s="226"/>
      <c r="A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226"/>
      <c r="AG242" s="226"/>
      <c r="AH242" s="226"/>
      <c r="A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226"/>
      <c r="AK242" s="226"/>
      <c r="AL242" s="226"/>
      <c r="A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226"/>
      <c r="AO242" s="226"/>
      <c r="AP242" s="226"/>
      <c r="A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226"/>
      <c r="AS242" s="226"/>
      <c r="AT242" s="226"/>
      <c r="A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226"/>
      <c r="AW242" s="226"/>
      <c r="AX242" s="226"/>
      <c r="A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226"/>
      <c r="BA242" s="226"/>
      <c r="BB242" s="226"/>
      <c r="B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226"/>
      <c r="BE242" s="226"/>
      <c r="BF242" s="226"/>
      <c r="B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226"/>
      <c r="BI242" s="226"/>
      <c r="BJ242" s="226"/>
      <c r="B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226"/>
      <c r="BM242" s="226"/>
      <c r="BN242" s="226"/>
      <c r="B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226"/>
      <c r="BQ242" s="226"/>
      <c r="BR242" s="226"/>
      <c r="B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226"/>
      <c r="BU242" s="226"/>
      <c r="BV242" s="226"/>
      <c r="B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226"/>
      <c r="BY242" s="226"/>
      <c r="BZ242" s="226"/>
      <c r="C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226"/>
      <c r="CC242" s="226"/>
      <c r="CD242" s="226"/>
      <c r="C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226"/>
      <c r="CG242" s="226"/>
      <c r="CH242" s="226"/>
      <c r="C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226"/>
      <c r="CK242" s="226"/>
      <c r="CL242" s="226"/>
      <c r="C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226"/>
      <c r="CO242" s="226"/>
      <c r="CP242" s="226"/>
      <c r="C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226"/>
      <c r="CS242" s="226"/>
      <c r="CT242" s="226"/>
      <c r="C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226"/>
      <c r="CW242" s="226"/>
      <c r="CX242" s="226"/>
      <c r="C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226"/>
      <c r="DA242" s="226"/>
      <c r="DB242" s="226"/>
      <c r="D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226"/>
      <c r="DE242" s="226"/>
      <c r="DF242" s="226"/>
      <c r="D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226"/>
      <c r="DI242" s="226"/>
      <c r="DJ242" s="226"/>
      <c r="D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226"/>
      <c r="DM242" s="226"/>
      <c r="DN242" s="226"/>
      <c r="D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226"/>
      <c r="DQ242" s="226"/>
      <c r="DR242" s="226"/>
      <c r="D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226"/>
      <c r="DU242" s="226"/>
      <c r="DV242" s="226"/>
      <c r="D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226"/>
      <c r="DY242" s="226"/>
      <c r="DZ242" s="226"/>
      <c r="E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226"/>
      <c r="EC242" s="226"/>
      <c r="ED242" s="226"/>
      <c r="E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226"/>
      <c r="EG242" s="226"/>
      <c r="EH242" s="226"/>
      <c r="E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226"/>
      <c r="EK242" s="226"/>
      <c r="EL242" s="226"/>
      <c r="E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226"/>
      <c r="EO242" s="226"/>
      <c r="EP242" s="226"/>
      <c r="E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226"/>
      <c r="ES242" s="226"/>
      <c r="ET242" s="226"/>
      <c r="E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226"/>
      <c r="EW242" s="226"/>
      <c r="EX242" s="226"/>
      <c r="E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226"/>
      <c r="FA242" s="226"/>
      <c r="FB242" s="226"/>
      <c r="F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226"/>
      <c r="FE242" s="226"/>
      <c r="FF242" s="226"/>
      <c r="F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226"/>
      <c r="FI242" s="226"/>
      <c r="FJ242" s="226"/>
      <c r="F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226"/>
      <c r="FM242" s="226"/>
      <c r="FN242" s="226"/>
      <c r="F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226"/>
      <c r="FQ242" s="226"/>
      <c r="FR242" s="226"/>
      <c r="F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226"/>
      <c r="FU242" s="226"/>
      <c r="FV242" s="226"/>
      <c r="F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226"/>
      <c r="FY242" s="226"/>
      <c r="FZ242" s="226"/>
      <c r="G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226"/>
      <c r="GC242" s="226"/>
      <c r="GD242" s="226"/>
      <c r="G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226"/>
      <c r="GG242" s="226"/>
      <c r="GH242" s="226"/>
      <c r="G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226"/>
      <c r="GK242" s="226"/>
      <c r="GL242" s="226"/>
      <c r="G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226"/>
      <c r="GO242" s="226"/>
      <c r="GP242" s="226"/>
      <c r="G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226"/>
      <c r="GS242" s="226"/>
      <c r="GT242" s="226"/>
      <c r="G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226"/>
      <c r="GW242" s="226"/>
      <c r="GX242" s="226"/>
      <c r="G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226"/>
      <c r="HA242" s="226"/>
      <c r="HB242" s="226"/>
      <c r="IE242" s="219"/>
      <c r="IF242" s="219"/>
      <c r="IG242" s="219"/>
      <c r="IH242" s="219"/>
    </row>
    <row r="243" spans="1:242" s="197" customFormat="1" ht="19.8" hidden="1">
      <c r="A243" s="214"/>
      <c r="C243" s="221" t="s">
        <v>4280</v>
      </c>
      <c r="D243" s="223"/>
      <c r="E243" s="223"/>
      <c r="F243" s="224"/>
      <c r="G243" s="224">
        <v>122</v>
      </c>
      <c r="H243" s="224">
        <v>169</v>
      </c>
      <c r="I243" s="226"/>
      <c r="J243" s="226"/>
      <c r="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226"/>
      <c r="M243" s="226"/>
      <c r="N243" s="226"/>
      <c r="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226"/>
      <c r="Q243" s="226"/>
      <c r="R243" s="226"/>
      <c r="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226"/>
      <c r="U243" s="226"/>
      <c r="V243" s="226"/>
      <c r="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226"/>
      <c r="Y243" s="226"/>
      <c r="Z243" s="226"/>
      <c r="A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226"/>
      <c r="AC243" s="226"/>
      <c r="AD243" s="226"/>
      <c r="A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226"/>
      <c r="AG243" s="226"/>
      <c r="AH243" s="226"/>
      <c r="A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226"/>
      <c r="AK243" s="226"/>
      <c r="AL243" s="226"/>
      <c r="A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226"/>
      <c r="AO243" s="226"/>
      <c r="AP243" s="226"/>
      <c r="A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226"/>
      <c r="AS243" s="226"/>
      <c r="AT243" s="226"/>
      <c r="A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226"/>
      <c r="AW243" s="226"/>
      <c r="AX243" s="226"/>
      <c r="A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226"/>
      <c r="BA243" s="226"/>
      <c r="BB243" s="226"/>
      <c r="B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226"/>
      <c r="BE243" s="226"/>
      <c r="BF243" s="226"/>
      <c r="B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226"/>
      <c r="BI243" s="226"/>
      <c r="BJ243" s="226"/>
      <c r="B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226"/>
      <c r="BM243" s="226"/>
      <c r="BN243" s="226"/>
      <c r="B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226"/>
      <c r="BQ243" s="226"/>
      <c r="BR243" s="226"/>
      <c r="B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226"/>
      <c r="BU243" s="226"/>
      <c r="BV243" s="226"/>
      <c r="B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226"/>
      <c r="BY243" s="226"/>
      <c r="BZ243" s="226"/>
      <c r="C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226"/>
      <c r="CC243" s="226"/>
      <c r="CD243" s="226"/>
      <c r="C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226"/>
      <c r="CG243" s="226"/>
      <c r="CH243" s="226"/>
      <c r="C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226"/>
      <c r="CK243" s="226"/>
      <c r="CL243" s="226"/>
      <c r="C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226"/>
      <c r="CO243" s="226"/>
      <c r="CP243" s="226"/>
      <c r="C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226"/>
      <c r="CS243" s="226"/>
      <c r="CT243" s="226"/>
      <c r="C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226"/>
      <c r="CW243" s="226"/>
      <c r="CX243" s="226"/>
      <c r="C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226"/>
      <c r="DA243" s="226"/>
      <c r="DB243" s="226"/>
      <c r="D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226"/>
      <c r="DE243" s="226"/>
      <c r="DF243" s="226"/>
      <c r="D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226"/>
      <c r="DI243" s="226"/>
      <c r="DJ243" s="226"/>
      <c r="D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226"/>
      <c r="DM243" s="226"/>
      <c r="DN243" s="226"/>
      <c r="D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226"/>
      <c r="DQ243" s="226"/>
      <c r="DR243" s="226"/>
      <c r="D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226"/>
      <c r="DU243" s="226"/>
      <c r="DV243" s="226"/>
      <c r="D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226"/>
      <c r="DY243" s="226"/>
      <c r="DZ243" s="226"/>
      <c r="E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226"/>
      <c r="EC243" s="226"/>
      <c r="ED243" s="226"/>
      <c r="E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226"/>
      <c r="EG243" s="226"/>
      <c r="EH243" s="226"/>
      <c r="E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226"/>
      <c r="EK243" s="226"/>
      <c r="EL243" s="226"/>
      <c r="E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226"/>
      <c r="EO243" s="226"/>
      <c r="EP243" s="226"/>
      <c r="E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226"/>
      <c r="ES243" s="226"/>
      <c r="ET243" s="226"/>
      <c r="E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226"/>
      <c r="EW243" s="226"/>
      <c r="EX243" s="226"/>
      <c r="E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226"/>
      <c r="FA243" s="226"/>
      <c r="FB243" s="226"/>
      <c r="F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226"/>
      <c r="FE243" s="226"/>
      <c r="FF243" s="226"/>
      <c r="F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226"/>
      <c r="FI243" s="226"/>
      <c r="FJ243" s="226"/>
      <c r="F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226"/>
      <c r="FM243" s="226"/>
      <c r="FN243" s="226"/>
      <c r="F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226"/>
      <c r="FQ243" s="226"/>
      <c r="FR243" s="226"/>
      <c r="F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226"/>
      <c r="FU243" s="226"/>
      <c r="FV243" s="226"/>
      <c r="F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226"/>
      <c r="FY243" s="226"/>
      <c r="FZ243" s="226"/>
      <c r="G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226"/>
      <c r="GC243" s="226"/>
      <c r="GD243" s="226"/>
      <c r="G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226"/>
      <c r="GG243" s="226"/>
      <c r="GH243" s="226"/>
      <c r="G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226"/>
      <c r="GK243" s="226"/>
      <c r="GL243" s="226"/>
      <c r="G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226"/>
      <c r="GO243" s="226"/>
      <c r="GP243" s="226"/>
      <c r="G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226"/>
      <c r="GS243" s="226"/>
      <c r="GT243" s="226"/>
      <c r="G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226"/>
      <c r="GW243" s="226"/>
      <c r="GX243" s="226"/>
      <c r="G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226"/>
      <c r="HA243" s="226"/>
      <c r="HB243" s="226"/>
      <c r="IE243" s="219"/>
      <c r="IF243" s="219"/>
      <c r="IG243" s="219"/>
      <c r="IH243" s="219"/>
    </row>
    <row r="244" spans="1:242" s="197" customFormat="1" ht="19.8" hidden="1">
      <c r="A244" s="214"/>
      <c r="IE244" s="219"/>
      <c r="IF244" s="219"/>
      <c r="IG244" s="219"/>
      <c r="IH244" s="219"/>
    </row>
    <row r="245" spans="1:242" s="193" customFormat="1" ht="20.100000000000001" hidden="1" customHeight="1">
      <c r="A245" s="201" t="s">
        <v>4281</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4282</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20.100000000000001" hidden="1" customHeight="1" thickBot="1">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ht="19.5" hidden="1" customHeight="1">
      <c r="B248" s="1089" t="s">
        <v>4284</v>
      </c>
      <c r="C248" s="651" t="s">
        <v>4285</v>
      </c>
      <c r="D248" s="652">
        <v>2024</v>
      </c>
      <c r="E248" s="653">
        <f ca="1">IFERROR(MATCH($B248&amp;E$247,OFFSET(INDIRECT("貼付け_"&amp;$D248&amp;"実績"),4,0,1,209),0)-1,"")</f>
        <v>33</v>
      </c>
      <c r="F248" s="653">
        <f t="shared" ref="F248:BB248" ca="1" si="88">IFERROR(MATCH($B248&amp;F$247,OFFSET(INDIRECT("貼付け_"&amp;$D248&amp;"実績"),4,0,1,209),0)-1,"")</f>
        <v>37</v>
      </c>
      <c r="G248" s="653">
        <f t="shared" ca="1" si="88"/>
        <v>41</v>
      </c>
      <c r="H248" s="653">
        <f t="shared" ca="1" si="88"/>
        <v>45</v>
      </c>
      <c r="I248" s="653">
        <f t="shared" ca="1" si="88"/>
        <v>49</v>
      </c>
      <c r="J248" s="653">
        <f t="shared" ca="1" si="88"/>
        <v>53</v>
      </c>
      <c r="K248" s="653">
        <f t="shared" ca="1" si="88"/>
        <v>57</v>
      </c>
      <c r="L248" s="653">
        <f t="shared" ca="1" si="88"/>
        <v>61</v>
      </c>
      <c r="M248" s="653">
        <f t="shared" ca="1" si="88"/>
        <v>65</v>
      </c>
      <c r="N248" s="653">
        <f t="shared" ca="1" si="88"/>
        <v>69</v>
      </c>
      <c r="O248" s="653" t="str">
        <f ca="1">IFERROR(MATCH($B248&amp;O$247,OFFSET(INDIRECT("貼付け_"&amp;$D248&amp;"実績"),4,0,1,209),0)-1,"")</f>
        <v/>
      </c>
      <c r="P248" s="653" t="str">
        <f t="shared" ca="1" si="88"/>
        <v/>
      </c>
      <c r="Q248" s="653" t="str">
        <f t="shared" ca="1" si="88"/>
        <v/>
      </c>
      <c r="R248" s="653" t="str">
        <f t="shared" ca="1" si="88"/>
        <v/>
      </c>
      <c r="S248" s="653" t="str">
        <f t="shared" ca="1" si="88"/>
        <v/>
      </c>
      <c r="T248" s="653" t="str">
        <f t="shared" ca="1" si="88"/>
        <v/>
      </c>
      <c r="U248" s="653" t="str">
        <f t="shared" ca="1" si="88"/>
        <v/>
      </c>
      <c r="V248" s="653" t="str">
        <f t="shared" ca="1" si="88"/>
        <v/>
      </c>
      <c r="W248" s="653" t="str">
        <f t="shared" ca="1" si="88"/>
        <v/>
      </c>
      <c r="X248" s="653" t="str">
        <f t="shared" ca="1" si="88"/>
        <v/>
      </c>
      <c r="Y248" s="653" t="str">
        <f t="shared" ca="1" si="88"/>
        <v/>
      </c>
      <c r="Z248" s="653" t="str">
        <f t="shared" ca="1" si="88"/>
        <v/>
      </c>
      <c r="AA248" s="653" t="str">
        <f t="shared" ca="1" si="88"/>
        <v/>
      </c>
      <c r="AB248" s="653" t="str">
        <f t="shared" ca="1" si="88"/>
        <v/>
      </c>
      <c r="AC248" s="653" t="str">
        <f t="shared" ca="1" si="88"/>
        <v/>
      </c>
      <c r="AD248" s="653" t="str">
        <f t="shared" ca="1" si="88"/>
        <v/>
      </c>
      <c r="AE248" s="653" t="str">
        <f t="shared" ca="1" si="88"/>
        <v/>
      </c>
      <c r="AF248" s="653" t="str">
        <f t="shared" ca="1" si="88"/>
        <v/>
      </c>
      <c r="AG248" s="653" t="str">
        <f t="shared" ca="1" si="88"/>
        <v/>
      </c>
      <c r="AH248" s="653" t="str">
        <f t="shared" ca="1" si="88"/>
        <v/>
      </c>
      <c r="AI248" s="653" t="str">
        <f t="shared" ca="1" si="88"/>
        <v/>
      </c>
      <c r="AJ248" s="653" t="str">
        <f t="shared" ca="1" si="88"/>
        <v/>
      </c>
      <c r="AK248" s="653" t="str">
        <f t="shared" ca="1" si="88"/>
        <v/>
      </c>
      <c r="AL248" s="653" t="str">
        <f t="shared" ca="1" si="88"/>
        <v/>
      </c>
      <c r="AM248" s="653" t="str">
        <f t="shared" ca="1" si="88"/>
        <v/>
      </c>
      <c r="AN248" s="653" t="str">
        <f t="shared" ca="1" si="88"/>
        <v/>
      </c>
      <c r="AO248" s="653" t="str">
        <f t="shared" ca="1" si="88"/>
        <v/>
      </c>
      <c r="AP248" s="653" t="str">
        <f t="shared" ca="1" si="88"/>
        <v/>
      </c>
      <c r="AQ248" s="653" t="str">
        <f t="shared" ca="1" si="88"/>
        <v/>
      </c>
      <c r="AR248" s="653" t="str">
        <f t="shared" ca="1" si="88"/>
        <v/>
      </c>
      <c r="AS248" s="653" t="str">
        <f t="shared" ca="1" si="88"/>
        <v/>
      </c>
      <c r="AT248" s="653" t="str">
        <f t="shared" ca="1" si="88"/>
        <v/>
      </c>
      <c r="AU248" s="653" t="str">
        <f t="shared" ca="1" si="88"/>
        <v/>
      </c>
      <c r="AV248" s="653" t="str">
        <f t="shared" ca="1" si="88"/>
        <v/>
      </c>
      <c r="AW248" s="653" t="str">
        <f t="shared" ca="1" si="88"/>
        <v/>
      </c>
      <c r="AX248" s="653" t="str">
        <f t="shared" ca="1" si="88"/>
        <v/>
      </c>
      <c r="AY248" s="653" t="str">
        <f t="shared" ca="1" si="88"/>
        <v/>
      </c>
      <c r="AZ248" s="653" t="str">
        <f t="shared" ca="1" si="88"/>
        <v/>
      </c>
      <c r="BA248" s="653" t="str">
        <f t="shared" ca="1" si="88"/>
        <v/>
      </c>
      <c r="BB248" s="652" t="str">
        <f t="shared" ca="1" si="88"/>
        <v/>
      </c>
      <c r="BC248" s="180" t="str">
        <f>D248&amp;"年度"</f>
        <v>2024年度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row>
    <row r="249" spans="1:242" s="179" customFormat="1" ht="18.75" hidden="1" customHeight="1">
      <c r="B249" s="1090"/>
      <c r="C249" s="654" t="str">
        <f>D248-1&amp;"/"&amp;D248</f>
        <v>2023/2024</v>
      </c>
      <c r="D249" s="655" t="str">
        <f>""</f>
        <v/>
      </c>
      <c r="E249" s="656" t="str">
        <f>""</f>
        <v/>
      </c>
      <c r="F249" s="656" t="str">
        <f>""</f>
        <v/>
      </c>
      <c r="G249" s="656" t="str">
        <f>""</f>
        <v/>
      </c>
      <c r="H249" s="656" t="str">
        <f>""</f>
        <v/>
      </c>
      <c r="I249" s="656" t="str">
        <f>""</f>
        <v/>
      </c>
      <c r="J249" s="656" t="str">
        <f>""</f>
        <v/>
      </c>
      <c r="K249" s="656" t="str">
        <f>""</f>
        <v/>
      </c>
      <c r="L249" s="656" t="str">
        <f>""</f>
        <v/>
      </c>
      <c r="M249" s="656" t="str">
        <f>""</f>
        <v/>
      </c>
      <c r="N249" s="656" t="str">
        <f>""</f>
        <v/>
      </c>
      <c r="O249" s="656" t="str">
        <f>""</f>
        <v/>
      </c>
      <c r="P249" s="656" t="str">
        <f>""</f>
        <v/>
      </c>
      <c r="Q249" s="656" t="str">
        <f>""</f>
        <v/>
      </c>
      <c r="R249" s="656" t="str">
        <f>""</f>
        <v/>
      </c>
      <c r="S249" s="656" t="str">
        <f>""</f>
        <v/>
      </c>
      <c r="T249" s="656" t="str">
        <f>""</f>
        <v/>
      </c>
      <c r="U249" s="656" t="str">
        <f>""</f>
        <v/>
      </c>
      <c r="V249" s="656" t="str">
        <f>""</f>
        <v/>
      </c>
      <c r="W249" s="656" t="str">
        <f>""</f>
        <v/>
      </c>
      <c r="X249" s="656" t="str">
        <f>""</f>
        <v/>
      </c>
      <c r="Y249" s="656" t="str">
        <f>""</f>
        <v/>
      </c>
      <c r="Z249" s="656" t="str">
        <f>""</f>
        <v/>
      </c>
      <c r="AA249" s="656" t="str">
        <f>""</f>
        <v/>
      </c>
      <c r="AB249" s="656" t="str">
        <f>""</f>
        <v/>
      </c>
      <c r="AC249" s="656" t="str">
        <f>""</f>
        <v/>
      </c>
      <c r="AD249" s="656" t="str">
        <f>""</f>
        <v/>
      </c>
      <c r="AE249" s="656" t="str">
        <f>""</f>
        <v/>
      </c>
      <c r="AF249" s="656" t="str">
        <f>""</f>
        <v/>
      </c>
      <c r="AG249" s="656" t="str">
        <f>""</f>
        <v/>
      </c>
      <c r="AH249" s="656" t="str">
        <f>""</f>
        <v/>
      </c>
      <c r="AI249" s="656" t="str">
        <f>""</f>
        <v/>
      </c>
      <c r="AJ249" s="656" t="str">
        <f>""</f>
        <v/>
      </c>
      <c r="AK249" s="656" t="str">
        <f>""</f>
        <v/>
      </c>
      <c r="AL249" s="656" t="str">
        <f>""</f>
        <v/>
      </c>
      <c r="AM249" s="656" t="str">
        <f>""</f>
        <v/>
      </c>
      <c r="AN249" s="656" t="str">
        <f>""</f>
        <v/>
      </c>
      <c r="AO249" s="656" t="str">
        <f>""</f>
        <v/>
      </c>
      <c r="AP249" s="656" t="str">
        <f>""</f>
        <v/>
      </c>
      <c r="AQ249" s="656" t="str">
        <f>""</f>
        <v/>
      </c>
      <c r="AR249" s="656" t="str">
        <f>""</f>
        <v/>
      </c>
      <c r="AS249" s="656" t="str">
        <f>""</f>
        <v/>
      </c>
      <c r="AT249" s="656" t="str">
        <f>""</f>
        <v/>
      </c>
      <c r="AU249" s="656" t="str">
        <f>""</f>
        <v/>
      </c>
      <c r="AV249" s="656" t="str">
        <f>""</f>
        <v/>
      </c>
      <c r="AW249" s="656" t="str">
        <f>""</f>
        <v/>
      </c>
      <c r="AX249" s="656" t="str">
        <f>""</f>
        <v/>
      </c>
      <c r="AY249" s="656" t="str">
        <f>""</f>
        <v/>
      </c>
      <c r="AZ249" s="656" t="str">
        <f>""</f>
        <v/>
      </c>
      <c r="BA249" s="657" t="str">
        <f>""</f>
        <v/>
      </c>
      <c r="BB249" s="655" t="str">
        <f>""</f>
        <v/>
      </c>
      <c r="BC249" s="656" t="str">
        <f>""</f>
        <v/>
      </c>
      <c r="BD249" s="656" t="str">
        <f t="shared" ref="BD249:CI249" ca="1" si="89">IFERROR(OFFSET(貼付け_2024実績,5,E248+1),"")&amp;""</f>
        <v/>
      </c>
      <c r="BE249" s="656" t="str">
        <f t="shared" ca="1" si="89"/>
        <v/>
      </c>
      <c r="BF249" s="656" t="str">
        <f t="shared" ca="1" si="89"/>
        <v/>
      </c>
      <c r="BG249" s="656" t="str">
        <f t="shared" ca="1" si="89"/>
        <v/>
      </c>
      <c r="BH249" s="656" t="str">
        <f t="shared" ca="1" si="89"/>
        <v/>
      </c>
      <c r="BI249" s="656" t="str">
        <f t="shared" ca="1" si="89"/>
        <v/>
      </c>
      <c r="BJ249" s="656" t="str">
        <f t="shared" ca="1" si="89"/>
        <v/>
      </c>
      <c r="BK249" s="656" t="str">
        <f t="shared" ca="1" si="89"/>
        <v/>
      </c>
      <c r="BL249" s="656" t="str">
        <f t="shared" ca="1" si="89"/>
        <v/>
      </c>
      <c r="BM249" s="656" t="str">
        <f t="shared" ca="1" si="89"/>
        <v/>
      </c>
      <c r="BN249" s="656" t="str">
        <f ca="1">IFERROR(OFFSET(貼付け_2024実績,5,O248+1),"")&amp;""</f>
        <v/>
      </c>
      <c r="BO249" s="656" t="str">
        <f t="shared" ca="1" si="89"/>
        <v/>
      </c>
      <c r="BP249" s="656" t="str">
        <f t="shared" ca="1" si="89"/>
        <v/>
      </c>
      <c r="BQ249" s="656" t="str">
        <f t="shared" ca="1" si="89"/>
        <v/>
      </c>
      <c r="BR249" s="656" t="str">
        <f t="shared" ca="1" si="89"/>
        <v/>
      </c>
      <c r="BS249" s="656" t="str">
        <f t="shared" ca="1" si="89"/>
        <v/>
      </c>
      <c r="BT249" s="656" t="str">
        <f t="shared" ca="1" si="89"/>
        <v/>
      </c>
      <c r="BU249" s="656" t="str">
        <f t="shared" ca="1" si="89"/>
        <v/>
      </c>
      <c r="BV249" s="656" t="str">
        <f t="shared" ca="1" si="89"/>
        <v/>
      </c>
      <c r="BW249" s="656" t="str">
        <f t="shared" ca="1" si="89"/>
        <v/>
      </c>
      <c r="BX249" s="656" t="str">
        <f t="shared" ca="1" si="89"/>
        <v/>
      </c>
      <c r="BY249" s="656" t="str">
        <f t="shared" ca="1" si="89"/>
        <v/>
      </c>
      <c r="BZ249" s="656" t="str">
        <f t="shared" ca="1" si="89"/>
        <v/>
      </c>
      <c r="CA249" s="656" t="str">
        <f t="shared" ca="1" si="89"/>
        <v/>
      </c>
      <c r="CB249" s="656" t="str">
        <f t="shared" ca="1" si="89"/>
        <v/>
      </c>
      <c r="CC249" s="656" t="str">
        <f t="shared" ca="1" si="89"/>
        <v/>
      </c>
      <c r="CD249" s="656" t="str">
        <f t="shared" ca="1" si="89"/>
        <v/>
      </c>
      <c r="CE249" s="656" t="str">
        <f t="shared" ca="1" si="89"/>
        <v/>
      </c>
      <c r="CF249" s="656" t="str">
        <f t="shared" ca="1" si="89"/>
        <v/>
      </c>
      <c r="CG249" s="656" t="str">
        <f t="shared" ca="1" si="89"/>
        <v/>
      </c>
      <c r="CH249" s="656" t="str">
        <f t="shared" ca="1" si="89"/>
        <v/>
      </c>
      <c r="CI249" s="656" t="str">
        <f t="shared" ca="1" si="89"/>
        <v/>
      </c>
      <c r="CJ249" s="656" t="str">
        <f t="shared" ref="CJ249:DA249" ca="1" si="90">IFERROR(OFFSET(貼付け_2024実績,5,AK248+1),"")&amp;""</f>
        <v/>
      </c>
      <c r="CK249" s="656" t="str">
        <f t="shared" ca="1" si="90"/>
        <v/>
      </c>
      <c r="CL249" s="656" t="str">
        <f t="shared" ca="1" si="90"/>
        <v/>
      </c>
      <c r="CM249" s="656" t="str">
        <f t="shared" ca="1" si="90"/>
        <v/>
      </c>
      <c r="CN249" s="656" t="str">
        <f t="shared" ca="1" si="90"/>
        <v/>
      </c>
      <c r="CO249" s="656" t="str">
        <f t="shared" ca="1" si="90"/>
        <v/>
      </c>
      <c r="CP249" s="656" t="str">
        <f t="shared" ca="1" si="90"/>
        <v/>
      </c>
      <c r="CQ249" s="656" t="str">
        <f t="shared" ca="1" si="90"/>
        <v/>
      </c>
      <c r="CR249" s="656" t="str">
        <f t="shared" ca="1" si="90"/>
        <v/>
      </c>
      <c r="CS249" s="656" t="str">
        <f t="shared" ca="1" si="90"/>
        <v/>
      </c>
      <c r="CT249" s="656" t="str">
        <f t="shared" ca="1" si="90"/>
        <v/>
      </c>
      <c r="CU249" s="656" t="str">
        <f t="shared" ca="1" si="90"/>
        <v/>
      </c>
      <c r="CV249" s="656" t="str">
        <f t="shared" ca="1" si="90"/>
        <v/>
      </c>
      <c r="CW249" s="656" t="str">
        <f t="shared" ca="1" si="90"/>
        <v/>
      </c>
      <c r="CX249" s="656" t="str">
        <f t="shared" ca="1" si="90"/>
        <v/>
      </c>
      <c r="CY249" s="656" t="str">
        <f t="shared" ca="1" si="90"/>
        <v/>
      </c>
      <c r="CZ249" s="656" t="str">
        <f t="shared" ca="1" si="90"/>
        <v/>
      </c>
      <c r="DA249" s="656" t="str">
        <f t="shared" ca="1" si="90"/>
        <v/>
      </c>
      <c r="IE249" s="658"/>
      <c r="IF249" s="658"/>
      <c r="IG249" s="658"/>
      <c r="IH249" s="658"/>
    </row>
    <row r="250" spans="1:242" s="179" customFormat="1" ht="19.5" hidden="1" customHeight="1">
      <c r="B250" s="1090"/>
      <c r="C250" s="654" t="str">
        <f>D248-1&amp;"&amp;"&amp;D248</f>
        <v>2023&amp;2024</v>
      </c>
      <c r="D250" s="655" t="str">
        <f>""</f>
        <v/>
      </c>
      <c r="E250" s="656"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55"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B251" s="1090"/>
      <c r="C251" s="654" t="s">
        <v>4286</v>
      </c>
      <c r="D251" s="655" t="str">
        <f>""</f>
        <v/>
      </c>
      <c r="E251" s="656" t="str">
        <f t="shared" ref="E251:AJ251" ca="1" si="91">IF(OFFSET(貼付け_2024実績,2,12)="■",BD249,IFERROR(INDEX($BD249:$DA249,MATCH(E250,$BD249:$DA249,0)),""))</f>
        <v/>
      </c>
      <c r="F251" s="656" t="str">
        <f t="shared" ca="1" si="91"/>
        <v/>
      </c>
      <c r="G251" s="656" t="str">
        <f t="shared" ca="1" si="91"/>
        <v/>
      </c>
      <c r="H251" s="656" t="str">
        <f t="shared" ca="1" si="91"/>
        <v/>
      </c>
      <c r="I251" s="656" t="str">
        <f t="shared" ca="1" si="91"/>
        <v/>
      </c>
      <c r="J251" s="656" t="str">
        <f t="shared" ca="1" si="91"/>
        <v/>
      </c>
      <c r="K251" s="656" t="str">
        <f t="shared" ca="1" si="91"/>
        <v/>
      </c>
      <c r="L251" s="656" t="str">
        <f t="shared" ca="1" si="91"/>
        <v/>
      </c>
      <c r="M251" s="656" t="str">
        <f t="shared" ca="1" si="91"/>
        <v/>
      </c>
      <c r="N251" s="656" t="str">
        <f t="shared" ca="1" si="91"/>
        <v/>
      </c>
      <c r="O251" s="656" t="str">
        <f ca="1">IF(OFFSET(貼付け_2024実績,2,12)="■",BN249,IFERROR(INDEX($BD249:$DA249,MATCH(O250,$BD249:$DA249,0)),""))</f>
        <v/>
      </c>
      <c r="P251" s="656" t="str">
        <f t="shared" ca="1" si="91"/>
        <v/>
      </c>
      <c r="Q251" s="656" t="str">
        <f t="shared" ca="1" si="91"/>
        <v/>
      </c>
      <c r="R251" s="656" t="str">
        <f t="shared" ca="1" si="91"/>
        <v/>
      </c>
      <c r="S251" s="656" t="str">
        <f t="shared" ca="1" si="91"/>
        <v/>
      </c>
      <c r="T251" s="656" t="str">
        <f t="shared" ca="1" si="91"/>
        <v/>
      </c>
      <c r="U251" s="656" t="str">
        <f t="shared" ca="1" si="91"/>
        <v/>
      </c>
      <c r="V251" s="656" t="str">
        <f t="shared" ca="1" si="91"/>
        <v/>
      </c>
      <c r="W251" s="656" t="str">
        <f t="shared" ca="1" si="91"/>
        <v/>
      </c>
      <c r="X251" s="656" t="str">
        <f t="shared" ca="1" si="91"/>
        <v/>
      </c>
      <c r="Y251" s="656" t="str">
        <f t="shared" ca="1" si="91"/>
        <v/>
      </c>
      <c r="Z251" s="656" t="str">
        <f t="shared" ca="1" si="91"/>
        <v/>
      </c>
      <c r="AA251" s="656" t="str">
        <f t="shared" ca="1" si="91"/>
        <v/>
      </c>
      <c r="AB251" s="656" t="str">
        <f t="shared" ca="1" si="91"/>
        <v/>
      </c>
      <c r="AC251" s="656" t="str">
        <f t="shared" ca="1" si="91"/>
        <v/>
      </c>
      <c r="AD251" s="656" t="str">
        <f t="shared" ca="1" si="91"/>
        <v/>
      </c>
      <c r="AE251" s="656" t="str">
        <f t="shared" ca="1" si="91"/>
        <v/>
      </c>
      <c r="AF251" s="656" t="str">
        <f t="shared" ca="1" si="91"/>
        <v/>
      </c>
      <c r="AG251" s="656" t="str">
        <f t="shared" ca="1" si="91"/>
        <v/>
      </c>
      <c r="AH251" s="656" t="str">
        <f t="shared" ca="1" si="91"/>
        <v/>
      </c>
      <c r="AI251" s="656" t="str">
        <f t="shared" ca="1" si="91"/>
        <v/>
      </c>
      <c r="AJ251" s="656" t="str">
        <f t="shared" ca="1" si="91"/>
        <v/>
      </c>
      <c r="AK251" s="656" t="str">
        <f t="shared" ref="AK251:BB251" ca="1" si="92">IF(OFFSET(貼付け_2024実績,2,12)="■",CJ249,IFERROR(INDEX($BD249:$DA249,MATCH(AK250,$BD249:$DA249,0)),""))</f>
        <v/>
      </c>
      <c r="AL251" s="656" t="str">
        <f t="shared" ca="1" si="92"/>
        <v/>
      </c>
      <c r="AM251" s="656" t="str">
        <f t="shared" ca="1" si="92"/>
        <v/>
      </c>
      <c r="AN251" s="656" t="str">
        <f t="shared" ca="1" si="92"/>
        <v/>
      </c>
      <c r="AO251" s="656" t="str">
        <f t="shared" ca="1" si="92"/>
        <v/>
      </c>
      <c r="AP251" s="656" t="str">
        <f t="shared" ca="1" si="92"/>
        <v/>
      </c>
      <c r="AQ251" s="656" t="str">
        <f t="shared" ca="1" si="92"/>
        <v/>
      </c>
      <c r="AR251" s="656" t="str">
        <f t="shared" ca="1" si="92"/>
        <v/>
      </c>
      <c r="AS251" s="656" t="str">
        <f t="shared" ca="1" si="92"/>
        <v/>
      </c>
      <c r="AT251" s="656" t="str">
        <f t="shared" ca="1" si="92"/>
        <v/>
      </c>
      <c r="AU251" s="656" t="str">
        <f t="shared" ca="1" si="92"/>
        <v/>
      </c>
      <c r="AV251" s="656" t="str">
        <f t="shared" ca="1" si="92"/>
        <v/>
      </c>
      <c r="AW251" s="656" t="str">
        <f t="shared" ca="1" si="92"/>
        <v/>
      </c>
      <c r="AX251" s="656" t="str">
        <f t="shared" ca="1" si="92"/>
        <v/>
      </c>
      <c r="AY251" s="656" t="str">
        <f t="shared" ca="1" si="92"/>
        <v/>
      </c>
      <c r="AZ251" s="656" t="str">
        <f t="shared" ca="1" si="92"/>
        <v/>
      </c>
      <c r="BA251" s="657" t="str">
        <f t="shared" ca="1" si="92"/>
        <v/>
      </c>
      <c r="BB251" s="655" t="str">
        <f t="shared" ca="1" si="92"/>
        <v/>
      </c>
      <c r="BD251" s="179" t="str">
        <f>""</f>
        <v/>
      </c>
      <c r="IE251" s="658"/>
      <c r="IF251" s="658"/>
      <c r="IG251" s="658"/>
      <c r="IH251" s="658"/>
    </row>
    <row r="252" spans="1:242" s="179" customFormat="1" hidden="1">
      <c r="B252" s="1090"/>
      <c r="C252" s="660" t="s">
        <v>4287</v>
      </c>
      <c r="D252" s="661">
        <v>2</v>
      </c>
      <c r="E252" s="662" t="str">
        <f t="shared" ref="E252:AJ252" ca="1" si="93">OFFSET(A1_名称2024,E$247+2,$D252)&amp;""</f>
        <v/>
      </c>
      <c r="F252" s="662" t="str">
        <f t="shared" ca="1" si="93"/>
        <v/>
      </c>
      <c r="G252" s="662" t="str">
        <f t="shared" ca="1" si="93"/>
        <v/>
      </c>
      <c r="H252" s="662" t="str">
        <f t="shared" ca="1" si="93"/>
        <v/>
      </c>
      <c r="I252" s="662" t="str">
        <f t="shared" ca="1" si="93"/>
        <v/>
      </c>
      <c r="J252" s="662" t="str">
        <f t="shared" ca="1" si="93"/>
        <v/>
      </c>
      <c r="K252" s="662" t="str">
        <f t="shared" ca="1" si="93"/>
        <v/>
      </c>
      <c r="L252" s="662" t="str">
        <f t="shared" ca="1" si="93"/>
        <v/>
      </c>
      <c r="M252" s="662" t="str">
        <f t="shared" ca="1" si="93"/>
        <v/>
      </c>
      <c r="N252" s="662" t="str">
        <f t="shared" ca="1" si="93"/>
        <v/>
      </c>
      <c r="O252" s="662" t="str">
        <f ca="1">OFFSET(A1_名称2024,O$247+2,$D252)&amp;""</f>
        <v/>
      </c>
      <c r="P252" s="662" t="str">
        <f t="shared" ca="1" si="93"/>
        <v/>
      </c>
      <c r="Q252" s="662" t="str">
        <f t="shared" ca="1" si="93"/>
        <v/>
      </c>
      <c r="R252" s="662" t="str">
        <f t="shared" ca="1" si="93"/>
        <v/>
      </c>
      <c r="S252" s="662" t="str">
        <f t="shared" ca="1" si="93"/>
        <v/>
      </c>
      <c r="T252" s="662" t="str">
        <f t="shared" ca="1" si="93"/>
        <v/>
      </c>
      <c r="U252" s="662" t="str">
        <f t="shared" ca="1" si="93"/>
        <v/>
      </c>
      <c r="V252" s="662" t="str">
        <f t="shared" ca="1" si="93"/>
        <v/>
      </c>
      <c r="W252" s="662" t="str">
        <f t="shared" ca="1" si="93"/>
        <v/>
      </c>
      <c r="X252" s="662" t="str">
        <f t="shared" ca="1" si="93"/>
        <v/>
      </c>
      <c r="Y252" s="662" t="str">
        <f t="shared" ca="1" si="93"/>
        <v/>
      </c>
      <c r="Z252" s="662" t="str">
        <f t="shared" ca="1" si="93"/>
        <v/>
      </c>
      <c r="AA252" s="662" t="str">
        <f t="shared" ca="1" si="93"/>
        <v/>
      </c>
      <c r="AB252" s="662" t="str">
        <f t="shared" ca="1" si="93"/>
        <v/>
      </c>
      <c r="AC252" s="662" t="str">
        <f t="shared" ca="1" si="93"/>
        <v/>
      </c>
      <c r="AD252" s="662" t="str">
        <f t="shared" ca="1" si="93"/>
        <v/>
      </c>
      <c r="AE252" s="662" t="str">
        <f t="shared" ca="1" si="93"/>
        <v/>
      </c>
      <c r="AF252" s="662" t="str">
        <f t="shared" ca="1" si="93"/>
        <v/>
      </c>
      <c r="AG252" s="662" t="str">
        <f t="shared" ca="1" si="93"/>
        <v/>
      </c>
      <c r="AH252" s="662" t="str">
        <f t="shared" ca="1" si="93"/>
        <v/>
      </c>
      <c r="AI252" s="662" t="str">
        <f t="shared" ca="1" si="93"/>
        <v/>
      </c>
      <c r="AJ252" s="662" t="str">
        <f t="shared" ca="1" si="93"/>
        <v/>
      </c>
      <c r="AK252" s="662" t="str">
        <f t="shared" ref="AK252:BB252" ca="1" si="94">OFFSET(A1_名称2024,AK$247+2,$D252)&amp;""</f>
        <v/>
      </c>
      <c r="AL252" s="662" t="str">
        <f t="shared" ca="1" si="94"/>
        <v/>
      </c>
      <c r="AM252" s="662" t="str">
        <f t="shared" ca="1" si="94"/>
        <v/>
      </c>
      <c r="AN252" s="662" t="str">
        <f t="shared" ca="1" si="94"/>
        <v/>
      </c>
      <c r="AO252" s="662" t="str">
        <f t="shared" ca="1" si="94"/>
        <v/>
      </c>
      <c r="AP252" s="662" t="str">
        <f t="shared" ca="1" si="94"/>
        <v/>
      </c>
      <c r="AQ252" s="662" t="str">
        <f t="shared" ca="1" si="94"/>
        <v/>
      </c>
      <c r="AR252" s="662" t="str">
        <f t="shared" ca="1" si="94"/>
        <v/>
      </c>
      <c r="AS252" s="662" t="str">
        <f t="shared" ca="1" si="94"/>
        <v/>
      </c>
      <c r="AT252" s="662" t="str">
        <f t="shared" ca="1" si="94"/>
        <v/>
      </c>
      <c r="AU252" s="662" t="str">
        <f t="shared" ca="1" si="94"/>
        <v/>
      </c>
      <c r="AV252" s="662" t="str">
        <f t="shared" ca="1" si="94"/>
        <v/>
      </c>
      <c r="AW252" s="662" t="str">
        <f t="shared" ca="1" si="94"/>
        <v/>
      </c>
      <c r="AX252" s="662" t="str">
        <f t="shared" ca="1" si="94"/>
        <v/>
      </c>
      <c r="AY252" s="662" t="str">
        <f t="shared" ca="1" si="94"/>
        <v/>
      </c>
      <c r="AZ252" s="662" t="str">
        <f t="shared" ca="1" si="94"/>
        <v/>
      </c>
      <c r="BA252" s="663" t="str">
        <f t="shared" ca="1" si="94"/>
        <v/>
      </c>
      <c r="BB252" s="661" t="str">
        <f t="shared" ca="1" si="94"/>
        <v/>
      </c>
      <c r="IE252" s="658"/>
      <c r="IF252" s="658"/>
      <c r="IG252" s="658"/>
      <c r="IH252" s="658"/>
    </row>
    <row r="253" spans="1:242" s="179" customFormat="1" hidden="1">
      <c r="B253" s="1090"/>
      <c r="C253" s="654" t="s">
        <v>4288</v>
      </c>
      <c r="D253" s="655"/>
      <c r="E253" s="656" t="str">
        <f ca="1">IF(E252="","",IFERROR(INDEX($E248:$BB248,MATCH(E252,$BD249:$DA249,0)),""))</f>
        <v/>
      </c>
      <c r="F253" s="656" t="str">
        <f t="shared" ref="F253:BB253" ca="1" si="95">IF(F252="","",IFERROR(INDEX($E248:$BB248,MATCH(F252,$BD249:$DA249,0)),""))</f>
        <v/>
      </c>
      <c r="G253" s="656" t="str">
        <f t="shared" ca="1" si="95"/>
        <v/>
      </c>
      <c r="H253" s="656" t="str">
        <f t="shared" ca="1" si="95"/>
        <v/>
      </c>
      <c r="I253" s="656" t="str">
        <f t="shared" ca="1" si="95"/>
        <v/>
      </c>
      <c r="J253" s="656" t="str">
        <f t="shared" ca="1" si="95"/>
        <v/>
      </c>
      <c r="K253" s="656" t="str">
        <f t="shared" ca="1" si="95"/>
        <v/>
      </c>
      <c r="L253" s="656" t="str">
        <f t="shared" ca="1" si="95"/>
        <v/>
      </c>
      <c r="M253" s="656" t="str">
        <f t="shared" ca="1" si="95"/>
        <v/>
      </c>
      <c r="N253" s="656" t="str">
        <f t="shared" ca="1" si="95"/>
        <v/>
      </c>
      <c r="O253" s="656" t="str">
        <f ca="1">IF(O252="","",IFERROR(INDEX($E248:$BB248,MATCH(O252,$BD249:$DA249,0)),""))</f>
        <v/>
      </c>
      <c r="P253" s="656" t="str">
        <f t="shared" ca="1" si="95"/>
        <v/>
      </c>
      <c r="Q253" s="656" t="str">
        <f t="shared" ca="1" si="95"/>
        <v/>
      </c>
      <c r="R253" s="656" t="str">
        <f t="shared" ca="1" si="95"/>
        <v/>
      </c>
      <c r="S253" s="656" t="str">
        <f t="shared" ca="1" si="95"/>
        <v/>
      </c>
      <c r="T253" s="656" t="str">
        <f t="shared" ca="1" si="95"/>
        <v/>
      </c>
      <c r="U253" s="656" t="str">
        <f t="shared" ca="1" si="95"/>
        <v/>
      </c>
      <c r="V253" s="656" t="str">
        <f t="shared" ca="1" si="95"/>
        <v/>
      </c>
      <c r="W253" s="656" t="str">
        <f t="shared" ca="1" si="95"/>
        <v/>
      </c>
      <c r="X253" s="656" t="str">
        <f t="shared" ca="1" si="95"/>
        <v/>
      </c>
      <c r="Y253" s="656" t="str">
        <f t="shared" ca="1" si="95"/>
        <v/>
      </c>
      <c r="Z253" s="656" t="str">
        <f t="shared" ca="1" si="95"/>
        <v/>
      </c>
      <c r="AA253" s="656" t="str">
        <f t="shared" ca="1" si="95"/>
        <v/>
      </c>
      <c r="AB253" s="656" t="str">
        <f t="shared" ca="1" si="95"/>
        <v/>
      </c>
      <c r="AC253" s="656" t="str">
        <f t="shared" ca="1" si="95"/>
        <v/>
      </c>
      <c r="AD253" s="656" t="str">
        <f t="shared" ca="1" si="95"/>
        <v/>
      </c>
      <c r="AE253" s="656" t="str">
        <f t="shared" ca="1" si="95"/>
        <v/>
      </c>
      <c r="AF253" s="656" t="str">
        <f t="shared" ca="1" si="95"/>
        <v/>
      </c>
      <c r="AG253" s="656" t="str">
        <f t="shared" ca="1" si="95"/>
        <v/>
      </c>
      <c r="AH253" s="656" t="str">
        <f t="shared" ca="1" si="95"/>
        <v/>
      </c>
      <c r="AI253" s="656" t="str">
        <f t="shared" ca="1" si="95"/>
        <v/>
      </c>
      <c r="AJ253" s="656" t="str">
        <f t="shared" ca="1" si="95"/>
        <v/>
      </c>
      <c r="AK253" s="656" t="str">
        <f t="shared" ca="1" si="95"/>
        <v/>
      </c>
      <c r="AL253" s="656" t="str">
        <f t="shared" ca="1" si="95"/>
        <v/>
      </c>
      <c r="AM253" s="656" t="str">
        <f t="shared" ca="1" si="95"/>
        <v/>
      </c>
      <c r="AN253" s="656" t="str">
        <f t="shared" ca="1" si="95"/>
        <v/>
      </c>
      <c r="AO253" s="656" t="str">
        <f t="shared" ca="1" si="95"/>
        <v/>
      </c>
      <c r="AP253" s="656" t="str">
        <f t="shared" ca="1" si="95"/>
        <v/>
      </c>
      <c r="AQ253" s="656" t="str">
        <f t="shared" ca="1" si="95"/>
        <v/>
      </c>
      <c r="AR253" s="656" t="str">
        <f t="shared" ca="1" si="95"/>
        <v/>
      </c>
      <c r="AS253" s="656" t="str">
        <f t="shared" ca="1" si="95"/>
        <v/>
      </c>
      <c r="AT253" s="656" t="str">
        <f t="shared" ca="1" si="95"/>
        <v/>
      </c>
      <c r="AU253" s="656" t="str">
        <f t="shared" ca="1" si="95"/>
        <v/>
      </c>
      <c r="AV253" s="656" t="str">
        <f t="shared" ca="1" si="95"/>
        <v/>
      </c>
      <c r="AW253" s="656" t="str">
        <f t="shared" ca="1" si="95"/>
        <v/>
      </c>
      <c r="AX253" s="656" t="str">
        <f t="shared" ca="1" si="95"/>
        <v/>
      </c>
      <c r="AY253" s="656" t="str">
        <f t="shared" ca="1" si="95"/>
        <v/>
      </c>
      <c r="AZ253" s="656" t="str">
        <f t="shared" ca="1" si="95"/>
        <v/>
      </c>
      <c r="BA253" s="657" t="str">
        <f t="shared" ca="1" si="95"/>
        <v/>
      </c>
      <c r="BB253" s="655" t="str">
        <f t="shared" ca="1" si="95"/>
        <v/>
      </c>
      <c r="IE253" s="658"/>
      <c r="IF253" s="658"/>
      <c r="IG253" s="658"/>
      <c r="IH253" s="658"/>
    </row>
    <row r="254" spans="1:242" s="197" customFormat="1" ht="19.8" hidden="1">
      <c r="A254" s="179"/>
      <c r="B254" s="1090"/>
      <c r="C254" s="227" t="s">
        <v>4289</v>
      </c>
      <c r="D254" s="228">
        <v>6</v>
      </c>
      <c r="E254" s="229" t="str">
        <f t="shared" ref="E254:AJ254" ca="1" si="96">IFERROR(OFFSET(貼付け_2024実績,$D254,E253+1)&amp;"","")</f>
        <v/>
      </c>
      <c r="F254" s="229" t="str">
        <f t="shared" ca="1" si="96"/>
        <v/>
      </c>
      <c r="G254" s="229" t="str">
        <f t="shared" ca="1" si="96"/>
        <v/>
      </c>
      <c r="H254" s="229" t="str">
        <f t="shared" ca="1" si="96"/>
        <v/>
      </c>
      <c r="I254" s="229" t="str">
        <f t="shared" ca="1" si="96"/>
        <v/>
      </c>
      <c r="J254" s="229" t="str">
        <f t="shared" ca="1" si="96"/>
        <v/>
      </c>
      <c r="K254" s="229" t="str">
        <f t="shared" ca="1" si="96"/>
        <v/>
      </c>
      <c r="L254" s="229" t="str">
        <f t="shared" ca="1" si="96"/>
        <v/>
      </c>
      <c r="M254" s="229" t="str">
        <f t="shared" ca="1" si="96"/>
        <v/>
      </c>
      <c r="N254" s="229" t="str">
        <f t="shared" ca="1" si="96"/>
        <v/>
      </c>
      <c r="O254" s="229" t="str">
        <f ca="1">IFERROR(OFFSET(貼付け_2024実績,$D254,O253+1)&amp;"","")</f>
        <v/>
      </c>
      <c r="P254" s="229" t="str">
        <f t="shared" ca="1" si="96"/>
        <v/>
      </c>
      <c r="Q254" s="229" t="str">
        <f t="shared" ca="1" si="96"/>
        <v/>
      </c>
      <c r="R254" s="229" t="str">
        <f t="shared" ca="1" si="96"/>
        <v/>
      </c>
      <c r="S254" s="229" t="str">
        <f t="shared" ca="1" si="96"/>
        <v/>
      </c>
      <c r="T254" s="229" t="str">
        <f t="shared" ca="1" si="96"/>
        <v/>
      </c>
      <c r="U254" s="229" t="str">
        <f t="shared" ca="1" si="96"/>
        <v/>
      </c>
      <c r="V254" s="229" t="str">
        <f t="shared" ca="1" si="96"/>
        <v/>
      </c>
      <c r="W254" s="229" t="str">
        <f t="shared" ca="1" si="96"/>
        <v/>
      </c>
      <c r="X254" s="229" t="str">
        <f t="shared" ca="1" si="96"/>
        <v/>
      </c>
      <c r="Y254" s="229" t="str">
        <f t="shared" ca="1" si="96"/>
        <v/>
      </c>
      <c r="Z254" s="229" t="str">
        <f t="shared" ca="1" si="96"/>
        <v/>
      </c>
      <c r="AA254" s="229" t="str">
        <f t="shared" ca="1" si="96"/>
        <v/>
      </c>
      <c r="AB254" s="229" t="str">
        <f t="shared" ca="1" si="96"/>
        <v/>
      </c>
      <c r="AC254" s="229" t="str">
        <f t="shared" ca="1" si="96"/>
        <v/>
      </c>
      <c r="AD254" s="229" t="str">
        <f t="shared" ca="1" si="96"/>
        <v/>
      </c>
      <c r="AE254" s="229" t="str">
        <f t="shared" ca="1" si="96"/>
        <v/>
      </c>
      <c r="AF254" s="229" t="str">
        <f t="shared" ca="1" si="96"/>
        <v/>
      </c>
      <c r="AG254" s="229" t="str">
        <f t="shared" ca="1" si="96"/>
        <v/>
      </c>
      <c r="AH254" s="229" t="str">
        <f t="shared" ca="1" si="96"/>
        <v/>
      </c>
      <c r="AI254" s="229" t="str">
        <f t="shared" ca="1" si="96"/>
        <v/>
      </c>
      <c r="AJ254" s="229" t="str">
        <f t="shared" ca="1" si="96"/>
        <v/>
      </c>
      <c r="AK254" s="229" t="str">
        <f t="shared" ref="AK254:BB254" ca="1" si="97">IFERROR(OFFSET(貼付け_2024実績,$D254,AK253+1)&amp;"","")</f>
        <v/>
      </c>
      <c r="AL254" s="229" t="str">
        <f t="shared" ca="1" si="97"/>
        <v/>
      </c>
      <c r="AM254" s="229" t="str">
        <f t="shared" ca="1" si="97"/>
        <v/>
      </c>
      <c r="AN254" s="229" t="str">
        <f t="shared" ca="1" si="97"/>
        <v/>
      </c>
      <c r="AO254" s="229" t="str">
        <f t="shared" ca="1" si="97"/>
        <v/>
      </c>
      <c r="AP254" s="229" t="str">
        <f t="shared" ca="1" si="97"/>
        <v/>
      </c>
      <c r="AQ254" s="229" t="str">
        <f t="shared" ca="1" si="97"/>
        <v/>
      </c>
      <c r="AR254" s="229" t="str">
        <f t="shared" ca="1" si="97"/>
        <v/>
      </c>
      <c r="AS254" s="229" t="str">
        <f t="shared" ca="1" si="97"/>
        <v/>
      </c>
      <c r="AT254" s="229" t="str">
        <f t="shared" ca="1" si="97"/>
        <v/>
      </c>
      <c r="AU254" s="229" t="str">
        <f t="shared" ca="1" si="97"/>
        <v/>
      </c>
      <c r="AV254" s="229" t="str">
        <f t="shared" ca="1" si="97"/>
        <v/>
      </c>
      <c r="AW254" s="229" t="str">
        <f t="shared" ca="1" si="97"/>
        <v/>
      </c>
      <c r="AX254" s="229" t="str">
        <f t="shared" ca="1" si="97"/>
        <v/>
      </c>
      <c r="AY254" s="229" t="str">
        <f t="shared" ca="1" si="97"/>
        <v/>
      </c>
      <c r="AZ254" s="229" t="str">
        <f t="shared" ca="1" si="97"/>
        <v/>
      </c>
      <c r="BA254" s="230" t="str">
        <f t="shared" ca="1" si="97"/>
        <v/>
      </c>
      <c r="BB254" s="228" t="str">
        <f t="shared" ca="1" si="97"/>
        <v/>
      </c>
      <c r="BC254" s="231"/>
      <c r="IE254" s="219"/>
      <c r="IF254" s="219"/>
      <c r="IG254" s="219"/>
      <c r="IH254" s="219"/>
    </row>
    <row r="255" spans="1:242" s="197" customFormat="1" ht="20.100000000000001" hidden="1" customHeight="1">
      <c r="A255" s="179"/>
      <c r="B255" s="1090"/>
      <c r="C255" s="232" t="s">
        <v>4290</v>
      </c>
      <c r="D255" s="233">
        <v>99</v>
      </c>
      <c r="E255" s="234" t="str">
        <f t="shared" ref="E255:AJ255" ca="1" si="98">IFERROR(OFFSET(貼付け_2024実績,$D255,E253),"")&amp;""</f>
        <v/>
      </c>
      <c r="F255" s="234" t="str">
        <f t="shared" ca="1" si="98"/>
        <v/>
      </c>
      <c r="G255" s="234" t="str">
        <f t="shared" ca="1" si="98"/>
        <v/>
      </c>
      <c r="H255" s="234" t="str">
        <f t="shared" ca="1" si="98"/>
        <v/>
      </c>
      <c r="I255" s="234" t="str">
        <f t="shared" ca="1" si="98"/>
        <v/>
      </c>
      <c r="J255" s="234" t="str">
        <f t="shared" ca="1" si="98"/>
        <v/>
      </c>
      <c r="K255" s="234" t="str">
        <f t="shared" ca="1" si="98"/>
        <v/>
      </c>
      <c r="L255" s="234" t="str">
        <f t="shared" ca="1" si="98"/>
        <v/>
      </c>
      <c r="M255" s="234" t="str">
        <f t="shared" ca="1" si="98"/>
        <v/>
      </c>
      <c r="N255" s="234" t="str">
        <f t="shared" ca="1" si="98"/>
        <v/>
      </c>
      <c r="O255" s="234" t="str">
        <f ca="1">IFERROR(OFFSET(貼付け_2024実績,$D255,O253),"")&amp;""</f>
        <v/>
      </c>
      <c r="P255" s="234" t="str">
        <f t="shared" ca="1" si="98"/>
        <v/>
      </c>
      <c r="Q255" s="234" t="str">
        <f t="shared" ca="1" si="98"/>
        <v/>
      </c>
      <c r="R255" s="234" t="str">
        <f t="shared" ca="1" si="98"/>
        <v/>
      </c>
      <c r="S255" s="234" t="str">
        <f t="shared" ca="1" si="98"/>
        <v/>
      </c>
      <c r="T255" s="234" t="str">
        <f t="shared" ca="1" si="98"/>
        <v/>
      </c>
      <c r="U255" s="234" t="str">
        <f t="shared" ca="1" si="98"/>
        <v/>
      </c>
      <c r="V255" s="234" t="str">
        <f t="shared" ca="1" si="98"/>
        <v/>
      </c>
      <c r="W255" s="234" t="str">
        <f t="shared" ca="1" si="98"/>
        <v/>
      </c>
      <c r="X255" s="234" t="str">
        <f t="shared" ca="1" si="98"/>
        <v/>
      </c>
      <c r="Y255" s="234" t="str">
        <f t="shared" ca="1" si="98"/>
        <v/>
      </c>
      <c r="Z255" s="234" t="str">
        <f t="shared" ca="1" si="98"/>
        <v/>
      </c>
      <c r="AA255" s="234" t="str">
        <f t="shared" ca="1" si="98"/>
        <v/>
      </c>
      <c r="AB255" s="234" t="str">
        <f t="shared" ca="1" si="98"/>
        <v/>
      </c>
      <c r="AC255" s="234" t="str">
        <f t="shared" ca="1" si="98"/>
        <v/>
      </c>
      <c r="AD255" s="234" t="str">
        <f t="shared" ca="1" si="98"/>
        <v/>
      </c>
      <c r="AE255" s="234" t="str">
        <f t="shared" ca="1" si="98"/>
        <v/>
      </c>
      <c r="AF255" s="234" t="str">
        <f t="shared" ca="1" si="98"/>
        <v/>
      </c>
      <c r="AG255" s="234" t="str">
        <f t="shared" ca="1" si="98"/>
        <v/>
      </c>
      <c r="AH255" s="234" t="str">
        <f t="shared" ca="1" si="98"/>
        <v/>
      </c>
      <c r="AI255" s="234" t="str">
        <f t="shared" ca="1" si="98"/>
        <v/>
      </c>
      <c r="AJ255" s="234" t="str">
        <f t="shared" ca="1" si="98"/>
        <v/>
      </c>
      <c r="AK255" s="234" t="str">
        <f t="shared" ref="AK255:BB255" ca="1" si="99">IFERROR(OFFSET(貼付け_2024実績,$D255,AK253),"")&amp;""</f>
        <v/>
      </c>
      <c r="AL255" s="234" t="str">
        <f t="shared" ca="1" si="99"/>
        <v/>
      </c>
      <c r="AM255" s="234" t="str">
        <f t="shared" ca="1" si="99"/>
        <v/>
      </c>
      <c r="AN255" s="234" t="str">
        <f t="shared" ca="1" si="99"/>
        <v/>
      </c>
      <c r="AO255" s="234" t="str">
        <f t="shared" ca="1" si="99"/>
        <v/>
      </c>
      <c r="AP255" s="234" t="str">
        <f t="shared" ca="1" si="99"/>
        <v/>
      </c>
      <c r="AQ255" s="234" t="str">
        <f t="shared" ca="1" si="99"/>
        <v/>
      </c>
      <c r="AR255" s="234" t="str">
        <f t="shared" ca="1" si="99"/>
        <v/>
      </c>
      <c r="AS255" s="234" t="str">
        <f t="shared" ca="1" si="99"/>
        <v/>
      </c>
      <c r="AT255" s="234" t="str">
        <f t="shared" ca="1" si="99"/>
        <v/>
      </c>
      <c r="AU255" s="234" t="str">
        <f t="shared" ca="1" si="99"/>
        <v/>
      </c>
      <c r="AV255" s="234" t="str">
        <f t="shared" ca="1" si="99"/>
        <v/>
      </c>
      <c r="AW255" s="234" t="str">
        <f t="shared" ca="1" si="99"/>
        <v/>
      </c>
      <c r="AX255" s="234" t="str">
        <f t="shared" ca="1" si="99"/>
        <v/>
      </c>
      <c r="AY255" s="234" t="str">
        <f t="shared" ca="1" si="99"/>
        <v/>
      </c>
      <c r="AZ255" s="234" t="str">
        <f t="shared" ca="1" si="99"/>
        <v/>
      </c>
      <c r="BA255" s="234" t="str">
        <f t="shared" ca="1" si="99"/>
        <v/>
      </c>
      <c r="BB255" s="233" t="str">
        <f t="shared" ca="1" si="99"/>
        <v/>
      </c>
      <c r="IE255" s="219"/>
      <c r="IF255" s="219"/>
      <c r="IG255" s="219"/>
      <c r="IH255" s="219"/>
    </row>
    <row r="256" spans="1:242" s="197" customFormat="1" ht="20.100000000000001" hidden="1" customHeight="1">
      <c r="A256" s="179"/>
      <c r="B256" s="1090"/>
      <c r="C256" s="232" t="s">
        <v>4291</v>
      </c>
      <c r="D256" s="233">
        <v>6</v>
      </c>
      <c r="E256" s="234" t="str">
        <f t="shared" ref="E256:AJ256" ca="1" si="100">IFERROR(OFFSET(A1_集計2024,$D256,E253),"")</f>
        <v/>
      </c>
      <c r="F256" s="234" t="str">
        <f t="shared" ca="1" si="100"/>
        <v/>
      </c>
      <c r="G256" s="234" t="str">
        <f t="shared" ca="1" si="100"/>
        <v/>
      </c>
      <c r="H256" s="234" t="str">
        <f t="shared" ca="1" si="100"/>
        <v/>
      </c>
      <c r="I256" s="234" t="str">
        <f t="shared" ca="1" si="100"/>
        <v/>
      </c>
      <c r="J256" s="234" t="str">
        <f t="shared" ca="1" si="100"/>
        <v/>
      </c>
      <c r="K256" s="234" t="str">
        <f t="shared" ca="1" si="100"/>
        <v/>
      </c>
      <c r="L256" s="234" t="str">
        <f t="shared" ca="1" si="100"/>
        <v/>
      </c>
      <c r="M256" s="234" t="str">
        <f t="shared" ca="1" si="100"/>
        <v/>
      </c>
      <c r="N256" s="234" t="str">
        <f t="shared" ca="1" si="100"/>
        <v/>
      </c>
      <c r="O256" s="234" t="str">
        <f ca="1">IFERROR(OFFSET(A1_集計2024,$D256,O253),"")</f>
        <v/>
      </c>
      <c r="P256" s="234" t="str">
        <f t="shared" ca="1" si="100"/>
        <v/>
      </c>
      <c r="Q256" s="234" t="str">
        <f t="shared" ca="1" si="100"/>
        <v/>
      </c>
      <c r="R256" s="234" t="str">
        <f t="shared" ca="1" si="100"/>
        <v/>
      </c>
      <c r="S256" s="234" t="str">
        <f t="shared" ca="1" si="100"/>
        <v/>
      </c>
      <c r="T256" s="234" t="str">
        <f t="shared" ca="1" si="100"/>
        <v/>
      </c>
      <c r="U256" s="234" t="str">
        <f t="shared" ca="1" si="100"/>
        <v/>
      </c>
      <c r="V256" s="234" t="str">
        <f t="shared" ca="1" si="100"/>
        <v/>
      </c>
      <c r="W256" s="234" t="str">
        <f t="shared" ca="1" si="100"/>
        <v/>
      </c>
      <c r="X256" s="234" t="str">
        <f t="shared" ca="1" si="100"/>
        <v/>
      </c>
      <c r="Y256" s="234" t="str">
        <f t="shared" ca="1" si="100"/>
        <v/>
      </c>
      <c r="Z256" s="234" t="str">
        <f t="shared" ca="1" si="100"/>
        <v/>
      </c>
      <c r="AA256" s="234" t="str">
        <f t="shared" ca="1" si="100"/>
        <v/>
      </c>
      <c r="AB256" s="234" t="str">
        <f t="shared" ca="1" si="100"/>
        <v/>
      </c>
      <c r="AC256" s="234" t="str">
        <f t="shared" ca="1" si="100"/>
        <v/>
      </c>
      <c r="AD256" s="234" t="str">
        <f t="shared" ca="1" si="100"/>
        <v/>
      </c>
      <c r="AE256" s="234" t="str">
        <f t="shared" ca="1" si="100"/>
        <v/>
      </c>
      <c r="AF256" s="234" t="str">
        <f t="shared" ca="1" si="100"/>
        <v/>
      </c>
      <c r="AG256" s="234" t="str">
        <f t="shared" ca="1" si="100"/>
        <v/>
      </c>
      <c r="AH256" s="234" t="str">
        <f t="shared" ca="1" si="100"/>
        <v/>
      </c>
      <c r="AI256" s="234" t="str">
        <f t="shared" ca="1" si="100"/>
        <v/>
      </c>
      <c r="AJ256" s="234" t="str">
        <f t="shared" ca="1" si="100"/>
        <v/>
      </c>
      <c r="AK256" s="234" t="str">
        <f t="shared" ref="AK256:BB256" ca="1" si="101">IFERROR(OFFSET(A1_集計2024,$D256,AK253),"")</f>
        <v/>
      </c>
      <c r="AL256" s="234" t="str">
        <f t="shared" ca="1" si="101"/>
        <v/>
      </c>
      <c r="AM256" s="234" t="str">
        <f t="shared" ca="1" si="101"/>
        <v/>
      </c>
      <c r="AN256" s="234" t="str">
        <f t="shared" ca="1" si="101"/>
        <v/>
      </c>
      <c r="AO256" s="234" t="str">
        <f t="shared" ca="1" si="101"/>
        <v/>
      </c>
      <c r="AP256" s="234" t="str">
        <f t="shared" ca="1" si="101"/>
        <v/>
      </c>
      <c r="AQ256" s="234" t="str">
        <f t="shared" ca="1" si="101"/>
        <v/>
      </c>
      <c r="AR256" s="234" t="str">
        <f t="shared" ca="1" si="101"/>
        <v/>
      </c>
      <c r="AS256" s="234" t="str">
        <f t="shared" ca="1" si="101"/>
        <v/>
      </c>
      <c r="AT256" s="234" t="str">
        <f t="shared" ca="1" si="101"/>
        <v/>
      </c>
      <c r="AU256" s="234" t="str">
        <f t="shared" ca="1" si="101"/>
        <v/>
      </c>
      <c r="AV256" s="234" t="str">
        <f t="shared" ca="1" si="101"/>
        <v/>
      </c>
      <c r="AW256" s="234" t="str">
        <f t="shared" ca="1" si="101"/>
        <v/>
      </c>
      <c r="AX256" s="234" t="str">
        <f t="shared" ca="1" si="101"/>
        <v/>
      </c>
      <c r="AY256" s="234" t="str">
        <f t="shared" ca="1" si="101"/>
        <v/>
      </c>
      <c r="AZ256" s="234" t="str">
        <f t="shared" ca="1" si="101"/>
        <v/>
      </c>
      <c r="BA256" s="224" t="str">
        <f t="shared" ca="1" si="101"/>
        <v/>
      </c>
      <c r="BB256" s="233" t="str">
        <f t="shared" ca="1" si="101"/>
        <v/>
      </c>
      <c r="IE256" s="219"/>
      <c r="IF256" s="219"/>
      <c r="IG256" s="219"/>
      <c r="IH256" s="219"/>
    </row>
    <row r="257" spans="1:242" s="197" customFormat="1" ht="20.100000000000001" hidden="1" customHeight="1">
      <c r="A257" s="179"/>
      <c r="B257" s="1090"/>
      <c r="C257" s="232" t="s">
        <v>4292</v>
      </c>
      <c r="D257" s="233">
        <v>101</v>
      </c>
      <c r="E257" s="234" t="str">
        <f t="shared" ref="E257:AJ257" ca="1" si="102">IFERROR(OFFSET(貼付け_2024実績,$D257,E253),"")</f>
        <v/>
      </c>
      <c r="F257" s="234" t="str">
        <f t="shared" ca="1" si="102"/>
        <v/>
      </c>
      <c r="G257" s="234" t="str">
        <f t="shared" ca="1" si="102"/>
        <v/>
      </c>
      <c r="H257" s="234" t="str">
        <f t="shared" ca="1" si="102"/>
        <v/>
      </c>
      <c r="I257" s="234" t="str">
        <f t="shared" ca="1" si="102"/>
        <v/>
      </c>
      <c r="J257" s="234" t="str">
        <f t="shared" ca="1" si="102"/>
        <v/>
      </c>
      <c r="K257" s="234" t="str">
        <f t="shared" ca="1" si="102"/>
        <v/>
      </c>
      <c r="L257" s="234" t="str">
        <f t="shared" ca="1" si="102"/>
        <v/>
      </c>
      <c r="M257" s="234" t="str">
        <f t="shared" ca="1" si="102"/>
        <v/>
      </c>
      <c r="N257" s="234" t="str">
        <f t="shared" ca="1" si="102"/>
        <v/>
      </c>
      <c r="O257" s="234" t="str">
        <f ca="1">IFERROR(OFFSET(貼付け_2024実績,$D257,O253),"")</f>
        <v/>
      </c>
      <c r="P257" s="234" t="str">
        <f t="shared" ca="1" si="102"/>
        <v/>
      </c>
      <c r="Q257" s="234" t="str">
        <f t="shared" ca="1" si="102"/>
        <v/>
      </c>
      <c r="R257" s="234" t="str">
        <f t="shared" ca="1" si="102"/>
        <v/>
      </c>
      <c r="S257" s="234" t="str">
        <f t="shared" ca="1" si="102"/>
        <v/>
      </c>
      <c r="T257" s="234" t="str">
        <f t="shared" ca="1" si="102"/>
        <v/>
      </c>
      <c r="U257" s="234" t="str">
        <f t="shared" ca="1" si="102"/>
        <v/>
      </c>
      <c r="V257" s="234" t="str">
        <f t="shared" ca="1" si="102"/>
        <v/>
      </c>
      <c r="W257" s="234" t="str">
        <f t="shared" ca="1" si="102"/>
        <v/>
      </c>
      <c r="X257" s="234" t="str">
        <f t="shared" ca="1" si="102"/>
        <v/>
      </c>
      <c r="Y257" s="234" t="str">
        <f t="shared" ca="1" si="102"/>
        <v/>
      </c>
      <c r="Z257" s="234" t="str">
        <f t="shared" ca="1" si="102"/>
        <v/>
      </c>
      <c r="AA257" s="234" t="str">
        <f t="shared" ca="1" si="102"/>
        <v/>
      </c>
      <c r="AB257" s="234" t="str">
        <f t="shared" ca="1" si="102"/>
        <v/>
      </c>
      <c r="AC257" s="234" t="str">
        <f t="shared" ca="1" si="102"/>
        <v/>
      </c>
      <c r="AD257" s="234" t="str">
        <f t="shared" ca="1" si="102"/>
        <v/>
      </c>
      <c r="AE257" s="234" t="str">
        <f t="shared" ca="1" si="102"/>
        <v/>
      </c>
      <c r="AF257" s="234" t="str">
        <f t="shared" ca="1" si="102"/>
        <v/>
      </c>
      <c r="AG257" s="234" t="str">
        <f t="shared" ca="1" si="102"/>
        <v/>
      </c>
      <c r="AH257" s="234" t="str">
        <f t="shared" ca="1" si="102"/>
        <v/>
      </c>
      <c r="AI257" s="234" t="str">
        <f t="shared" ca="1" si="102"/>
        <v/>
      </c>
      <c r="AJ257" s="234" t="str">
        <f t="shared" ca="1" si="102"/>
        <v/>
      </c>
      <c r="AK257" s="234" t="str">
        <f t="shared" ref="AK257:BB257" ca="1" si="103">IFERROR(OFFSET(貼付け_2024実績,$D257,AK253),"")</f>
        <v/>
      </c>
      <c r="AL257" s="234" t="str">
        <f t="shared" ca="1" si="103"/>
        <v/>
      </c>
      <c r="AM257" s="234" t="str">
        <f t="shared" ca="1" si="103"/>
        <v/>
      </c>
      <c r="AN257" s="234" t="str">
        <f t="shared" ca="1" si="103"/>
        <v/>
      </c>
      <c r="AO257" s="234" t="str">
        <f t="shared" ca="1" si="103"/>
        <v/>
      </c>
      <c r="AP257" s="234" t="str">
        <f t="shared" ca="1" si="103"/>
        <v/>
      </c>
      <c r="AQ257" s="234" t="str">
        <f t="shared" ca="1" si="103"/>
        <v/>
      </c>
      <c r="AR257" s="234" t="str">
        <f t="shared" ca="1" si="103"/>
        <v/>
      </c>
      <c r="AS257" s="234" t="str">
        <f t="shared" ca="1" si="103"/>
        <v/>
      </c>
      <c r="AT257" s="234" t="str">
        <f t="shared" ca="1" si="103"/>
        <v/>
      </c>
      <c r="AU257" s="234" t="str">
        <f t="shared" ca="1" si="103"/>
        <v/>
      </c>
      <c r="AV257" s="234" t="str">
        <f t="shared" ca="1" si="103"/>
        <v/>
      </c>
      <c r="AW257" s="234" t="str">
        <f t="shared" ca="1" si="103"/>
        <v/>
      </c>
      <c r="AX257" s="234" t="str">
        <f t="shared" ca="1" si="103"/>
        <v/>
      </c>
      <c r="AY257" s="234" t="str">
        <f t="shared" ca="1" si="103"/>
        <v/>
      </c>
      <c r="AZ257" s="234" t="str">
        <f t="shared" ca="1" si="103"/>
        <v/>
      </c>
      <c r="BA257" s="224" t="str">
        <f t="shared" ca="1" si="103"/>
        <v/>
      </c>
      <c r="BB257" s="233" t="str">
        <f t="shared" ca="1" si="103"/>
        <v/>
      </c>
      <c r="IE257" s="219"/>
      <c r="IF257" s="219"/>
      <c r="IG257" s="219"/>
      <c r="IH257" s="219"/>
    </row>
    <row r="258" spans="1:242" s="197" customFormat="1" ht="20.100000000000001" hidden="1" customHeight="1">
      <c r="A258" s="179"/>
      <c r="B258" s="1090"/>
      <c r="C258" s="232" t="s">
        <v>4293</v>
      </c>
      <c r="D258" s="233"/>
      <c r="E258" s="234" t="str">
        <f ca="1">IFERROR(E256/E257,"")</f>
        <v/>
      </c>
      <c r="F258" s="234" t="str">
        <f t="shared" ref="F258:BB258" ca="1" si="104">IFERROR(F256/F257,"")</f>
        <v/>
      </c>
      <c r="G258" s="234" t="str">
        <f t="shared" ca="1" si="104"/>
        <v/>
      </c>
      <c r="H258" s="234" t="str">
        <f t="shared" ca="1" si="104"/>
        <v/>
      </c>
      <c r="I258" s="234" t="str">
        <f t="shared" ca="1" si="104"/>
        <v/>
      </c>
      <c r="J258" s="234" t="str">
        <f t="shared" ca="1" si="104"/>
        <v/>
      </c>
      <c r="K258" s="234" t="str">
        <f t="shared" ca="1" si="104"/>
        <v/>
      </c>
      <c r="L258" s="234" t="str">
        <f t="shared" ca="1" si="104"/>
        <v/>
      </c>
      <c r="M258" s="234" t="str">
        <f t="shared" ca="1" si="104"/>
        <v/>
      </c>
      <c r="N258" s="234" t="str">
        <f t="shared" ca="1" si="104"/>
        <v/>
      </c>
      <c r="O258" s="234" t="str">
        <f t="shared" ca="1" si="104"/>
        <v/>
      </c>
      <c r="P258" s="234" t="str">
        <f t="shared" ca="1" si="104"/>
        <v/>
      </c>
      <c r="Q258" s="234" t="str">
        <f t="shared" ca="1" si="104"/>
        <v/>
      </c>
      <c r="R258" s="234" t="str">
        <f t="shared" ca="1" si="104"/>
        <v/>
      </c>
      <c r="S258" s="234" t="str">
        <f t="shared" ca="1" si="104"/>
        <v/>
      </c>
      <c r="T258" s="234" t="str">
        <f t="shared" ca="1" si="104"/>
        <v/>
      </c>
      <c r="U258" s="234" t="str">
        <f t="shared" ca="1" si="104"/>
        <v/>
      </c>
      <c r="V258" s="234" t="str">
        <f t="shared" ca="1" si="104"/>
        <v/>
      </c>
      <c r="W258" s="234" t="str">
        <f t="shared" ca="1" si="104"/>
        <v/>
      </c>
      <c r="X258" s="234" t="str">
        <f t="shared" ca="1" si="104"/>
        <v/>
      </c>
      <c r="Y258" s="234" t="str">
        <f t="shared" ca="1" si="104"/>
        <v/>
      </c>
      <c r="Z258" s="234" t="str">
        <f t="shared" ca="1" si="104"/>
        <v/>
      </c>
      <c r="AA258" s="234" t="str">
        <f t="shared" ca="1" si="104"/>
        <v/>
      </c>
      <c r="AB258" s="234" t="str">
        <f t="shared" ca="1" si="104"/>
        <v/>
      </c>
      <c r="AC258" s="234" t="str">
        <f t="shared" ca="1" si="104"/>
        <v/>
      </c>
      <c r="AD258" s="234" t="str">
        <f t="shared" ca="1" si="104"/>
        <v/>
      </c>
      <c r="AE258" s="234" t="str">
        <f t="shared" ca="1" si="104"/>
        <v/>
      </c>
      <c r="AF258" s="234" t="str">
        <f t="shared" ca="1" si="104"/>
        <v/>
      </c>
      <c r="AG258" s="234" t="str">
        <f t="shared" ca="1" si="104"/>
        <v/>
      </c>
      <c r="AH258" s="234" t="str">
        <f t="shared" ca="1" si="104"/>
        <v/>
      </c>
      <c r="AI258" s="234" t="str">
        <f t="shared" ca="1" si="104"/>
        <v/>
      </c>
      <c r="AJ258" s="234" t="str">
        <f t="shared" ca="1" si="104"/>
        <v/>
      </c>
      <c r="AK258" s="234" t="str">
        <f t="shared" ca="1" si="104"/>
        <v/>
      </c>
      <c r="AL258" s="234" t="str">
        <f t="shared" ca="1" si="104"/>
        <v/>
      </c>
      <c r="AM258" s="234" t="str">
        <f t="shared" ca="1" si="104"/>
        <v/>
      </c>
      <c r="AN258" s="234" t="str">
        <f t="shared" ca="1" si="104"/>
        <v/>
      </c>
      <c r="AO258" s="234" t="str">
        <f t="shared" ca="1" si="104"/>
        <v/>
      </c>
      <c r="AP258" s="234" t="str">
        <f t="shared" ca="1" si="104"/>
        <v/>
      </c>
      <c r="AQ258" s="234" t="str">
        <f t="shared" ca="1" si="104"/>
        <v/>
      </c>
      <c r="AR258" s="234" t="str">
        <f t="shared" ca="1" si="104"/>
        <v/>
      </c>
      <c r="AS258" s="234" t="str">
        <f t="shared" ca="1" si="104"/>
        <v/>
      </c>
      <c r="AT258" s="234" t="str">
        <f t="shared" ca="1" si="104"/>
        <v/>
      </c>
      <c r="AU258" s="234" t="str">
        <f t="shared" ca="1" si="104"/>
        <v/>
      </c>
      <c r="AV258" s="234" t="str">
        <f t="shared" ca="1" si="104"/>
        <v/>
      </c>
      <c r="AW258" s="234" t="str">
        <f t="shared" ca="1" si="104"/>
        <v/>
      </c>
      <c r="AX258" s="234" t="str">
        <f t="shared" ca="1" si="104"/>
        <v/>
      </c>
      <c r="AY258" s="234" t="str">
        <f t="shared" ca="1" si="104"/>
        <v/>
      </c>
      <c r="AZ258" s="234" t="str">
        <f t="shared" ca="1" si="104"/>
        <v/>
      </c>
      <c r="BA258" s="224" t="str">
        <f t="shared" ca="1" si="104"/>
        <v/>
      </c>
      <c r="BB258" s="233" t="str">
        <f t="shared" ca="1" si="104"/>
        <v/>
      </c>
      <c r="IE258" s="219"/>
      <c r="IF258" s="219"/>
      <c r="IG258" s="219"/>
      <c r="IH258" s="219"/>
    </row>
    <row r="259" spans="1:242" s="197" customFormat="1" ht="20.100000000000001" hidden="1" customHeight="1" thickBot="1">
      <c r="A259" s="179"/>
      <c r="B259" s="1091"/>
      <c r="C259" s="235" t="s">
        <v>4294</v>
      </c>
      <c r="D259" s="236">
        <v>12</v>
      </c>
      <c r="E259" s="237"/>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6"/>
      <c r="IE259" s="219"/>
      <c r="IF259" s="219"/>
      <c r="IG259" s="219"/>
      <c r="IH259" s="219"/>
    </row>
    <row r="260" spans="1:242" ht="19.5" hidden="1" customHeight="1">
      <c r="A260" s="179"/>
      <c r="B260" s="1089" t="s">
        <v>4264</v>
      </c>
      <c r="C260" s="651" t="s">
        <v>4285</v>
      </c>
      <c r="D260" s="652">
        <v>2024</v>
      </c>
      <c r="E260" s="653">
        <f ca="1">IFERROR(MATCH($B260&amp;E$247,OFFSET(INDIRECT("貼付け_"&amp;$D260&amp;"実績"),4,0,1,209),0)-1,"")</f>
        <v>21</v>
      </c>
      <c r="F260" s="653">
        <f t="shared" ref="F260:BB260" ca="1" si="105">IFERROR(MATCH($B260&amp;F$247,OFFSET(INDIRECT("貼付け_"&amp;$D260&amp;"実績"),4,0,1,209),0)-1,"")</f>
        <v>25</v>
      </c>
      <c r="G260" s="653">
        <f t="shared" ca="1" si="105"/>
        <v>29</v>
      </c>
      <c r="H260" s="653">
        <f t="shared" ca="1" si="105"/>
        <v>77</v>
      </c>
      <c r="I260" s="653">
        <f t="shared" ca="1" si="105"/>
        <v>81</v>
      </c>
      <c r="J260" s="653">
        <f t="shared" ca="1" si="105"/>
        <v>85</v>
      </c>
      <c r="K260" s="653">
        <f t="shared" ca="1" si="105"/>
        <v>89</v>
      </c>
      <c r="L260" s="653">
        <f t="shared" ca="1" si="105"/>
        <v>93</v>
      </c>
      <c r="M260" s="653">
        <f t="shared" ca="1" si="105"/>
        <v>97</v>
      </c>
      <c r="N260" s="653">
        <f t="shared" ca="1" si="105"/>
        <v>101</v>
      </c>
      <c r="O260" s="653" t="str">
        <f ca="1">IFERROR(MATCH($B260&amp;O$247,OFFSET(INDIRECT("貼付け_"&amp;$D260&amp;"実績"),4,0,1,209),0)-1,"")</f>
        <v/>
      </c>
      <c r="P260" s="653" t="str">
        <f t="shared" ca="1" si="105"/>
        <v/>
      </c>
      <c r="Q260" s="653" t="str">
        <f t="shared" ca="1" si="105"/>
        <v/>
      </c>
      <c r="R260" s="653" t="str">
        <f t="shared" ca="1" si="105"/>
        <v/>
      </c>
      <c r="S260" s="653" t="str">
        <f t="shared" ca="1" si="105"/>
        <v/>
      </c>
      <c r="T260" s="653" t="str">
        <f t="shared" ca="1" si="105"/>
        <v/>
      </c>
      <c r="U260" s="653" t="str">
        <f t="shared" ca="1" si="105"/>
        <v/>
      </c>
      <c r="V260" s="653" t="str">
        <f t="shared" ca="1" si="105"/>
        <v/>
      </c>
      <c r="W260" s="653" t="str">
        <f t="shared" ca="1" si="105"/>
        <v/>
      </c>
      <c r="X260" s="653" t="str">
        <f t="shared" ca="1" si="105"/>
        <v/>
      </c>
      <c r="Y260" s="653" t="str">
        <f t="shared" ca="1" si="105"/>
        <v/>
      </c>
      <c r="Z260" s="653" t="str">
        <f t="shared" ca="1" si="105"/>
        <v/>
      </c>
      <c r="AA260" s="653" t="str">
        <f t="shared" ca="1" si="105"/>
        <v/>
      </c>
      <c r="AB260" s="653" t="str">
        <f t="shared" ca="1" si="105"/>
        <v/>
      </c>
      <c r="AC260" s="653" t="str">
        <f t="shared" ca="1" si="105"/>
        <v/>
      </c>
      <c r="AD260" s="653" t="str">
        <f t="shared" ca="1" si="105"/>
        <v/>
      </c>
      <c r="AE260" s="653" t="str">
        <f t="shared" ca="1" si="105"/>
        <v/>
      </c>
      <c r="AF260" s="653" t="str">
        <f t="shared" ca="1" si="105"/>
        <v/>
      </c>
      <c r="AG260" s="653" t="str">
        <f t="shared" ca="1" si="105"/>
        <v/>
      </c>
      <c r="AH260" s="653" t="str">
        <f t="shared" ca="1" si="105"/>
        <v/>
      </c>
      <c r="AI260" s="653" t="str">
        <f t="shared" ca="1" si="105"/>
        <v/>
      </c>
      <c r="AJ260" s="653" t="str">
        <f t="shared" ca="1" si="105"/>
        <v/>
      </c>
      <c r="AK260" s="653" t="str">
        <f t="shared" ca="1" si="105"/>
        <v/>
      </c>
      <c r="AL260" s="653" t="str">
        <f t="shared" ca="1" si="105"/>
        <v/>
      </c>
      <c r="AM260" s="653" t="str">
        <f t="shared" ca="1" si="105"/>
        <v/>
      </c>
      <c r="AN260" s="653" t="str">
        <f t="shared" ca="1" si="105"/>
        <v/>
      </c>
      <c r="AO260" s="653" t="str">
        <f t="shared" ca="1" si="105"/>
        <v/>
      </c>
      <c r="AP260" s="653" t="str">
        <f t="shared" ca="1" si="105"/>
        <v/>
      </c>
      <c r="AQ260" s="653" t="str">
        <f t="shared" ca="1" si="105"/>
        <v/>
      </c>
      <c r="AR260" s="653" t="str">
        <f t="shared" ca="1" si="105"/>
        <v/>
      </c>
      <c r="AS260" s="653" t="str">
        <f t="shared" ca="1" si="105"/>
        <v/>
      </c>
      <c r="AT260" s="653" t="str">
        <f t="shared" ca="1" si="105"/>
        <v/>
      </c>
      <c r="AU260" s="653" t="str">
        <f t="shared" ca="1" si="105"/>
        <v/>
      </c>
      <c r="AV260" s="653" t="str">
        <f t="shared" ca="1" si="105"/>
        <v/>
      </c>
      <c r="AW260" s="653" t="str">
        <f t="shared" ca="1" si="105"/>
        <v/>
      </c>
      <c r="AX260" s="653" t="str">
        <f t="shared" ca="1" si="105"/>
        <v/>
      </c>
      <c r="AY260" s="653" t="str">
        <f t="shared" ca="1" si="105"/>
        <v/>
      </c>
      <c r="AZ260" s="653" t="str">
        <f t="shared" ca="1" si="105"/>
        <v/>
      </c>
      <c r="BA260" s="653" t="str">
        <f t="shared" ca="1" si="105"/>
        <v/>
      </c>
      <c r="BB260" s="652" t="str">
        <f t="shared" ca="1" si="105"/>
        <v/>
      </c>
      <c r="BC260" s="180" t="str">
        <f>D260&amp;"年度"</f>
        <v>2024年度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row>
    <row r="261" spans="1:242" s="179" customFormat="1" ht="18.75" hidden="1" customHeight="1">
      <c r="B261" s="1090"/>
      <c r="C261" s="654" t="str">
        <f>D260-1&amp;"/"&amp;D260</f>
        <v>2023/2024</v>
      </c>
      <c r="D261" s="655" t="str">
        <f>""</f>
        <v/>
      </c>
      <c r="E261" s="656" t="str">
        <f>""</f>
        <v/>
      </c>
      <c r="F261" s="656" t="str">
        <f>""</f>
        <v/>
      </c>
      <c r="G261" s="656" t="str">
        <f>""</f>
        <v/>
      </c>
      <c r="H261" s="656" t="str">
        <f>""</f>
        <v/>
      </c>
      <c r="I261" s="656" t="str">
        <f>""</f>
        <v/>
      </c>
      <c r="J261" s="656" t="str">
        <f>""</f>
        <v/>
      </c>
      <c r="K261" s="656" t="str">
        <f>""</f>
        <v/>
      </c>
      <c r="L261" s="656" t="str">
        <f>""</f>
        <v/>
      </c>
      <c r="M261" s="656" t="str">
        <f>""</f>
        <v/>
      </c>
      <c r="N261" s="656" t="str">
        <f>""</f>
        <v/>
      </c>
      <c r="O261" s="656" t="str">
        <f>""</f>
        <v/>
      </c>
      <c r="P261" s="656" t="str">
        <f>""</f>
        <v/>
      </c>
      <c r="Q261" s="656" t="str">
        <f>""</f>
        <v/>
      </c>
      <c r="R261" s="656" t="str">
        <f>""</f>
        <v/>
      </c>
      <c r="S261" s="656" t="str">
        <f>""</f>
        <v/>
      </c>
      <c r="T261" s="656" t="str">
        <f>""</f>
        <v/>
      </c>
      <c r="U261" s="656" t="str">
        <f>""</f>
        <v/>
      </c>
      <c r="V261" s="656" t="str">
        <f>""</f>
        <v/>
      </c>
      <c r="W261" s="656" t="str">
        <f>""</f>
        <v/>
      </c>
      <c r="X261" s="656" t="str">
        <f>""</f>
        <v/>
      </c>
      <c r="Y261" s="656" t="str">
        <f>""</f>
        <v/>
      </c>
      <c r="Z261" s="656" t="str">
        <f>""</f>
        <v/>
      </c>
      <c r="AA261" s="656" t="str">
        <f>""</f>
        <v/>
      </c>
      <c r="AB261" s="656" t="str">
        <f>""</f>
        <v/>
      </c>
      <c r="AC261" s="656" t="str">
        <f>""</f>
        <v/>
      </c>
      <c r="AD261" s="656" t="str">
        <f>""</f>
        <v/>
      </c>
      <c r="AE261" s="656" t="str">
        <f>""</f>
        <v/>
      </c>
      <c r="AF261" s="656" t="str">
        <f>""</f>
        <v/>
      </c>
      <c r="AG261" s="656" t="str">
        <f>""</f>
        <v/>
      </c>
      <c r="AH261" s="656" t="str">
        <f>""</f>
        <v/>
      </c>
      <c r="AI261" s="656" t="str">
        <f>""</f>
        <v/>
      </c>
      <c r="AJ261" s="656" t="str">
        <f>""</f>
        <v/>
      </c>
      <c r="AK261" s="656" t="str">
        <f>""</f>
        <v/>
      </c>
      <c r="AL261" s="656" t="str">
        <f>""</f>
        <v/>
      </c>
      <c r="AM261" s="656" t="str">
        <f>""</f>
        <v/>
      </c>
      <c r="AN261" s="656" t="str">
        <f>""</f>
        <v/>
      </c>
      <c r="AO261" s="656" t="str">
        <f>""</f>
        <v/>
      </c>
      <c r="AP261" s="656" t="str">
        <f>""</f>
        <v/>
      </c>
      <c r="AQ261" s="656" t="str">
        <f>""</f>
        <v/>
      </c>
      <c r="AR261" s="656" t="str">
        <f>""</f>
        <v/>
      </c>
      <c r="AS261" s="656" t="str">
        <f>""</f>
        <v/>
      </c>
      <c r="AT261" s="656" t="str">
        <f>""</f>
        <v/>
      </c>
      <c r="AU261" s="656" t="str">
        <f>""</f>
        <v/>
      </c>
      <c r="AV261" s="656" t="str">
        <f>""</f>
        <v/>
      </c>
      <c r="AW261" s="656" t="str">
        <f>""</f>
        <v/>
      </c>
      <c r="AX261" s="656" t="str">
        <f>""</f>
        <v/>
      </c>
      <c r="AY261" s="656" t="str">
        <f>""</f>
        <v/>
      </c>
      <c r="AZ261" s="656" t="str">
        <f>""</f>
        <v/>
      </c>
      <c r="BA261" s="657" t="str">
        <f>""</f>
        <v/>
      </c>
      <c r="BB261" s="655" t="str">
        <f>""</f>
        <v/>
      </c>
      <c r="BC261" s="656" t="str">
        <f>""</f>
        <v/>
      </c>
      <c r="BD261" s="656" t="str">
        <f t="shared" ref="BD261:CI261" ca="1" si="106">IFERROR(OFFSET(貼付け_2024実績,5,E260+1),"")&amp;""</f>
        <v/>
      </c>
      <c r="BE261" s="656" t="str">
        <f t="shared" ca="1" si="106"/>
        <v/>
      </c>
      <c r="BF261" s="656" t="str">
        <f t="shared" ca="1" si="106"/>
        <v/>
      </c>
      <c r="BG261" s="656" t="str">
        <f t="shared" ca="1" si="106"/>
        <v/>
      </c>
      <c r="BH261" s="656" t="str">
        <f t="shared" ca="1" si="106"/>
        <v/>
      </c>
      <c r="BI261" s="656" t="str">
        <f t="shared" ca="1" si="106"/>
        <v/>
      </c>
      <c r="BJ261" s="656" t="str">
        <f t="shared" ca="1" si="106"/>
        <v/>
      </c>
      <c r="BK261" s="656" t="str">
        <f t="shared" ca="1" si="106"/>
        <v/>
      </c>
      <c r="BL261" s="656" t="str">
        <f t="shared" ca="1" si="106"/>
        <v/>
      </c>
      <c r="BM261" s="656" t="str">
        <f t="shared" ca="1" si="106"/>
        <v/>
      </c>
      <c r="BN261" s="656" t="str">
        <f ca="1">IFERROR(OFFSET(貼付け_2024実績,5,O260+1),"")&amp;""</f>
        <v/>
      </c>
      <c r="BO261" s="656" t="str">
        <f t="shared" ca="1" si="106"/>
        <v/>
      </c>
      <c r="BP261" s="656" t="str">
        <f t="shared" ca="1" si="106"/>
        <v/>
      </c>
      <c r="BQ261" s="656" t="str">
        <f t="shared" ca="1" si="106"/>
        <v/>
      </c>
      <c r="BR261" s="656" t="str">
        <f t="shared" ca="1" si="106"/>
        <v/>
      </c>
      <c r="BS261" s="656" t="str">
        <f t="shared" ca="1" si="106"/>
        <v/>
      </c>
      <c r="BT261" s="656" t="str">
        <f t="shared" ca="1" si="106"/>
        <v/>
      </c>
      <c r="BU261" s="656" t="str">
        <f t="shared" ca="1" si="106"/>
        <v/>
      </c>
      <c r="BV261" s="656" t="str">
        <f t="shared" ca="1" si="106"/>
        <v/>
      </c>
      <c r="BW261" s="656" t="str">
        <f t="shared" ca="1" si="106"/>
        <v/>
      </c>
      <c r="BX261" s="656" t="str">
        <f t="shared" ca="1" si="106"/>
        <v/>
      </c>
      <c r="BY261" s="656" t="str">
        <f t="shared" ca="1" si="106"/>
        <v/>
      </c>
      <c r="BZ261" s="656" t="str">
        <f t="shared" ca="1" si="106"/>
        <v/>
      </c>
      <c r="CA261" s="656" t="str">
        <f t="shared" ca="1" si="106"/>
        <v/>
      </c>
      <c r="CB261" s="656" t="str">
        <f t="shared" ca="1" si="106"/>
        <v/>
      </c>
      <c r="CC261" s="656" t="str">
        <f t="shared" ca="1" si="106"/>
        <v/>
      </c>
      <c r="CD261" s="656" t="str">
        <f t="shared" ca="1" si="106"/>
        <v/>
      </c>
      <c r="CE261" s="656" t="str">
        <f t="shared" ca="1" si="106"/>
        <v/>
      </c>
      <c r="CF261" s="656" t="str">
        <f t="shared" ca="1" si="106"/>
        <v/>
      </c>
      <c r="CG261" s="656" t="str">
        <f t="shared" ca="1" si="106"/>
        <v/>
      </c>
      <c r="CH261" s="656" t="str">
        <f t="shared" ca="1" si="106"/>
        <v/>
      </c>
      <c r="CI261" s="656" t="str">
        <f t="shared" ca="1" si="106"/>
        <v/>
      </c>
      <c r="CJ261" s="656" t="str">
        <f t="shared" ref="CJ261:DA261" ca="1" si="107">IFERROR(OFFSET(貼付け_2024実績,5,AK260+1),"")&amp;""</f>
        <v/>
      </c>
      <c r="CK261" s="656" t="str">
        <f t="shared" ca="1" si="107"/>
        <v/>
      </c>
      <c r="CL261" s="656" t="str">
        <f t="shared" ca="1" si="107"/>
        <v/>
      </c>
      <c r="CM261" s="656" t="str">
        <f t="shared" ca="1" si="107"/>
        <v/>
      </c>
      <c r="CN261" s="656" t="str">
        <f t="shared" ca="1" si="107"/>
        <v/>
      </c>
      <c r="CO261" s="656" t="str">
        <f t="shared" ca="1" si="107"/>
        <v/>
      </c>
      <c r="CP261" s="656" t="str">
        <f t="shared" ca="1" si="107"/>
        <v/>
      </c>
      <c r="CQ261" s="656" t="str">
        <f t="shared" ca="1" si="107"/>
        <v/>
      </c>
      <c r="CR261" s="656" t="str">
        <f t="shared" ca="1" si="107"/>
        <v/>
      </c>
      <c r="CS261" s="656" t="str">
        <f t="shared" ca="1" si="107"/>
        <v/>
      </c>
      <c r="CT261" s="656" t="str">
        <f t="shared" ca="1" si="107"/>
        <v/>
      </c>
      <c r="CU261" s="656" t="str">
        <f t="shared" ca="1" si="107"/>
        <v/>
      </c>
      <c r="CV261" s="656" t="str">
        <f t="shared" ca="1" si="107"/>
        <v/>
      </c>
      <c r="CW261" s="656" t="str">
        <f t="shared" ca="1" si="107"/>
        <v/>
      </c>
      <c r="CX261" s="656" t="str">
        <f t="shared" ca="1" si="107"/>
        <v/>
      </c>
      <c r="CY261" s="656" t="str">
        <f t="shared" ca="1" si="107"/>
        <v/>
      </c>
      <c r="CZ261" s="656" t="str">
        <f t="shared" ca="1" si="107"/>
        <v/>
      </c>
      <c r="DA261" s="656" t="str">
        <f t="shared" ca="1" si="107"/>
        <v/>
      </c>
      <c r="IE261" s="658"/>
      <c r="IF261" s="658"/>
      <c r="IG261" s="658"/>
      <c r="IH261" s="658"/>
    </row>
    <row r="262" spans="1:242" s="179" customFormat="1" ht="19.5" hidden="1" customHeight="1">
      <c r="B262" s="1090"/>
      <c r="C262" s="654" t="str">
        <f>D260-1&amp;"&amp;"&amp;D260</f>
        <v>2023&amp;2024</v>
      </c>
      <c r="D262" s="655" t="str">
        <f>""</f>
        <v/>
      </c>
      <c r="E262" s="656"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55"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B263" s="1090"/>
      <c r="C263" s="654" t="s">
        <v>4286</v>
      </c>
      <c r="D263" s="655" t="str">
        <f>""</f>
        <v/>
      </c>
      <c r="E263" s="656" t="str">
        <f t="shared" ref="E263:AJ263" ca="1" si="108">IF(OFFSET(貼付け_2024実績,2,12)="■",BD261,IFERROR(INDEX($BD261:$DA261,MATCH(E262,$BD261:$DA261,0)),""))</f>
        <v/>
      </c>
      <c r="F263" s="656" t="str">
        <f t="shared" ca="1" si="108"/>
        <v/>
      </c>
      <c r="G263" s="656" t="str">
        <f t="shared" ca="1" si="108"/>
        <v/>
      </c>
      <c r="H263" s="656" t="str">
        <f t="shared" ca="1" si="108"/>
        <v/>
      </c>
      <c r="I263" s="656" t="str">
        <f t="shared" ca="1" si="108"/>
        <v/>
      </c>
      <c r="J263" s="656" t="str">
        <f t="shared" ca="1" si="108"/>
        <v/>
      </c>
      <c r="K263" s="656" t="str">
        <f t="shared" ca="1" si="108"/>
        <v/>
      </c>
      <c r="L263" s="656" t="str">
        <f t="shared" ca="1" si="108"/>
        <v/>
      </c>
      <c r="M263" s="656" t="str">
        <f t="shared" ca="1" si="108"/>
        <v/>
      </c>
      <c r="N263" s="656" t="str">
        <f t="shared" ca="1" si="108"/>
        <v/>
      </c>
      <c r="O263" s="656" t="str">
        <f ca="1">IF(OFFSET(貼付け_2024実績,2,12)="■",BN261,IFERROR(INDEX($BD261:$DA261,MATCH(O262,$BD261:$DA261,0)),""))</f>
        <v/>
      </c>
      <c r="P263" s="656" t="str">
        <f t="shared" ca="1" si="108"/>
        <v/>
      </c>
      <c r="Q263" s="656" t="str">
        <f t="shared" ca="1" si="108"/>
        <v/>
      </c>
      <c r="R263" s="656" t="str">
        <f t="shared" ca="1" si="108"/>
        <v/>
      </c>
      <c r="S263" s="656" t="str">
        <f t="shared" ca="1" si="108"/>
        <v/>
      </c>
      <c r="T263" s="656" t="str">
        <f t="shared" ca="1" si="108"/>
        <v/>
      </c>
      <c r="U263" s="656" t="str">
        <f t="shared" ca="1" si="108"/>
        <v/>
      </c>
      <c r="V263" s="656" t="str">
        <f t="shared" ca="1" si="108"/>
        <v/>
      </c>
      <c r="W263" s="656" t="str">
        <f t="shared" ca="1" si="108"/>
        <v/>
      </c>
      <c r="X263" s="656" t="str">
        <f t="shared" ca="1" si="108"/>
        <v/>
      </c>
      <c r="Y263" s="656" t="str">
        <f t="shared" ca="1" si="108"/>
        <v/>
      </c>
      <c r="Z263" s="656" t="str">
        <f t="shared" ca="1" si="108"/>
        <v/>
      </c>
      <c r="AA263" s="656" t="str">
        <f t="shared" ca="1" si="108"/>
        <v/>
      </c>
      <c r="AB263" s="656" t="str">
        <f t="shared" ca="1" si="108"/>
        <v/>
      </c>
      <c r="AC263" s="656" t="str">
        <f t="shared" ca="1" si="108"/>
        <v/>
      </c>
      <c r="AD263" s="656" t="str">
        <f t="shared" ca="1" si="108"/>
        <v/>
      </c>
      <c r="AE263" s="656" t="str">
        <f t="shared" ca="1" si="108"/>
        <v/>
      </c>
      <c r="AF263" s="656" t="str">
        <f t="shared" ca="1" si="108"/>
        <v/>
      </c>
      <c r="AG263" s="656" t="str">
        <f t="shared" ca="1" si="108"/>
        <v/>
      </c>
      <c r="AH263" s="656" t="str">
        <f t="shared" ca="1" si="108"/>
        <v/>
      </c>
      <c r="AI263" s="656" t="str">
        <f t="shared" ca="1" si="108"/>
        <v/>
      </c>
      <c r="AJ263" s="656" t="str">
        <f t="shared" ca="1" si="108"/>
        <v/>
      </c>
      <c r="AK263" s="656" t="str">
        <f t="shared" ref="AK263:BB263" ca="1" si="109">IF(OFFSET(貼付け_2024実績,2,12)="■",CJ261,IFERROR(INDEX($BD261:$DA261,MATCH(AK262,$BD261:$DA261,0)),""))</f>
        <v/>
      </c>
      <c r="AL263" s="656" t="str">
        <f t="shared" ca="1" si="109"/>
        <v/>
      </c>
      <c r="AM263" s="656" t="str">
        <f t="shared" ca="1" si="109"/>
        <v/>
      </c>
      <c r="AN263" s="656" t="str">
        <f t="shared" ca="1" si="109"/>
        <v/>
      </c>
      <c r="AO263" s="656" t="str">
        <f t="shared" ca="1" si="109"/>
        <v/>
      </c>
      <c r="AP263" s="656" t="str">
        <f t="shared" ca="1" si="109"/>
        <v/>
      </c>
      <c r="AQ263" s="656" t="str">
        <f t="shared" ca="1" si="109"/>
        <v/>
      </c>
      <c r="AR263" s="656" t="str">
        <f t="shared" ca="1" si="109"/>
        <v/>
      </c>
      <c r="AS263" s="656" t="str">
        <f t="shared" ca="1" si="109"/>
        <v/>
      </c>
      <c r="AT263" s="656" t="str">
        <f t="shared" ca="1" si="109"/>
        <v/>
      </c>
      <c r="AU263" s="656" t="str">
        <f t="shared" ca="1" si="109"/>
        <v/>
      </c>
      <c r="AV263" s="656" t="str">
        <f t="shared" ca="1" si="109"/>
        <v/>
      </c>
      <c r="AW263" s="656" t="str">
        <f t="shared" ca="1" si="109"/>
        <v/>
      </c>
      <c r="AX263" s="656" t="str">
        <f t="shared" ca="1" si="109"/>
        <v/>
      </c>
      <c r="AY263" s="656" t="str">
        <f t="shared" ca="1" si="109"/>
        <v/>
      </c>
      <c r="AZ263" s="656" t="str">
        <f t="shared" ca="1" si="109"/>
        <v/>
      </c>
      <c r="BA263" s="657" t="str">
        <f t="shared" ca="1" si="109"/>
        <v/>
      </c>
      <c r="BB263" s="655" t="str">
        <f t="shared" ca="1" si="109"/>
        <v/>
      </c>
      <c r="BD263" s="179" t="str">
        <f>""</f>
        <v/>
      </c>
      <c r="IE263" s="658"/>
      <c r="IF263" s="658"/>
      <c r="IG263" s="658"/>
      <c r="IH263" s="658"/>
    </row>
    <row r="264" spans="1:242" s="179" customFormat="1" hidden="1">
      <c r="B264" s="1090"/>
      <c r="C264" s="660" t="s">
        <v>4287</v>
      </c>
      <c r="D264" s="661">
        <v>6</v>
      </c>
      <c r="E264" s="662" t="str">
        <f t="shared" ref="E264:AJ264" ca="1" si="110">OFFSET(A1_名称2024,E$247+2,$D264)&amp;""</f>
        <v/>
      </c>
      <c r="F264" s="662" t="str">
        <f t="shared" ca="1" si="110"/>
        <v/>
      </c>
      <c r="G264" s="662" t="str">
        <f t="shared" ca="1" si="110"/>
        <v/>
      </c>
      <c r="H264" s="662" t="str">
        <f t="shared" ca="1" si="110"/>
        <v/>
      </c>
      <c r="I264" s="662" t="str">
        <f t="shared" ca="1" si="110"/>
        <v/>
      </c>
      <c r="J264" s="662" t="str">
        <f t="shared" ca="1" si="110"/>
        <v/>
      </c>
      <c r="K264" s="662" t="str">
        <f t="shared" ca="1" si="110"/>
        <v/>
      </c>
      <c r="L264" s="662" t="str">
        <f t="shared" ca="1" si="110"/>
        <v/>
      </c>
      <c r="M264" s="662" t="str">
        <f t="shared" ca="1" si="110"/>
        <v/>
      </c>
      <c r="N264" s="662" t="str">
        <f t="shared" ca="1" si="110"/>
        <v/>
      </c>
      <c r="O264" s="662" t="str">
        <f ca="1">OFFSET(A1_名称2024,O$247+2,$D264)&amp;""</f>
        <v/>
      </c>
      <c r="P264" s="662" t="str">
        <f t="shared" ca="1" si="110"/>
        <v/>
      </c>
      <c r="Q264" s="662" t="str">
        <f t="shared" ca="1" si="110"/>
        <v/>
      </c>
      <c r="R264" s="662" t="str">
        <f t="shared" ca="1" si="110"/>
        <v/>
      </c>
      <c r="S264" s="662" t="str">
        <f t="shared" ca="1" si="110"/>
        <v/>
      </c>
      <c r="T264" s="662" t="str">
        <f t="shared" ca="1" si="110"/>
        <v/>
      </c>
      <c r="U264" s="662" t="str">
        <f t="shared" ca="1" si="110"/>
        <v/>
      </c>
      <c r="V264" s="662" t="str">
        <f t="shared" ca="1" si="110"/>
        <v/>
      </c>
      <c r="W264" s="662" t="str">
        <f t="shared" ca="1" si="110"/>
        <v/>
      </c>
      <c r="X264" s="662" t="str">
        <f t="shared" ca="1" si="110"/>
        <v/>
      </c>
      <c r="Y264" s="662" t="str">
        <f t="shared" ca="1" si="110"/>
        <v/>
      </c>
      <c r="Z264" s="662" t="str">
        <f t="shared" ca="1" si="110"/>
        <v/>
      </c>
      <c r="AA264" s="662" t="str">
        <f t="shared" ca="1" si="110"/>
        <v/>
      </c>
      <c r="AB264" s="662" t="str">
        <f t="shared" ca="1" si="110"/>
        <v/>
      </c>
      <c r="AC264" s="662" t="str">
        <f t="shared" ca="1" si="110"/>
        <v/>
      </c>
      <c r="AD264" s="662" t="str">
        <f t="shared" ca="1" si="110"/>
        <v/>
      </c>
      <c r="AE264" s="662" t="str">
        <f t="shared" ca="1" si="110"/>
        <v/>
      </c>
      <c r="AF264" s="662" t="str">
        <f t="shared" ca="1" si="110"/>
        <v/>
      </c>
      <c r="AG264" s="662" t="str">
        <f t="shared" ca="1" si="110"/>
        <v/>
      </c>
      <c r="AH264" s="662" t="str">
        <f t="shared" ca="1" si="110"/>
        <v/>
      </c>
      <c r="AI264" s="662" t="str">
        <f t="shared" ca="1" si="110"/>
        <v/>
      </c>
      <c r="AJ264" s="662" t="str">
        <f t="shared" ca="1" si="110"/>
        <v/>
      </c>
      <c r="AK264" s="662" t="str">
        <f t="shared" ref="AK264:BB264" ca="1" si="111">OFFSET(A1_名称2024,AK$247+2,$D264)&amp;""</f>
        <v/>
      </c>
      <c r="AL264" s="662" t="str">
        <f t="shared" ca="1" si="111"/>
        <v/>
      </c>
      <c r="AM264" s="662" t="str">
        <f t="shared" ca="1" si="111"/>
        <v/>
      </c>
      <c r="AN264" s="662" t="str">
        <f t="shared" ca="1" si="111"/>
        <v/>
      </c>
      <c r="AO264" s="662" t="str">
        <f t="shared" ca="1" si="111"/>
        <v/>
      </c>
      <c r="AP264" s="662" t="str">
        <f t="shared" ca="1" si="111"/>
        <v/>
      </c>
      <c r="AQ264" s="662" t="str">
        <f t="shared" ca="1" si="111"/>
        <v/>
      </c>
      <c r="AR264" s="662" t="str">
        <f t="shared" ca="1" si="111"/>
        <v/>
      </c>
      <c r="AS264" s="662" t="str">
        <f t="shared" ca="1" si="111"/>
        <v/>
      </c>
      <c r="AT264" s="662" t="str">
        <f t="shared" ca="1" si="111"/>
        <v/>
      </c>
      <c r="AU264" s="662" t="str">
        <f t="shared" ca="1" si="111"/>
        <v/>
      </c>
      <c r="AV264" s="662" t="str">
        <f t="shared" ca="1" si="111"/>
        <v/>
      </c>
      <c r="AW264" s="662" t="str">
        <f t="shared" ca="1" si="111"/>
        <v/>
      </c>
      <c r="AX264" s="662" t="str">
        <f t="shared" ca="1" si="111"/>
        <v/>
      </c>
      <c r="AY264" s="662" t="str">
        <f t="shared" ca="1" si="111"/>
        <v/>
      </c>
      <c r="AZ264" s="662" t="str">
        <f t="shared" ca="1" si="111"/>
        <v/>
      </c>
      <c r="BA264" s="663" t="str">
        <f t="shared" ca="1" si="111"/>
        <v/>
      </c>
      <c r="BB264" s="661" t="str">
        <f t="shared" ca="1" si="111"/>
        <v/>
      </c>
      <c r="IE264" s="658"/>
      <c r="IF264" s="658"/>
      <c r="IG264" s="658"/>
      <c r="IH264" s="658"/>
    </row>
    <row r="265" spans="1:242" s="179" customFormat="1" hidden="1">
      <c r="B265" s="1090"/>
      <c r="C265" s="654" t="s">
        <v>4288</v>
      </c>
      <c r="D265" s="655"/>
      <c r="E265" s="656" t="str">
        <f ca="1">IF(E264="","",IFERROR(INDEX($E260:$BB260,MATCH(E264,$BD261:$DA261,0)),""))</f>
        <v/>
      </c>
      <c r="F265" s="656" t="str">
        <f t="shared" ref="F265:N265" ca="1" si="112">IF(F264="","",IFERROR(INDEX($E260:$BB260,MATCH(F264,$BD261:$DA261,0)),""))</f>
        <v/>
      </c>
      <c r="G265" s="656" t="str">
        <f t="shared" ca="1" si="112"/>
        <v/>
      </c>
      <c r="H265" s="656" t="str">
        <f t="shared" ca="1" si="112"/>
        <v/>
      </c>
      <c r="I265" s="656" t="str">
        <f t="shared" ca="1" si="112"/>
        <v/>
      </c>
      <c r="J265" s="656" t="str">
        <f t="shared" ca="1" si="112"/>
        <v/>
      </c>
      <c r="K265" s="656" t="str">
        <f t="shared" ca="1" si="112"/>
        <v/>
      </c>
      <c r="L265" s="656" t="str">
        <f t="shared" ca="1" si="112"/>
        <v/>
      </c>
      <c r="M265" s="656" t="str">
        <f t="shared" ca="1" si="112"/>
        <v/>
      </c>
      <c r="N265" s="656" t="str">
        <f t="shared" ca="1" si="112"/>
        <v/>
      </c>
      <c r="O265" s="656" t="str">
        <f ca="1">IF(O264="","",IFERROR(INDEX($E260:$BB260,MATCH(O264,$BD261:$DA261,0)),""))</f>
        <v/>
      </c>
      <c r="P265" s="656" t="str">
        <f t="shared" ref="P265:BB265" ca="1" si="113">IF(P264="","",IFERROR(INDEX($E260:$BB260,MATCH(P264,$BD261:$DA261,0)),""))</f>
        <v/>
      </c>
      <c r="Q265" s="656" t="str">
        <f t="shared" ca="1" si="113"/>
        <v/>
      </c>
      <c r="R265" s="656" t="str">
        <f t="shared" ca="1" si="113"/>
        <v/>
      </c>
      <c r="S265" s="656" t="str">
        <f t="shared" ca="1" si="113"/>
        <v/>
      </c>
      <c r="T265" s="656" t="str">
        <f t="shared" ca="1" si="113"/>
        <v/>
      </c>
      <c r="U265" s="656" t="str">
        <f t="shared" ca="1" si="113"/>
        <v/>
      </c>
      <c r="V265" s="656" t="str">
        <f t="shared" ca="1" si="113"/>
        <v/>
      </c>
      <c r="W265" s="656" t="str">
        <f t="shared" ca="1" si="113"/>
        <v/>
      </c>
      <c r="X265" s="656" t="str">
        <f t="shared" ca="1" si="113"/>
        <v/>
      </c>
      <c r="Y265" s="656" t="str">
        <f t="shared" ca="1" si="113"/>
        <v/>
      </c>
      <c r="Z265" s="656" t="str">
        <f t="shared" ca="1" si="113"/>
        <v/>
      </c>
      <c r="AA265" s="656" t="str">
        <f t="shared" ca="1" si="113"/>
        <v/>
      </c>
      <c r="AB265" s="656" t="str">
        <f t="shared" ca="1" si="113"/>
        <v/>
      </c>
      <c r="AC265" s="656" t="str">
        <f t="shared" ca="1" si="113"/>
        <v/>
      </c>
      <c r="AD265" s="656" t="str">
        <f t="shared" ca="1" si="113"/>
        <v/>
      </c>
      <c r="AE265" s="656" t="str">
        <f t="shared" ca="1" si="113"/>
        <v/>
      </c>
      <c r="AF265" s="656" t="str">
        <f t="shared" ca="1" si="113"/>
        <v/>
      </c>
      <c r="AG265" s="656" t="str">
        <f t="shared" ca="1" si="113"/>
        <v/>
      </c>
      <c r="AH265" s="656" t="str">
        <f t="shared" ca="1" si="113"/>
        <v/>
      </c>
      <c r="AI265" s="656" t="str">
        <f t="shared" ca="1" si="113"/>
        <v/>
      </c>
      <c r="AJ265" s="656" t="str">
        <f t="shared" ca="1" si="113"/>
        <v/>
      </c>
      <c r="AK265" s="656" t="str">
        <f t="shared" ca="1" si="113"/>
        <v/>
      </c>
      <c r="AL265" s="656" t="str">
        <f t="shared" ca="1" si="113"/>
        <v/>
      </c>
      <c r="AM265" s="656" t="str">
        <f t="shared" ca="1" si="113"/>
        <v/>
      </c>
      <c r="AN265" s="656" t="str">
        <f t="shared" ca="1" si="113"/>
        <v/>
      </c>
      <c r="AO265" s="656" t="str">
        <f t="shared" ca="1" si="113"/>
        <v/>
      </c>
      <c r="AP265" s="656" t="str">
        <f t="shared" ca="1" si="113"/>
        <v/>
      </c>
      <c r="AQ265" s="656" t="str">
        <f t="shared" ca="1" si="113"/>
        <v/>
      </c>
      <c r="AR265" s="656" t="str">
        <f t="shared" ca="1" si="113"/>
        <v/>
      </c>
      <c r="AS265" s="656" t="str">
        <f t="shared" ca="1" si="113"/>
        <v/>
      </c>
      <c r="AT265" s="656" t="str">
        <f t="shared" ca="1" si="113"/>
        <v/>
      </c>
      <c r="AU265" s="656" t="str">
        <f t="shared" ca="1" si="113"/>
        <v/>
      </c>
      <c r="AV265" s="656" t="str">
        <f t="shared" ca="1" si="113"/>
        <v/>
      </c>
      <c r="AW265" s="656" t="str">
        <f t="shared" ca="1" si="113"/>
        <v/>
      </c>
      <c r="AX265" s="656" t="str">
        <f t="shared" ca="1" si="113"/>
        <v/>
      </c>
      <c r="AY265" s="656" t="str">
        <f t="shared" ca="1" si="113"/>
        <v/>
      </c>
      <c r="AZ265" s="656" t="str">
        <f t="shared" ca="1" si="113"/>
        <v/>
      </c>
      <c r="BA265" s="657" t="str">
        <f t="shared" ca="1" si="113"/>
        <v/>
      </c>
      <c r="BB265" s="655" t="str">
        <f t="shared" ca="1" si="113"/>
        <v/>
      </c>
      <c r="IE265" s="658"/>
      <c r="IF265" s="658"/>
      <c r="IG265" s="658"/>
      <c r="IH265" s="658"/>
    </row>
    <row r="266" spans="1:242" s="197" customFormat="1" ht="19.8" hidden="1">
      <c r="A266" s="179"/>
      <c r="B266" s="1090"/>
      <c r="C266" s="227" t="s">
        <v>4289</v>
      </c>
      <c r="D266" s="228">
        <v>6</v>
      </c>
      <c r="E266" s="229" t="str">
        <f t="shared" ref="E266:AJ266" ca="1" si="114">IFERROR(OFFSET(貼付け_2024実績,$D266,E265+1)&amp;"","")</f>
        <v/>
      </c>
      <c r="F266" s="229" t="str">
        <f t="shared" ca="1" si="114"/>
        <v/>
      </c>
      <c r="G266" s="229" t="str">
        <f t="shared" ca="1" si="114"/>
        <v/>
      </c>
      <c r="H266" s="229" t="str">
        <f t="shared" ca="1" si="114"/>
        <v/>
      </c>
      <c r="I266" s="229" t="str">
        <f t="shared" ca="1" si="114"/>
        <v/>
      </c>
      <c r="J266" s="229" t="str">
        <f t="shared" ca="1" si="114"/>
        <v/>
      </c>
      <c r="K266" s="229" t="str">
        <f t="shared" ca="1" si="114"/>
        <v/>
      </c>
      <c r="L266" s="229" t="str">
        <f t="shared" ca="1" si="114"/>
        <v/>
      </c>
      <c r="M266" s="229" t="str">
        <f t="shared" ca="1" si="114"/>
        <v/>
      </c>
      <c r="N266" s="229" t="str">
        <f t="shared" ca="1" si="114"/>
        <v/>
      </c>
      <c r="O266" s="229" t="str">
        <f ca="1">IFERROR(OFFSET(貼付け_2024実績,$D266,O265+1)&amp;"","")</f>
        <v/>
      </c>
      <c r="P266" s="229" t="str">
        <f t="shared" ca="1" si="114"/>
        <v/>
      </c>
      <c r="Q266" s="229" t="str">
        <f t="shared" ca="1" si="114"/>
        <v/>
      </c>
      <c r="R266" s="229" t="str">
        <f t="shared" ca="1" si="114"/>
        <v/>
      </c>
      <c r="S266" s="229" t="str">
        <f t="shared" ca="1" si="114"/>
        <v/>
      </c>
      <c r="T266" s="229" t="str">
        <f t="shared" ca="1" si="114"/>
        <v/>
      </c>
      <c r="U266" s="229" t="str">
        <f t="shared" ca="1" si="114"/>
        <v/>
      </c>
      <c r="V266" s="229" t="str">
        <f t="shared" ca="1" si="114"/>
        <v/>
      </c>
      <c r="W266" s="229" t="str">
        <f t="shared" ca="1" si="114"/>
        <v/>
      </c>
      <c r="X266" s="229" t="str">
        <f t="shared" ca="1" si="114"/>
        <v/>
      </c>
      <c r="Y266" s="229" t="str">
        <f t="shared" ca="1" si="114"/>
        <v/>
      </c>
      <c r="Z266" s="229" t="str">
        <f t="shared" ca="1" si="114"/>
        <v/>
      </c>
      <c r="AA266" s="229" t="str">
        <f t="shared" ca="1" si="114"/>
        <v/>
      </c>
      <c r="AB266" s="229" t="str">
        <f t="shared" ca="1" si="114"/>
        <v/>
      </c>
      <c r="AC266" s="229" t="str">
        <f t="shared" ca="1" si="114"/>
        <v/>
      </c>
      <c r="AD266" s="229" t="str">
        <f t="shared" ca="1" si="114"/>
        <v/>
      </c>
      <c r="AE266" s="229" t="str">
        <f t="shared" ca="1" si="114"/>
        <v/>
      </c>
      <c r="AF266" s="229" t="str">
        <f t="shared" ca="1" si="114"/>
        <v/>
      </c>
      <c r="AG266" s="229" t="str">
        <f t="shared" ca="1" si="114"/>
        <v/>
      </c>
      <c r="AH266" s="229" t="str">
        <f t="shared" ca="1" si="114"/>
        <v/>
      </c>
      <c r="AI266" s="229" t="str">
        <f t="shared" ca="1" si="114"/>
        <v/>
      </c>
      <c r="AJ266" s="229" t="str">
        <f t="shared" ca="1" si="114"/>
        <v/>
      </c>
      <c r="AK266" s="229" t="str">
        <f t="shared" ref="AK266:BB266" ca="1" si="115">IFERROR(OFFSET(貼付け_2024実績,$D266,AK265+1)&amp;"","")</f>
        <v/>
      </c>
      <c r="AL266" s="229" t="str">
        <f t="shared" ca="1" si="115"/>
        <v/>
      </c>
      <c r="AM266" s="229" t="str">
        <f t="shared" ca="1" si="115"/>
        <v/>
      </c>
      <c r="AN266" s="229" t="str">
        <f t="shared" ca="1" si="115"/>
        <v/>
      </c>
      <c r="AO266" s="229" t="str">
        <f t="shared" ca="1" si="115"/>
        <v/>
      </c>
      <c r="AP266" s="229" t="str">
        <f t="shared" ca="1" si="115"/>
        <v/>
      </c>
      <c r="AQ266" s="229" t="str">
        <f t="shared" ca="1" si="115"/>
        <v/>
      </c>
      <c r="AR266" s="229" t="str">
        <f t="shared" ca="1" si="115"/>
        <v/>
      </c>
      <c r="AS266" s="229" t="str">
        <f t="shared" ca="1" si="115"/>
        <v/>
      </c>
      <c r="AT266" s="229" t="str">
        <f t="shared" ca="1" si="115"/>
        <v/>
      </c>
      <c r="AU266" s="229" t="str">
        <f t="shared" ca="1" si="115"/>
        <v/>
      </c>
      <c r="AV266" s="229" t="str">
        <f t="shared" ca="1" si="115"/>
        <v/>
      </c>
      <c r="AW266" s="229" t="str">
        <f t="shared" ca="1" si="115"/>
        <v/>
      </c>
      <c r="AX266" s="229" t="str">
        <f t="shared" ca="1" si="115"/>
        <v/>
      </c>
      <c r="AY266" s="229" t="str">
        <f t="shared" ca="1" si="115"/>
        <v/>
      </c>
      <c r="AZ266" s="229" t="str">
        <f t="shared" ca="1" si="115"/>
        <v/>
      </c>
      <c r="BA266" s="230" t="str">
        <f t="shared" ca="1" si="115"/>
        <v/>
      </c>
      <c r="BB266" s="228" t="str">
        <f t="shared" ca="1" si="115"/>
        <v/>
      </c>
      <c r="BC266" s="231"/>
      <c r="IE266" s="219"/>
      <c r="IF266" s="219"/>
      <c r="IG266" s="219"/>
      <c r="IH266" s="219"/>
    </row>
    <row r="267" spans="1:242" s="197" customFormat="1" ht="20.100000000000001" hidden="1" customHeight="1">
      <c r="A267" s="179"/>
      <c r="B267" s="1090"/>
      <c r="C267" s="232" t="s">
        <v>4290</v>
      </c>
      <c r="D267" s="233">
        <v>99</v>
      </c>
      <c r="E267" s="234" t="str">
        <f t="shared" ref="E267:AJ267" ca="1" si="116">IFERROR(OFFSET(貼付け_2024実績,$D267,E265),"")&amp;""</f>
        <v/>
      </c>
      <c r="F267" s="234" t="str">
        <f t="shared" ca="1" si="116"/>
        <v/>
      </c>
      <c r="G267" s="234" t="str">
        <f t="shared" ca="1" si="116"/>
        <v/>
      </c>
      <c r="H267" s="234" t="str">
        <f t="shared" ca="1" si="116"/>
        <v/>
      </c>
      <c r="I267" s="234" t="str">
        <f t="shared" ca="1" si="116"/>
        <v/>
      </c>
      <c r="J267" s="234" t="str">
        <f t="shared" ca="1" si="116"/>
        <v/>
      </c>
      <c r="K267" s="234" t="str">
        <f t="shared" ca="1" si="116"/>
        <v/>
      </c>
      <c r="L267" s="234" t="str">
        <f t="shared" ca="1" si="116"/>
        <v/>
      </c>
      <c r="M267" s="234" t="str">
        <f t="shared" ca="1" si="116"/>
        <v/>
      </c>
      <c r="N267" s="234" t="str">
        <f t="shared" ca="1" si="116"/>
        <v/>
      </c>
      <c r="O267" s="234" t="str">
        <f ca="1">IFERROR(OFFSET(貼付け_2024実績,$D267,O265),"")&amp;""</f>
        <v/>
      </c>
      <c r="P267" s="234" t="str">
        <f t="shared" ca="1" si="116"/>
        <v/>
      </c>
      <c r="Q267" s="234" t="str">
        <f t="shared" ca="1" si="116"/>
        <v/>
      </c>
      <c r="R267" s="234" t="str">
        <f t="shared" ca="1" si="116"/>
        <v/>
      </c>
      <c r="S267" s="234" t="str">
        <f t="shared" ca="1" si="116"/>
        <v/>
      </c>
      <c r="T267" s="234" t="str">
        <f t="shared" ca="1" si="116"/>
        <v/>
      </c>
      <c r="U267" s="234" t="str">
        <f t="shared" ca="1" si="116"/>
        <v/>
      </c>
      <c r="V267" s="234" t="str">
        <f t="shared" ca="1" si="116"/>
        <v/>
      </c>
      <c r="W267" s="234" t="str">
        <f t="shared" ca="1" si="116"/>
        <v/>
      </c>
      <c r="X267" s="234" t="str">
        <f t="shared" ca="1" si="116"/>
        <v/>
      </c>
      <c r="Y267" s="234" t="str">
        <f t="shared" ca="1" si="116"/>
        <v/>
      </c>
      <c r="Z267" s="234" t="str">
        <f t="shared" ca="1" si="116"/>
        <v/>
      </c>
      <c r="AA267" s="234" t="str">
        <f t="shared" ca="1" si="116"/>
        <v/>
      </c>
      <c r="AB267" s="234" t="str">
        <f t="shared" ca="1" si="116"/>
        <v/>
      </c>
      <c r="AC267" s="234" t="str">
        <f t="shared" ca="1" si="116"/>
        <v/>
      </c>
      <c r="AD267" s="234" t="str">
        <f t="shared" ca="1" si="116"/>
        <v/>
      </c>
      <c r="AE267" s="234" t="str">
        <f t="shared" ca="1" si="116"/>
        <v/>
      </c>
      <c r="AF267" s="234" t="str">
        <f t="shared" ca="1" si="116"/>
        <v/>
      </c>
      <c r="AG267" s="234" t="str">
        <f t="shared" ca="1" si="116"/>
        <v/>
      </c>
      <c r="AH267" s="234" t="str">
        <f t="shared" ca="1" si="116"/>
        <v/>
      </c>
      <c r="AI267" s="234" t="str">
        <f t="shared" ca="1" si="116"/>
        <v/>
      </c>
      <c r="AJ267" s="234" t="str">
        <f t="shared" ca="1" si="116"/>
        <v/>
      </c>
      <c r="AK267" s="234" t="str">
        <f t="shared" ref="AK267:BB267" ca="1" si="117">IFERROR(OFFSET(貼付け_2024実績,$D267,AK265),"")&amp;""</f>
        <v/>
      </c>
      <c r="AL267" s="234" t="str">
        <f t="shared" ca="1" si="117"/>
        <v/>
      </c>
      <c r="AM267" s="234" t="str">
        <f t="shared" ca="1" si="117"/>
        <v/>
      </c>
      <c r="AN267" s="234" t="str">
        <f t="shared" ca="1" si="117"/>
        <v/>
      </c>
      <c r="AO267" s="234" t="str">
        <f t="shared" ca="1" si="117"/>
        <v/>
      </c>
      <c r="AP267" s="234" t="str">
        <f t="shared" ca="1" si="117"/>
        <v/>
      </c>
      <c r="AQ267" s="234" t="str">
        <f t="shared" ca="1" si="117"/>
        <v/>
      </c>
      <c r="AR267" s="234" t="str">
        <f t="shared" ca="1" si="117"/>
        <v/>
      </c>
      <c r="AS267" s="234" t="str">
        <f t="shared" ca="1" si="117"/>
        <v/>
      </c>
      <c r="AT267" s="234" t="str">
        <f t="shared" ca="1" si="117"/>
        <v/>
      </c>
      <c r="AU267" s="234" t="str">
        <f t="shared" ca="1" si="117"/>
        <v/>
      </c>
      <c r="AV267" s="234" t="str">
        <f t="shared" ca="1" si="117"/>
        <v/>
      </c>
      <c r="AW267" s="234" t="str">
        <f t="shared" ca="1" si="117"/>
        <v/>
      </c>
      <c r="AX267" s="234" t="str">
        <f t="shared" ca="1" si="117"/>
        <v/>
      </c>
      <c r="AY267" s="234" t="str">
        <f t="shared" ca="1" si="117"/>
        <v/>
      </c>
      <c r="AZ267" s="234" t="str">
        <f t="shared" ca="1" si="117"/>
        <v/>
      </c>
      <c r="BA267" s="234" t="str">
        <f t="shared" ca="1" si="117"/>
        <v/>
      </c>
      <c r="BB267" s="233" t="str">
        <f t="shared" ca="1" si="117"/>
        <v/>
      </c>
      <c r="IE267" s="219"/>
      <c r="IF267" s="219"/>
      <c r="IG267" s="219"/>
      <c r="IH267" s="219"/>
    </row>
    <row r="268" spans="1:242" s="197" customFormat="1" ht="20.100000000000001" hidden="1" customHeight="1">
      <c r="A268" s="179"/>
      <c r="B268" s="1090"/>
      <c r="C268" s="232" t="s">
        <v>4291</v>
      </c>
      <c r="D268" s="233">
        <v>6</v>
      </c>
      <c r="E268" s="234" t="str">
        <f t="shared" ref="E268:AJ268" ca="1" si="118">IFERROR(OFFSET(A1_集計2024,$D268,E265),"")</f>
        <v/>
      </c>
      <c r="F268" s="234" t="str">
        <f t="shared" ca="1" si="118"/>
        <v/>
      </c>
      <c r="G268" s="234" t="str">
        <f t="shared" ca="1" si="118"/>
        <v/>
      </c>
      <c r="H268" s="234" t="str">
        <f t="shared" ca="1" si="118"/>
        <v/>
      </c>
      <c r="I268" s="234" t="str">
        <f t="shared" ca="1" si="118"/>
        <v/>
      </c>
      <c r="J268" s="234" t="str">
        <f t="shared" ca="1" si="118"/>
        <v/>
      </c>
      <c r="K268" s="234" t="str">
        <f t="shared" ca="1" si="118"/>
        <v/>
      </c>
      <c r="L268" s="234" t="str">
        <f t="shared" ca="1" si="118"/>
        <v/>
      </c>
      <c r="M268" s="234" t="str">
        <f t="shared" ca="1" si="118"/>
        <v/>
      </c>
      <c r="N268" s="234" t="str">
        <f t="shared" ca="1" si="118"/>
        <v/>
      </c>
      <c r="O268" s="234" t="str">
        <f ca="1">IFERROR(OFFSET(A1_集計2024,$D268,O265),"")</f>
        <v/>
      </c>
      <c r="P268" s="234" t="str">
        <f t="shared" ca="1" si="118"/>
        <v/>
      </c>
      <c r="Q268" s="234" t="str">
        <f t="shared" ca="1" si="118"/>
        <v/>
      </c>
      <c r="R268" s="234" t="str">
        <f t="shared" ca="1" si="118"/>
        <v/>
      </c>
      <c r="S268" s="234" t="str">
        <f t="shared" ca="1" si="118"/>
        <v/>
      </c>
      <c r="T268" s="234" t="str">
        <f t="shared" ca="1" si="118"/>
        <v/>
      </c>
      <c r="U268" s="234" t="str">
        <f t="shared" ca="1" si="118"/>
        <v/>
      </c>
      <c r="V268" s="234" t="str">
        <f t="shared" ca="1" si="118"/>
        <v/>
      </c>
      <c r="W268" s="234" t="str">
        <f t="shared" ca="1" si="118"/>
        <v/>
      </c>
      <c r="X268" s="234" t="str">
        <f t="shared" ca="1" si="118"/>
        <v/>
      </c>
      <c r="Y268" s="234" t="str">
        <f t="shared" ca="1" si="118"/>
        <v/>
      </c>
      <c r="Z268" s="234" t="str">
        <f t="shared" ca="1" si="118"/>
        <v/>
      </c>
      <c r="AA268" s="234" t="str">
        <f t="shared" ca="1" si="118"/>
        <v/>
      </c>
      <c r="AB268" s="234" t="str">
        <f t="shared" ca="1" si="118"/>
        <v/>
      </c>
      <c r="AC268" s="234" t="str">
        <f t="shared" ca="1" si="118"/>
        <v/>
      </c>
      <c r="AD268" s="234" t="str">
        <f t="shared" ca="1" si="118"/>
        <v/>
      </c>
      <c r="AE268" s="234" t="str">
        <f t="shared" ca="1" si="118"/>
        <v/>
      </c>
      <c r="AF268" s="234" t="str">
        <f t="shared" ca="1" si="118"/>
        <v/>
      </c>
      <c r="AG268" s="234" t="str">
        <f t="shared" ca="1" si="118"/>
        <v/>
      </c>
      <c r="AH268" s="234" t="str">
        <f t="shared" ca="1" si="118"/>
        <v/>
      </c>
      <c r="AI268" s="234" t="str">
        <f t="shared" ca="1" si="118"/>
        <v/>
      </c>
      <c r="AJ268" s="234" t="str">
        <f t="shared" ca="1" si="118"/>
        <v/>
      </c>
      <c r="AK268" s="234" t="str">
        <f t="shared" ref="AK268:BB268" ca="1" si="119">IFERROR(OFFSET(A1_集計2024,$D268,AK265),"")</f>
        <v/>
      </c>
      <c r="AL268" s="234" t="str">
        <f t="shared" ca="1" si="119"/>
        <v/>
      </c>
      <c r="AM268" s="234" t="str">
        <f t="shared" ca="1" si="119"/>
        <v/>
      </c>
      <c r="AN268" s="234" t="str">
        <f t="shared" ca="1" si="119"/>
        <v/>
      </c>
      <c r="AO268" s="234" t="str">
        <f t="shared" ca="1" si="119"/>
        <v/>
      </c>
      <c r="AP268" s="234" t="str">
        <f t="shared" ca="1" si="119"/>
        <v/>
      </c>
      <c r="AQ268" s="234" t="str">
        <f t="shared" ca="1" si="119"/>
        <v/>
      </c>
      <c r="AR268" s="234" t="str">
        <f t="shared" ca="1" si="119"/>
        <v/>
      </c>
      <c r="AS268" s="234" t="str">
        <f t="shared" ca="1" si="119"/>
        <v/>
      </c>
      <c r="AT268" s="234" t="str">
        <f t="shared" ca="1" si="119"/>
        <v/>
      </c>
      <c r="AU268" s="234" t="str">
        <f t="shared" ca="1" si="119"/>
        <v/>
      </c>
      <c r="AV268" s="234" t="str">
        <f t="shared" ca="1" si="119"/>
        <v/>
      </c>
      <c r="AW268" s="234" t="str">
        <f t="shared" ca="1" si="119"/>
        <v/>
      </c>
      <c r="AX268" s="234" t="str">
        <f t="shared" ca="1" si="119"/>
        <v/>
      </c>
      <c r="AY268" s="234" t="str">
        <f t="shared" ca="1" si="119"/>
        <v/>
      </c>
      <c r="AZ268" s="234" t="str">
        <f t="shared" ca="1" si="119"/>
        <v/>
      </c>
      <c r="BA268" s="224" t="str">
        <f t="shared" ca="1" si="119"/>
        <v/>
      </c>
      <c r="BB268" s="233" t="str">
        <f t="shared" ca="1" si="119"/>
        <v/>
      </c>
      <c r="IE268" s="219"/>
      <c r="IF268" s="219"/>
      <c r="IG268" s="219"/>
      <c r="IH268" s="219"/>
    </row>
    <row r="269" spans="1:242" s="197" customFormat="1" ht="20.100000000000001" hidden="1" customHeight="1">
      <c r="A269" s="179"/>
      <c r="B269" s="1090"/>
      <c r="C269" s="232" t="s">
        <v>4292</v>
      </c>
      <c r="D269" s="233">
        <v>101</v>
      </c>
      <c r="E269" s="234" t="str">
        <f t="shared" ref="E269:AJ269" ca="1" si="120">IFERROR(OFFSET(貼付け_2024実績,$D269,E265),"")</f>
        <v/>
      </c>
      <c r="F269" s="234" t="str">
        <f t="shared" ca="1" si="120"/>
        <v/>
      </c>
      <c r="G269" s="234" t="str">
        <f t="shared" ca="1" si="120"/>
        <v/>
      </c>
      <c r="H269" s="234" t="str">
        <f t="shared" ca="1" si="120"/>
        <v/>
      </c>
      <c r="I269" s="234" t="str">
        <f t="shared" ca="1" si="120"/>
        <v/>
      </c>
      <c r="J269" s="234" t="str">
        <f t="shared" ca="1" si="120"/>
        <v/>
      </c>
      <c r="K269" s="234" t="str">
        <f t="shared" ca="1" si="120"/>
        <v/>
      </c>
      <c r="L269" s="234" t="str">
        <f t="shared" ca="1" si="120"/>
        <v/>
      </c>
      <c r="M269" s="234" t="str">
        <f t="shared" ca="1" si="120"/>
        <v/>
      </c>
      <c r="N269" s="234" t="str">
        <f t="shared" ca="1" si="120"/>
        <v/>
      </c>
      <c r="O269" s="234" t="str">
        <f ca="1">IFERROR(OFFSET(貼付け_2024実績,$D269,O265),"")</f>
        <v/>
      </c>
      <c r="P269" s="234" t="str">
        <f t="shared" ca="1" si="120"/>
        <v/>
      </c>
      <c r="Q269" s="234" t="str">
        <f t="shared" ca="1" si="120"/>
        <v/>
      </c>
      <c r="R269" s="234" t="str">
        <f t="shared" ca="1" si="120"/>
        <v/>
      </c>
      <c r="S269" s="234" t="str">
        <f t="shared" ca="1" si="120"/>
        <v/>
      </c>
      <c r="T269" s="234" t="str">
        <f t="shared" ca="1" si="120"/>
        <v/>
      </c>
      <c r="U269" s="234" t="str">
        <f t="shared" ca="1" si="120"/>
        <v/>
      </c>
      <c r="V269" s="234" t="str">
        <f t="shared" ca="1" si="120"/>
        <v/>
      </c>
      <c r="W269" s="234" t="str">
        <f t="shared" ca="1" si="120"/>
        <v/>
      </c>
      <c r="X269" s="234" t="str">
        <f t="shared" ca="1" si="120"/>
        <v/>
      </c>
      <c r="Y269" s="234" t="str">
        <f t="shared" ca="1" si="120"/>
        <v/>
      </c>
      <c r="Z269" s="234" t="str">
        <f t="shared" ca="1" si="120"/>
        <v/>
      </c>
      <c r="AA269" s="234" t="str">
        <f t="shared" ca="1" si="120"/>
        <v/>
      </c>
      <c r="AB269" s="234" t="str">
        <f t="shared" ca="1" si="120"/>
        <v/>
      </c>
      <c r="AC269" s="234" t="str">
        <f t="shared" ca="1" si="120"/>
        <v/>
      </c>
      <c r="AD269" s="234" t="str">
        <f t="shared" ca="1" si="120"/>
        <v/>
      </c>
      <c r="AE269" s="234" t="str">
        <f t="shared" ca="1" si="120"/>
        <v/>
      </c>
      <c r="AF269" s="234" t="str">
        <f t="shared" ca="1" si="120"/>
        <v/>
      </c>
      <c r="AG269" s="234" t="str">
        <f t="shared" ca="1" si="120"/>
        <v/>
      </c>
      <c r="AH269" s="234" t="str">
        <f t="shared" ca="1" si="120"/>
        <v/>
      </c>
      <c r="AI269" s="234" t="str">
        <f t="shared" ca="1" si="120"/>
        <v/>
      </c>
      <c r="AJ269" s="234" t="str">
        <f t="shared" ca="1" si="120"/>
        <v/>
      </c>
      <c r="AK269" s="234" t="str">
        <f t="shared" ref="AK269:BB269" ca="1" si="121">IFERROR(OFFSET(貼付け_2024実績,$D269,AK265),"")</f>
        <v/>
      </c>
      <c r="AL269" s="234" t="str">
        <f t="shared" ca="1" si="121"/>
        <v/>
      </c>
      <c r="AM269" s="234" t="str">
        <f t="shared" ca="1" si="121"/>
        <v/>
      </c>
      <c r="AN269" s="234" t="str">
        <f t="shared" ca="1" si="121"/>
        <v/>
      </c>
      <c r="AO269" s="234" t="str">
        <f t="shared" ca="1" si="121"/>
        <v/>
      </c>
      <c r="AP269" s="234" t="str">
        <f t="shared" ca="1" si="121"/>
        <v/>
      </c>
      <c r="AQ269" s="234" t="str">
        <f t="shared" ca="1" si="121"/>
        <v/>
      </c>
      <c r="AR269" s="234" t="str">
        <f t="shared" ca="1" si="121"/>
        <v/>
      </c>
      <c r="AS269" s="234" t="str">
        <f t="shared" ca="1" si="121"/>
        <v/>
      </c>
      <c r="AT269" s="234" t="str">
        <f t="shared" ca="1" si="121"/>
        <v/>
      </c>
      <c r="AU269" s="234" t="str">
        <f t="shared" ca="1" si="121"/>
        <v/>
      </c>
      <c r="AV269" s="234" t="str">
        <f t="shared" ca="1" si="121"/>
        <v/>
      </c>
      <c r="AW269" s="234" t="str">
        <f t="shared" ca="1" si="121"/>
        <v/>
      </c>
      <c r="AX269" s="234" t="str">
        <f t="shared" ca="1" si="121"/>
        <v/>
      </c>
      <c r="AY269" s="234" t="str">
        <f t="shared" ca="1" si="121"/>
        <v/>
      </c>
      <c r="AZ269" s="234" t="str">
        <f t="shared" ca="1" si="121"/>
        <v/>
      </c>
      <c r="BA269" s="224" t="str">
        <f t="shared" ca="1" si="121"/>
        <v/>
      </c>
      <c r="BB269" s="233" t="str">
        <f t="shared" ca="1" si="121"/>
        <v/>
      </c>
      <c r="IE269" s="219"/>
      <c r="IF269" s="219"/>
      <c r="IG269" s="219"/>
      <c r="IH269" s="219"/>
    </row>
    <row r="270" spans="1:242" s="197" customFormat="1" ht="20.100000000000001" hidden="1" customHeight="1">
      <c r="A270" s="179"/>
      <c r="B270" s="1090"/>
      <c r="C270" s="232" t="s">
        <v>4293</v>
      </c>
      <c r="D270" s="233"/>
      <c r="E270" s="234" t="str">
        <f ca="1">IFERROR(E268/E269,"")</f>
        <v/>
      </c>
      <c r="F270" s="234" t="str">
        <f t="shared" ref="F270:BB270" ca="1" si="122">IFERROR(F268/F269,"")</f>
        <v/>
      </c>
      <c r="G270" s="234" t="str">
        <f t="shared" ca="1" si="122"/>
        <v/>
      </c>
      <c r="H270" s="234" t="str">
        <f t="shared" ca="1" si="122"/>
        <v/>
      </c>
      <c r="I270" s="234" t="str">
        <f t="shared" ca="1" si="122"/>
        <v/>
      </c>
      <c r="J270" s="234" t="str">
        <f t="shared" ca="1" si="122"/>
        <v/>
      </c>
      <c r="K270" s="234" t="str">
        <f t="shared" ca="1" si="122"/>
        <v/>
      </c>
      <c r="L270" s="234" t="str">
        <f t="shared" ca="1" si="122"/>
        <v/>
      </c>
      <c r="M270" s="234" t="str">
        <f t="shared" ca="1" si="122"/>
        <v/>
      </c>
      <c r="N270" s="234" t="str">
        <f t="shared" ca="1" si="122"/>
        <v/>
      </c>
      <c r="O270" s="234" t="str">
        <f t="shared" ca="1" si="122"/>
        <v/>
      </c>
      <c r="P270" s="234" t="str">
        <f t="shared" ca="1" si="122"/>
        <v/>
      </c>
      <c r="Q270" s="234" t="str">
        <f t="shared" ca="1" si="122"/>
        <v/>
      </c>
      <c r="R270" s="234" t="str">
        <f t="shared" ca="1" si="122"/>
        <v/>
      </c>
      <c r="S270" s="234" t="str">
        <f t="shared" ca="1" si="122"/>
        <v/>
      </c>
      <c r="T270" s="234" t="str">
        <f t="shared" ca="1" si="122"/>
        <v/>
      </c>
      <c r="U270" s="234" t="str">
        <f t="shared" ca="1" si="122"/>
        <v/>
      </c>
      <c r="V270" s="234" t="str">
        <f t="shared" ca="1" si="122"/>
        <v/>
      </c>
      <c r="W270" s="234" t="str">
        <f t="shared" ca="1" si="122"/>
        <v/>
      </c>
      <c r="X270" s="234" t="str">
        <f t="shared" ca="1" si="122"/>
        <v/>
      </c>
      <c r="Y270" s="234" t="str">
        <f t="shared" ca="1" si="122"/>
        <v/>
      </c>
      <c r="Z270" s="234" t="str">
        <f t="shared" ca="1" si="122"/>
        <v/>
      </c>
      <c r="AA270" s="234" t="str">
        <f t="shared" ca="1" si="122"/>
        <v/>
      </c>
      <c r="AB270" s="234" t="str">
        <f t="shared" ca="1" si="122"/>
        <v/>
      </c>
      <c r="AC270" s="234" t="str">
        <f t="shared" ca="1" si="122"/>
        <v/>
      </c>
      <c r="AD270" s="234" t="str">
        <f t="shared" ca="1" si="122"/>
        <v/>
      </c>
      <c r="AE270" s="234" t="str">
        <f t="shared" ca="1" si="122"/>
        <v/>
      </c>
      <c r="AF270" s="234" t="str">
        <f t="shared" ca="1" si="122"/>
        <v/>
      </c>
      <c r="AG270" s="234" t="str">
        <f t="shared" ca="1" si="122"/>
        <v/>
      </c>
      <c r="AH270" s="234" t="str">
        <f t="shared" ca="1" si="122"/>
        <v/>
      </c>
      <c r="AI270" s="234" t="str">
        <f t="shared" ca="1" si="122"/>
        <v/>
      </c>
      <c r="AJ270" s="234" t="str">
        <f t="shared" ca="1" si="122"/>
        <v/>
      </c>
      <c r="AK270" s="234" t="str">
        <f t="shared" ca="1" si="122"/>
        <v/>
      </c>
      <c r="AL270" s="234" t="str">
        <f t="shared" ca="1" si="122"/>
        <v/>
      </c>
      <c r="AM270" s="234" t="str">
        <f t="shared" ca="1" si="122"/>
        <v/>
      </c>
      <c r="AN270" s="234" t="str">
        <f t="shared" ca="1" si="122"/>
        <v/>
      </c>
      <c r="AO270" s="234" t="str">
        <f t="shared" ca="1" si="122"/>
        <v/>
      </c>
      <c r="AP270" s="234" t="str">
        <f t="shared" ca="1" si="122"/>
        <v/>
      </c>
      <c r="AQ270" s="234" t="str">
        <f t="shared" ca="1" si="122"/>
        <v/>
      </c>
      <c r="AR270" s="234" t="str">
        <f t="shared" ca="1" si="122"/>
        <v/>
      </c>
      <c r="AS270" s="234" t="str">
        <f t="shared" ca="1" si="122"/>
        <v/>
      </c>
      <c r="AT270" s="234" t="str">
        <f t="shared" ca="1" si="122"/>
        <v/>
      </c>
      <c r="AU270" s="234" t="str">
        <f t="shared" ca="1" si="122"/>
        <v/>
      </c>
      <c r="AV270" s="234" t="str">
        <f t="shared" ca="1" si="122"/>
        <v/>
      </c>
      <c r="AW270" s="234" t="str">
        <f t="shared" ca="1" si="122"/>
        <v/>
      </c>
      <c r="AX270" s="234" t="str">
        <f t="shared" ca="1" si="122"/>
        <v/>
      </c>
      <c r="AY270" s="234" t="str">
        <f t="shared" ca="1" si="122"/>
        <v/>
      </c>
      <c r="AZ270" s="234" t="str">
        <f t="shared" ca="1" si="122"/>
        <v/>
      </c>
      <c r="BA270" s="224" t="str">
        <f t="shared" ca="1" si="122"/>
        <v/>
      </c>
      <c r="BB270" s="233" t="str">
        <f t="shared" ca="1" si="122"/>
        <v/>
      </c>
      <c r="IE270" s="219"/>
      <c r="IF270" s="219"/>
      <c r="IG270" s="219"/>
      <c r="IH270" s="219"/>
    </row>
    <row r="271" spans="1:242" s="197" customFormat="1" ht="20.100000000000001" hidden="1" customHeight="1" thickBot="1">
      <c r="A271" s="179"/>
      <c r="B271" s="1091"/>
      <c r="C271" s="235" t="s">
        <v>4294</v>
      </c>
      <c r="D271" s="236">
        <v>24</v>
      </c>
      <c r="E271" s="237"/>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6"/>
      <c r="IE271" s="219"/>
      <c r="IF271" s="219"/>
      <c r="IG271" s="219"/>
      <c r="IH271" s="219"/>
    </row>
    <row r="272" spans="1:242" ht="19.5" hidden="1" customHeight="1">
      <c r="A272" s="179"/>
      <c r="B272" s="1089" t="s">
        <v>4295</v>
      </c>
      <c r="C272" s="651" t="s">
        <v>4285</v>
      </c>
      <c r="D272" s="652">
        <v>2024</v>
      </c>
      <c r="E272" s="653">
        <f ca="1">IFERROR(MATCH($B272&amp;E$247,OFFSET(INDIRECT("貼付け_"&amp;$D272&amp;"実績"),4,0,1,209),0)-1,"")</f>
        <v>9</v>
      </c>
      <c r="F272" s="653">
        <f t="shared" ref="F272:BB272" ca="1" si="123">IFERROR(MATCH($B272&amp;F$247,OFFSET(INDIRECT("貼付け_"&amp;$D272&amp;"実績"),4,0,1,209),0)-1,"")</f>
        <v>13</v>
      </c>
      <c r="G272" s="653">
        <f t="shared" ca="1" si="123"/>
        <v>17</v>
      </c>
      <c r="H272" s="653">
        <f t="shared" ca="1" si="123"/>
        <v>109</v>
      </c>
      <c r="I272" s="653">
        <f t="shared" ca="1" si="123"/>
        <v>113</v>
      </c>
      <c r="J272" s="653">
        <f t="shared" ca="1" si="123"/>
        <v>117</v>
      </c>
      <c r="K272" s="653">
        <f t="shared" ca="1" si="123"/>
        <v>121</v>
      </c>
      <c r="L272" s="653">
        <f t="shared" ca="1" si="123"/>
        <v>125</v>
      </c>
      <c r="M272" s="653">
        <f t="shared" ca="1" si="123"/>
        <v>129</v>
      </c>
      <c r="N272" s="653">
        <f t="shared" ca="1" si="123"/>
        <v>133</v>
      </c>
      <c r="O272" s="653" t="str">
        <f ca="1">IFERROR(MATCH($B272&amp;O$247,OFFSET(INDIRECT("貼付け_"&amp;$D272&amp;"実績"),4,0,1,209),0)-1,"")</f>
        <v/>
      </c>
      <c r="P272" s="653" t="str">
        <f t="shared" ca="1" si="123"/>
        <v/>
      </c>
      <c r="Q272" s="653" t="str">
        <f t="shared" ca="1" si="123"/>
        <v/>
      </c>
      <c r="R272" s="653" t="str">
        <f t="shared" ca="1" si="123"/>
        <v/>
      </c>
      <c r="S272" s="653" t="str">
        <f t="shared" ca="1" si="123"/>
        <v/>
      </c>
      <c r="T272" s="653" t="str">
        <f t="shared" ca="1" si="123"/>
        <v/>
      </c>
      <c r="U272" s="653" t="str">
        <f t="shared" ca="1" si="123"/>
        <v/>
      </c>
      <c r="V272" s="653" t="str">
        <f t="shared" ca="1" si="123"/>
        <v/>
      </c>
      <c r="W272" s="653" t="str">
        <f t="shared" ca="1" si="123"/>
        <v/>
      </c>
      <c r="X272" s="653" t="str">
        <f t="shared" ca="1" si="123"/>
        <v/>
      </c>
      <c r="Y272" s="653" t="str">
        <f t="shared" ca="1" si="123"/>
        <v/>
      </c>
      <c r="Z272" s="653" t="str">
        <f t="shared" ca="1" si="123"/>
        <v/>
      </c>
      <c r="AA272" s="653" t="str">
        <f t="shared" ca="1" si="123"/>
        <v/>
      </c>
      <c r="AB272" s="653" t="str">
        <f t="shared" ca="1" si="123"/>
        <v/>
      </c>
      <c r="AC272" s="653" t="str">
        <f t="shared" ca="1" si="123"/>
        <v/>
      </c>
      <c r="AD272" s="653" t="str">
        <f t="shared" ca="1" si="123"/>
        <v/>
      </c>
      <c r="AE272" s="653" t="str">
        <f t="shared" ca="1" si="123"/>
        <v/>
      </c>
      <c r="AF272" s="653" t="str">
        <f t="shared" ca="1" si="123"/>
        <v/>
      </c>
      <c r="AG272" s="653" t="str">
        <f t="shared" ca="1" si="123"/>
        <v/>
      </c>
      <c r="AH272" s="653" t="str">
        <f t="shared" ca="1" si="123"/>
        <v/>
      </c>
      <c r="AI272" s="653" t="str">
        <f t="shared" ca="1" si="123"/>
        <v/>
      </c>
      <c r="AJ272" s="653" t="str">
        <f t="shared" ca="1" si="123"/>
        <v/>
      </c>
      <c r="AK272" s="653" t="str">
        <f t="shared" ca="1" si="123"/>
        <v/>
      </c>
      <c r="AL272" s="653" t="str">
        <f t="shared" ca="1" si="123"/>
        <v/>
      </c>
      <c r="AM272" s="653" t="str">
        <f t="shared" ca="1" si="123"/>
        <v/>
      </c>
      <c r="AN272" s="653" t="str">
        <f t="shared" ca="1" si="123"/>
        <v/>
      </c>
      <c r="AO272" s="653" t="str">
        <f t="shared" ca="1" si="123"/>
        <v/>
      </c>
      <c r="AP272" s="653" t="str">
        <f t="shared" ca="1" si="123"/>
        <v/>
      </c>
      <c r="AQ272" s="653" t="str">
        <f t="shared" ca="1" si="123"/>
        <v/>
      </c>
      <c r="AR272" s="653" t="str">
        <f t="shared" ca="1" si="123"/>
        <v/>
      </c>
      <c r="AS272" s="653" t="str">
        <f t="shared" ca="1" si="123"/>
        <v/>
      </c>
      <c r="AT272" s="653" t="str">
        <f t="shared" ca="1" si="123"/>
        <v/>
      </c>
      <c r="AU272" s="653" t="str">
        <f t="shared" ca="1" si="123"/>
        <v/>
      </c>
      <c r="AV272" s="653" t="str">
        <f t="shared" ca="1" si="123"/>
        <v/>
      </c>
      <c r="AW272" s="653" t="str">
        <f t="shared" ca="1" si="123"/>
        <v/>
      </c>
      <c r="AX272" s="653" t="str">
        <f t="shared" ca="1" si="123"/>
        <v/>
      </c>
      <c r="AY272" s="653" t="str">
        <f t="shared" ca="1" si="123"/>
        <v/>
      </c>
      <c r="AZ272" s="653" t="str">
        <f t="shared" ca="1" si="123"/>
        <v/>
      </c>
      <c r="BA272" s="653" t="str">
        <f t="shared" ca="1" si="123"/>
        <v/>
      </c>
      <c r="BB272" s="652" t="str">
        <f t="shared" ca="1" si="123"/>
        <v/>
      </c>
      <c r="BC272" s="180" t="str">
        <f>D272&amp;"年度"</f>
        <v>2024年度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row>
    <row r="273" spans="1:242" s="179" customFormat="1" ht="18.75" hidden="1" customHeight="1">
      <c r="B273" s="1090"/>
      <c r="C273" s="654" t="str">
        <f>D272-1&amp;"/"&amp;D272</f>
        <v>2023/2024</v>
      </c>
      <c r="D273" s="655" t="str">
        <f>""</f>
        <v/>
      </c>
      <c r="E273" s="656" t="str">
        <f>""</f>
        <v/>
      </c>
      <c r="F273" s="656" t="str">
        <f>""</f>
        <v/>
      </c>
      <c r="G273" s="656" t="str">
        <f>""</f>
        <v/>
      </c>
      <c r="H273" s="656" t="str">
        <f>""</f>
        <v/>
      </c>
      <c r="I273" s="656" t="str">
        <f>""</f>
        <v/>
      </c>
      <c r="J273" s="656" t="str">
        <f>""</f>
        <v/>
      </c>
      <c r="K273" s="656" t="str">
        <f>""</f>
        <v/>
      </c>
      <c r="L273" s="656" t="str">
        <f>""</f>
        <v/>
      </c>
      <c r="M273" s="656" t="str">
        <f>""</f>
        <v/>
      </c>
      <c r="N273" s="656" t="str">
        <f>""</f>
        <v/>
      </c>
      <c r="O273" s="656" t="str">
        <f>""</f>
        <v/>
      </c>
      <c r="P273" s="656" t="str">
        <f>""</f>
        <v/>
      </c>
      <c r="Q273" s="656" t="str">
        <f>""</f>
        <v/>
      </c>
      <c r="R273" s="656" t="str">
        <f>""</f>
        <v/>
      </c>
      <c r="S273" s="656" t="str">
        <f>""</f>
        <v/>
      </c>
      <c r="T273" s="656" t="str">
        <f>""</f>
        <v/>
      </c>
      <c r="U273" s="656" t="str">
        <f>""</f>
        <v/>
      </c>
      <c r="V273" s="656" t="str">
        <f>""</f>
        <v/>
      </c>
      <c r="W273" s="656" t="str">
        <f>""</f>
        <v/>
      </c>
      <c r="X273" s="656" t="str">
        <f>""</f>
        <v/>
      </c>
      <c r="Y273" s="656" t="str">
        <f>""</f>
        <v/>
      </c>
      <c r="Z273" s="656" t="str">
        <f>""</f>
        <v/>
      </c>
      <c r="AA273" s="656" t="str">
        <f>""</f>
        <v/>
      </c>
      <c r="AB273" s="656" t="str">
        <f>""</f>
        <v/>
      </c>
      <c r="AC273" s="656" t="str">
        <f>""</f>
        <v/>
      </c>
      <c r="AD273" s="656" t="str">
        <f>""</f>
        <v/>
      </c>
      <c r="AE273" s="656" t="str">
        <f>""</f>
        <v/>
      </c>
      <c r="AF273" s="656" t="str">
        <f>""</f>
        <v/>
      </c>
      <c r="AG273" s="656" t="str">
        <f>""</f>
        <v/>
      </c>
      <c r="AH273" s="656" t="str">
        <f>""</f>
        <v/>
      </c>
      <c r="AI273" s="656" t="str">
        <f>""</f>
        <v/>
      </c>
      <c r="AJ273" s="656" t="str">
        <f>""</f>
        <v/>
      </c>
      <c r="AK273" s="656" t="str">
        <f>""</f>
        <v/>
      </c>
      <c r="AL273" s="656" t="str">
        <f>""</f>
        <v/>
      </c>
      <c r="AM273" s="656" t="str">
        <f>""</f>
        <v/>
      </c>
      <c r="AN273" s="656" t="str">
        <f>""</f>
        <v/>
      </c>
      <c r="AO273" s="656" t="str">
        <f>""</f>
        <v/>
      </c>
      <c r="AP273" s="656" t="str">
        <f>""</f>
        <v/>
      </c>
      <c r="AQ273" s="656" t="str">
        <f>""</f>
        <v/>
      </c>
      <c r="AR273" s="656" t="str">
        <f>""</f>
        <v/>
      </c>
      <c r="AS273" s="656" t="str">
        <f>""</f>
        <v/>
      </c>
      <c r="AT273" s="656" t="str">
        <f>""</f>
        <v/>
      </c>
      <c r="AU273" s="656" t="str">
        <f>""</f>
        <v/>
      </c>
      <c r="AV273" s="656" t="str">
        <f>""</f>
        <v/>
      </c>
      <c r="AW273" s="656" t="str">
        <f>""</f>
        <v/>
      </c>
      <c r="AX273" s="656" t="str">
        <f>""</f>
        <v/>
      </c>
      <c r="AY273" s="656" t="str">
        <f>""</f>
        <v/>
      </c>
      <c r="AZ273" s="656" t="str">
        <f>""</f>
        <v/>
      </c>
      <c r="BA273" s="657" t="str">
        <f>""</f>
        <v/>
      </c>
      <c r="BB273" s="655" t="str">
        <f>""</f>
        <v/>
      </c>
      <c r="BC273" s="656" t="str">
        <f>""</f>
        <v/>
      </c>
      <c r="BD273" s="656" t="str">
        <f t="shared" ref="BD273:CI273" ca="1" si="124">IFERROR(OFFSET(貼付け_2024実績,5,E272+1),"")&amp;""</f>
        <v/>
      </c>
      <c r="BE273" s="656" t="str">
        <f t="shared" ca="1" si="124"/>
        <v/>
      </c>
      <c r="BF273" s="656" t="str">
        <f t="shared" ca="1" si="124"/>
        <v/>
      </c>
      <c r="BG273" s="656" t="str">
        <f t="shared" ca="1" si="124"/>
        <v/>
      </c>
      <c r="BH273" s="656" t="str">
        <f t="shared" ca="1" si="124"/>
        <v/>
      </c>
      <c r="BI273" s="656" t="str">
        <f t="shared" ca="1" si="124"/>
        <v/>
      </c>
      <c r="BJ273" s="656" t="str">
        <f t="shared" ca="1" si="124"/>
        <v/>
      </c>
      <c r="BK273" s="656" t="str">
        <f t="shared" ca="1" si="124"/>
        <v/>
      </c>
      <c r="BL273" s="656" t="str">
        <f t="shared" ca="1" si="124"/>
        <v/>
      </c>
      <c r="BM273" s="656" t="str">
        <f t="shared" ca="1" si="124"/>
        <v/>
      </c>
      <c r="BN273" s="656" t="str">
        <f ca="1">IFERROR(OFFSET(貼付け_2024実績,5,O272+1),"")&amp;""</f>
        <v/>
      </c>
      <c r="BO273" s="656" t="str">
        <f t="shared" ca="1" si="124"/>
        <v/>
      </c>
      <c r="BP273" s="656" t="str">
        <f t="shared" ca="1" si="124"/>
        <v/>
      </c>
      <c r="BQ273" s="656" t="str">
        <f t="shared" ca="1" si="124"/>
        <v/>
      </c>
      <c r="BR273" s="656" t="str">
        <f t="shared" ca="1" si="124"/>
        <v/>
      </c>
      <c r="BS273" s="656" t="str">
        <f t="shared" ca="1" si="124"/>
        <v/>
      </c>
      <c r="BT273" s="656" t="str">
        <f t="shared" ca="1" si="124"/>
        <v/>
      </c>
      <c r="BU273" s="656" t="str">
        <f t="shared" ca="1" si="124"/>
        <v/>
      </c>
      <c r="BV273" s="656" t="str">
        <f t="shared" ca="1" si="124"/>
        <v/>
      </c>
      <c r="BW273" s="656" t="str">
        <f t="shared" ca="1" si="124"/>
        <v/>
      </c>
      <c r="BX273" s="656" t="str">
        <f t="shared" ca="1" si="124"/>
        <v/>
      </c>
      <c r="BY273" s="656" t="str">
        <f t="shared" ca="1" si="124"/>
        <v/>
      </c>
      <c r="BZ273" s="656" t="str">
        <f t="shared" ca="1" si="124"/>
        <v/>
      </c>
      <c r="CA273" s="656" t="str">
        <f t="shared" ca="1" si="124"/>
        <v/>
      </c>
      <c r="CB273" s="656" t="str">
        <f t="shared" ca="1" si="124"/>
        <v/>
      </c>
      <c r="CC273" s="656" t="str">
        <f t="shared" ca="1" si="124"/>
        <v/>
      </c>
      <c r="CD273" s="656" t="str">
        <f t="shared" ca="1" si="124"/>
        <v/>
      </c>
      <c r="CE273" s="656" t="str">
        <f t="shared" ca="1" si="124"/>
        <v/>
      </c>
      <c r="CF273" s="656" t="str">
        <f t="shared" ca="1" si="124"/>
        <v/>
      </c>
      <c r="CG273" s="656" t="str">
        <f t="shared" ca="1" si="124"/>
        <v/>
      </c>
      <c r="CH273" s="656" t="str">
        <f t="shared" ca="1" si="124"/>
        <v/>
      </c>
      <c r="CI273" s="656" t="str">
        <f t="shared" ca="1" si="124"/>
        <v/>
      </c>
      <c r="CJ273" s="656" t="str">
        <f t="shared" ref="CJ273:DA273" ca="1" si="125">IFERROR(OFFSET(貼付け_2024実績,5,AK272+1),"")&amp;""</f>
        <v/>
      </c>
      <c r="CK273" s="656" t="str">
        <f t="shared" ca="1" si="125"/>
        <v/>
      </c>
      <c r="CL273" s="656" t="str">
        <f t="shared" ca="1" si="125"/>
        <v/>
      </c>
      <c r="CM273" s="656" t="str">
        <f t="shared" ca="1" si="125"/>
        <v/>
      </c>
      <c r="CN273" s="656" t="str">
        <f t="shared" ca="1" si="125"/>
        <v/>
      </c>
      <c r="CO273" s="656" t="str">
        <f t="shared" ca="1" si="125"/>
        <v/>
      </c>
      <c r="CP273" s="656" t="str">
        <f t="shared" ca="1" si="125"/>
        <v/>
      </c>
      <c r="CQ273" s="656" t="str">
        <f t="shared" ca="1" si="125"/>
        <v/>
      </c>
      <c r="CR273" s="656" t="str">
        <f t="shared" ca="1" si="125"/>
        <v/>
      </c>
      <c r="CS273" s="656" t="str">
        <f t="shared" ca="1" si="125"/>
        <v/>
      </c>
      <c r="CT273" s="656" t="str">
        <f t="shared" ca="1" si="125"/>
        <v/>
      </c>
      <c r="CU273" s="656" t="str">
        <f t="shared" ca="1" si="125"/>
        <v/>
      </c>
      <c r="CV273" s="656" t="str">
        <f t="shared" ca="1" si="125"/>
        <v/>
      </c>
      <c r="CW273" s="656" t="str">
        <f t="shared" ca="1" si="125"/>
        <v/>
      </c>
      <c r="CX273" s="656" t="str">
        <f t="shared" ca="1" si="125"/>
        <v/>
      </c>
      <c r="CY273" s="656" t="str">
        <f t="shared" ca="1" si="125"/>
        <v/>
      </c>
      <c r="CZ273" s="656" t="str">
        <f t="shared" ca="1" si="125"/>
        <v/>
      </c>
      <c r="DA273" s="656" t="str">
        <f t="shared" ca="1" si="125"/>
        <v/>
      </c>
      <c r="IE273" s="658"/>
      <c r="IF273" s="658"/>
      <c r="IG273" s="658"/>
      <c r="IH273" s="658"/>
    </row>
    <row r="274" spans="1:242" s="179" customFormat="1" ht="19.5" hidden="1" customHeight="1">
      <c r="B274" s="1090"/>
      <c r="C274" s="654" t="str">
        <f>D272-1&amp;"&amp;"&amp;D272</f>
        <v>2023&amp;2024</v>
      </c>
      <c r="D274" s="655" t="str">
        <f>""</f>
        <v/>
      </c>
      <c r="E274" s="656"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55"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B275" s="1090"/>
      <c r="C275" s="654" t="s">
        <v>4286</v>
      </c>
      <c r="D275" s="655" t="str">
        <f>""</f>
        <v/>
      </c>
      <c r="E275" s="656" t="str">
        <f t="shared" ref="E275:AJ275" ca="1" si="126">IF(OFFSET(貼付け_2024実績,2,12)="■",BD273,IFERROR(INDEX($BD273:$DA273,MATCH(E274,$BD273:$DA273,0)),""))</f>
        <v/>
      </c>
      <c r="F275" s="656" t="str">
        <f t="shared" ca="1" si="126"/>
        <v/>
      </c>
      <c r="G275" s="656" t="str">
        <f t="shared" ca="1" si="126"/>
        <v/>
      </c>
      <c r="H275" s="656" t="str">
        <f t="shared" ca="1" si="126"/>
        <v/>
      </c>
      <c r="I275" s="656" t="str">
        <f t="shared" ca="1" si="126"/>
        <v/>
      </c>
      <c r="J275" s="656" t="str">
        <f t="shared" ca="1" si="126"/>
        <v/>
      </c>
      <c r="K275" s="656" t="str">
        <f t="shared" ca="1" si="126"/>
        <v/>
      </c>
      <c r="L275" s="656" t="str">
        <f t="shared" ca="1" si="126"/>
        <v/>
      </c>
      <c r="M275" s="656" t="str">
        <f t="shared" ca="1" si="126"/>
        <v/>
      </c>
      <c r="N275" s="656" t="str">
        <f t="shared" ca="1" si="126"/>
        <v/>
      </c>
      <c r="O275" s="656" t="str">
        <f ca="1">IF(OFFSET(貼付け_2024実績,2,12)="■",BN273,IFERROR(INDEX($BD273:$DA273,MATCH(O274,$BD273:$DA273,0)),""))</f>
        <v/>
      </c>
      <c r="P275" s="656" t="str">
        <f t="shared" ca="1" si="126"/>
        <v/>
      </c>
      <c r="Q275" s="656" t="str">
        <f t="shared" ca="1" si="126"/>
        <v/>
      </c>
      <c r="R275" s="656" t="str">
        <f t="shared" ca="1" si="126"/>
        <v/>
      </c>
      <c r="S275" s="656" t="str">
        <f t="shared" ca="1" si="126"/>
        <v/>
      </c>
      <c r="T275" s="656" t="str">
        <f t="shared" ca="1" si="126"/>
        <v/>
      </c>
      <c r="U275" s="656" t="str">
        <f t="shared" ca="1" si="126"/>
        <v/>
      </c>
      <c r="V275" s="656" t="str">
        <f t="shared" ca="1" si="126"/>
        <v/>
      </c>
      <c r="W275" s="656" t="str">
        <f t="shared" ca="1" si="126"/>
        <v/>
      </c>
      <c r="X275" s="656" t="str">
        <f t="shared" ca="1" si="126"/>
        <v/>
      </c>
      <c r="Y275" s="656" t="str">
        <f t="shared" ca="1" si="126"/>
        <v/>
      </c>
      <c r="Z275" s="656" t="str">
        <f t="shared" ca="1" si="126"/>
        <v/>
      </c>
      <c r="AA275" s="656" t="str">
        <f t="shared" ca="1" si="126"/>
        <v/>
      </c>
      <c r="AB275" s="656" t="str">
        <f t="shared" ca="1" si="126"/>
        <v/>
      </c>
      <c r="AC275" s="656" t="str">
        <f t="shared" ca="1" si="126"/>
        <v/>
      </c>
      <c r="AD275" s="656" t="str">
        <f t="shared" ca="1" si="126"/>
        <v/>
      </c>
      <c r="AE275" s="656" t="str">
        <f t="shared" ca="1" si="126"/>
        <v/>
      </c>
      <c r="AF275" s="656" t="str">
        <f t="shared" ca="1" si="126"/>
        <v/>
      </c>
      <c r="AG275" s="656" t="str">
        <f t="shared" ca="1" si="126"/>
        <v/>
      </c>
      <c r="AH275" s="656" t="str">
        <f t="shared" ca="1" si="126"/>
        <v/>
      </c>
      <c r="AI275" s="656" t="str">
        <f t="shared" ca="1" si="126"/>
        <v/>
      </c>
      <c r="AJ275" s="656" t="str">
        <f t="shared" ca="1" si="126"/>
        <v/>
      </c>
      <c r="AK275" s="656" t="str">
        <f t="shared" ref="AK275:BB275" ca="1" si="127">IF(OFFSET(貼付け_2024実績,2,12)="■",CJ273,IFERROR(INDEX($BD273:$DA273,MATCH(AK274,$BD273:$DA273,0)),""))</f>
        <v/>
      </c>
      <c r="AL275" s="656" t="str">
        <f t="shared" ca="1" si="127"/>
        <v/>
      </c>
      <c r="AM275" s="656" t="str">
        <f t="shared" ca="1" si="127"/>
        <v/>
      </c>
      <c r="AN275" s="656" t="str">
        <f t="shared" ca="1" si="127"/>
        <v/>
      </c>
      <c r="AO275" s="656" t="str">
        <f t="shared" ca="1" si="127"/>
        <v/>
      </c>
      <c r="AP275" s="656" t="str">
        <f t="shared" ca="1" si="127"/>
        <v/>
      </c>
      <c r="AQ275" s="656" t="str">
        <f t="shared" ca="1" si="127"/>
        <v/>
      </c>
      <c r="AR275" s="656" t="str">
        <f t="shared" ca="1" si="127"/>
        <v/>
      </c>
      <c r="AS275" s="656" t="str">
        <f t="shared" ca="1" si="127"/>
        <v/>
      </c>
      <c r="AT275" s="656" t="str">
        <f t="shared" ca="1" si="127"/>
        <v/>
      </c>
      <c r="AU275" s="656" t="str">
        <f t="shared" ca="1" si="127"/>
        <v/>
      </c>
      <c r="AV275" s="656" t="str">
        <f t="shared" ca="1" si="127"/>
        <v/>
      </c>
      <c r="AW275" s="656" t="str">
        <f t="shared" ca="1" si="127"/>
        <v/>
      </c>
      <c r="AX275" s="656" t="str">
        <f t="shared" ca="1" si="127"/>
        <v/>
      </c>
      <c r="AY275" s="656" t="str">
        <f t="shared" ca="1" si="127"/>
        <v/>
      </c>
      <c r="AZ275" s="656" t="str">
        <f t="shared" ca="1" si="127"/>
        <v/>
      </c>
      <c r="BA275" s="657" t="str">
        <f t="shared" ca="1" si="127"/>
        <v/>
      </c>
      <c r="BB275" s="655" t="str">
        <f t="shared" ca="1" si="127"/>
        <v/>
      </c>
      <c r="BD275" s="179" t="str">
        <f>""</f>
        <v/>
      </c>
      <c r="IE275" s="658"/>
      <c r="IF275" s="658"/>
      <c r="IG275" s="658"/>
      <c r="IH275" s="658"/>
    </row>
    <row r="276" spans="1:242" s="179" customFormat="1" hidden="1">
      <c r="B276" s="1090"/>
      <c r="C276" s="660" t="s">
        <v>4287</v>
      </c>
      <c r="D276" s="661">
        <v>10</v>
      </c>
      <c r="E276" s="662" t="str">
        <f t="shared" ref="E276:AJ276" ca="1" si="128">OFFSET(A1_名称2024,E$247+2,$D276)&amp;""</f>
        <v/>
      </c>
      <c r="F276" s="662" t="str">
        <f t="shared" ca="1" si="128"/>
        <v/>
      </c>
      <c r="G276" s="662" t="str">
        <f t="shared" ca="1" si="128"/>
        <v/>
      </c>
      <c r="H276" s="662" t="str">
        <f t="shared" ca="1" si="128"/>
        <v/>
      </c>
      <c r="I276" s="662" t="str">
        <f t="shared" ca="1" si="128"/>
        <v/>
      </c>
      <c r="J276" s="662" t="str">
        <f t="shared" ca="1" si="128"/>
        <v/>
      </c>
      <c r="K276" s="662" t="str">
        <f t="shared" ca="1" si="128"/>
        <v/>
      </c>
      <c r="L276" s="662" t="str">
        <f t="shared" ca="1" si="128"/>
        <v/>
      </c>
      <c r="M276" s="662" t="str">
        <f t="shared" ca="1" si="128"/>
        <v/>
      </c>
      <c r="N276" s="662" t="str">
        <f t="shared" ca="1" si="128"/>
        <v/>
      </c>
      <c r="O276" s="662" t="str">
        <f ca="1">OFFSET(A1_名称2024,O$247+2,$D276)&amp;""</f>
        <v/>
      </c>
      <c r="P276" s="662" t="str">
        <f t="shared" ca="1" si="128"/>
        <v/>
      </c>
      <c r="Q276" s="662" t="str">
        <f t="shared" ca="1" si="128"/>
        <v/>
      </c>
      <c r="R276" s="662" t="str">
        <f t="shared" ca="1" si="128"/>
        <v/>
      </c>
      <c r="S276" s="662" t="str">
        <f t="shared" ca="1" si="128"/>
        <v/>
      </c>
      <c r="T276" s="662" t="str">
        <f t="shared" ca="1" si="128"/>
        <v/>
      </c>
      <c r="U276" s="662" t="str">
        <f t="shared" ca="1" si="128"/>
        <v/>
      </c>
      <c r="V276" s="662" t="str">
        <f t="shared" ca="1" si="128"/>
        <v/>
      </c>
      <c r="W276" s="662" t="str">
        <f t="shared" ca="1" si="128"/>
        <v/>
      </c>
      <c r="X276" s="662" t="str">
        <f t="shared" ca="1" si="128"/>
        <v/>
      </c>
      <c r="Y276" s="662" t="str">
        <f t="shared" ca="1" si="128"/>
        <v/>
      </c>
      <c r="Z276" s="662" t="str">
        <f t="shared" ca="1" si="128"/>
        <v/>
      </c>
      <c r="AA276" s="662" t="str">
        <f t="shared" ca="1" si="128"/>
        <v/>
      </c>
      <c r="AB276" s="662" t="str">
        <f t="shared" ca="1" si="128"/>
        <v/>
      </c>
      <c r="AC276" s="662" t="str">
        <f t="shared" ca="1" si="128"/>
        <v/>
      </c>
      <c r="AD276" s="662" t="str">
        <f t="shared" ca="1" si="128"/>
        <v/>
      </c>
      <c r="AE276" s="662" t="str">
        <f t="shared" ca="1" si="128"/>
        <v/>
      </c>
      <c r="AF276" s="662" t="str">
        <f t="shared" ca="1" si="128"/>
        <v/>
      </c>
      <c r="AG276" s="662" t="str">
        <f t="shared" ca="1" si="128"/>
        <v/>
      </c>
      <c r="AH276" s="662" t="str">
        <f t="shared" ca="1" si="128"/>
        <v/>
      </c>
      <c r="AI276" s="662" t="str">
        <f t="shared" ca="1" si="128"/>
        <v/>
      </c>
      <c r="AJ276" s="662" t="str">
        <f t="shared" ca="1" si="128"/>
        <v/>
      </c>
      <c r="AK276" s="662" t="str">
        <f t="shared" ref="AK276:BB276" ca="1" si="129">OFFSET(A1_名称2024,AK$247+2,$D276)&amp;""</f>
        <v/>
      </c>
      <c r="AL276" s="662" t="str">
        <f t="shared" ca="1" si="129"/>
        <v/>
      </c>
      <c r="AM276" s="662" t="str">
        <f t="shared" ca="1" si="129"/>
        <v/>
      </c>
      <c r="AN276" s="662" t="str">
        <f t="shared" ca="1" si="129"/>
        <v/>
      </c>
      <c r="AO276" s="662" t="str">
        <f t="shared" ca="1" si="129"/>
        <v/>
      </c>
      <c r="AP276" s="662" t="str">
        <f t="shared" ca="1" si="129"/>
        <v/>
      </c>
      <c r="AQ276" s="662" t="str">
        <f t="shared" ca="1" si="129"/>
        <v/>
      </c>
      <c r="AR276" s="662" t="str">
        <f t="shared" ca="1" si="129"/>
        <v/>
      </c>
      <c r="AS276" s="662" t="str">
        <f t="shared" ca="1" si="129"/>
        <v/>
      </c>
      <c r="AT276" s="662" t="str">
        <f t="shared" ca="1" si="129"/>
        <v/>
      </c>
      <c r="AU276" s="662" t="str">
        <f t="shared" ca="1" si="129"/>
        <v/>
      </c>
      <c r="AV276" s="662" t="str">
        <f t="shared" ca="1" si="129"/>
        <v/>
      </c>
      <c r="AW276" s="662" t="str">
        <f t="shared" ca="1" si="129"/>
        <v/>
      </c>
      <c r="AX276" s="662" t="str">
        <f t="shared" ca="1" si="129"/>
        <v/>
      </c>
      <c r="AY276" s="662" t="str">
        <f t="shared" ca="1" si="129"/>
        <v/>
      </c>
      <c r="AZ276" s="662" t="str">
        <f t="shared" ca="1" si="129"/>
        <v/>
      </c>
      <c r="BA276" s="663" t="str">
        <f t="shared" ca="1" si="129"/>
        <v/>
      </c>
      <c r="BB276" s="661" t="str">
        <f t="shared" ca="1" si="129"/>
        <v/>
      </c>
      <c r="IE276" s="658"/>
      <c r="IF276" s="658"/>
      <c r="IG276" s="658"/>
      <c r="IH276" s="658"/>
    </row>
    <row r="277" spans="1:242" s="179" customFormat="1" hidden="1">
      <c r="B277" s="1090"/>
      <c r="C277" s="654" t="s">
        <v>4288</v>
      </c>
      <c r="D277" s="655"/>
      <c r="E277" s="656" t="str">
        <f ca="1">IF(E276="","",IFERROR(INDEX($E272:$BB272,MATCH(E276,$BD273:$DA273,0)),""))</f>
        <v/>
      </c>
      <c r="F277" s="656" t="str">
        <f t="shared" ref="F277:N277" ca="1" si="130">IF(F276="","",IFERROR(INDEX($E272:$BB272,MATCH(F276,$BD273:$DA273,0)),""))</f>
        <v/>
      </c>
      <c r="G277" s="656" t="str">
        <f t="shared" ca="1" si="130"/>
        <v/>
      </c>
      <c r="H277" s="656" t="str">
        <f t="shared" ca="1" si="130"/>
        <v/>
      </c>
      <c r="I277" s="656" t="str">
        <f t="shared" ca="1" si="130"/>
        <v/>
      </c>
      <c r="J277" s="656" t="str">
        <f t="shared" ca="1" si="130"/>
        <v/>
      </c>
      <c r="K277" s="656" t="str">
        <f t="shared" ca="1" si="130"/>
        <v/>
      </c>
      <c r="L277" s="656" t="str">
        <f t="shared" ca="1" si="130"/>
        <v/>
      </c>
      <c r="M277" s="656" t="str">
        <f t="shared" ca="1" si="130"/>
        <v/>
      </c>
      <c r="N277" s="656" t="str">
        <f t="shared" ca="1" si="130"/>
        <v/>
      </c>
      <c r="O277" s="656" t="str">
        <f ca="1">IF(O276="","",IFERROR(INDEX($E272:$BB272,MATCH(O276,$BD273:$DA273,0)),""))</f>
        <v/>
      </c>
      <c r="P277" s="656" t="str">
        <f t="shared" ref="P277:BB277" ca="1" si="131">IF(P276="","",IFERROR(INDEX($E272:$BB272,MATCH(P276,$BD273:$DA273,0)),""))</f>
        <v/>
      </c>
      <c r="Q277" s="656" t="str">
        <f t="shared" ca="1" si="131"/>
        <v/>
      </c>
      <c r="R277" s="656" t="str">
        <f t="shared" ca="1" si="131"/>
        <v/>
      </c>
      <c r="S277" s="656" t="str">
        <f t="shared" ca="1" si="131"/>
        <v/>
      </c>
      <c r="T277" s="656" t="str">
        <f t="shared" ca="1" si="131"/>
        <v/>
      </c>
      <c r="U277" s="656" t="str">
        <f t="shared" ca="1" si="131"/>
        <v/>
      </c>
      <c r="V277" s="656" t="str">
        <f t="shared" ca="1" si="131"/>
        <v/>
      </c>
      <c r="W277" s="656" t="str">
        <f t="shared" ca="1" si="131"/>
        <v/>
      </c>
      <c r="X277" s="656" t="str">
        <f t="shared" ca="1" si="131"/>
        <v/>
      </c>
      <c r="Y277" s="656" t="str">
        <f t="shared" ca="1" si="131"/>
        <v/>
      </c>
      <c r="Z277" s="656" t="str">
        <f t="shared" ca="1" si="131"/>
        <v/>
      </c>
      <c r="AA277" s="656" t="str">
        <f t="shared" ca="1" si="131"/>
        <v/>
      </c>
      <c r="AB277" s="656" t="str">
        <f t="shared" ca="1" si="131"/>
        <v/>
      </c>
      <c r="AC277" s="656" t="str">
        <f t="shared" ca="1" si="131"/>
        <v/>
      </c>
      <c r="AD277" s="656" t="str">
        <f t="shared" ca="1" si="131"/>
        <v/>
      </c>
      <c r="AE277" s="656" t="str">
        <f t="shared" ca="1" si="131"/>
        <v/>
      </c>
      <c r="AF277" s="656" t="str">
        <f t="shared" ca="1" si="131"/>
        <v/>
      </c>
      <c r="AG277" s="656" t="str">
        <f t="shared" ca="1" si="131"/>
        <v/>
      </c>
      <c r="AH277" s="656" t="str">
        <f t="shared" ca="1" si="131"/>
        <v/>
      </c>
      <c r="AI277" s="656" t="str">
        <f t="shared" ca="1" si="131"/>
        <v/>
      </c>
      <c r="AJ277" s="656" t="str">
        <f t="shared" ca="1" si="131"/>
        <v/>
      </c>
      <c r="AK277" s="656" t="str">
        <f t="shared" ca="1" si="131"/>
        <v/>
      </c>
      <c r="AL277" s="656" t="str">
        <f t="shared" ca="1" si="131"/>
        <v/>
      </c>
      <c r="AM277" s="656" t="str">
        <f t="shared" ca="1" si="131"/>
        <v/>
      </c>
      <c r="AN277" s="656" t="str">
        <f t="shared" ca="1" si="131"/>
        <v/>
      </c>
      <c r="AO277" s="656" t="str">
        <f t="shared" ca="1" si="131"/>
        <v/>
      </c>
      <c r="AP277" s="656" t="str">
        <f t="shared" ca="1" si="131"/>
        <v/>
      </c>
      <c r="AQ277" s="656" t="str">
        <f t="shared" ca="1" si="131"/>
        <v/>
      </c>
      <c r="AR277" s="656" t="str">
        <f t="shared" ca="1" si="131"/>
        <v/>
      </c>
      <c r="AS277" s="656" t="str">
        <f t="shared" ca="1" si="131"/>
        <v/>
      </c>
      <c r="AT277" s="656" t="str">
        <f t="shared" ca="1" si="131"/>
        <v/>
      </c>
      <c r="AU277" s="656" t="str">
        <f t="shared" ca="1" si="131"/>
        <v/>
      </c>
      <c r="AV277" s="656" t="str">
        <f t="shared" ca="1" si="131"/>
        <v/>
      </c>
      <c r="AW277" s="656" t="str">
        <f t="shared" ca="1" si="131"/>
        <v/>
      </c>
      <c r="AX277" s="656" t="str">
        <f t="shared" ca="1" si="131"/>
        <v/>
      </c>
      <c r="AY277" s="656" t="str">
        <f t="shared" ca="1" si="131"/>
        <v/>
      </c>
      <c r="AZ277" s="656" t="str">
        <f t="shared" ca="1" si="131"/>
        <v/>
      </c>
      <c r="BA277" s="657" t="str">
        <f t="shared" ca="1" si="131"/>
        <v/>
      </c>
      <c r="BB277" s="655" t="str">
        <f t="shared" ca="1" si="131"/>
        <v/>
      </c>
      <c r="IE277" s="658"/>
      <c r="IF277" s="658"/>
      <c r="IG277" s="658"/>
      <c r="IH277" s="658"/>
    </row>
    <row r="278" spans="1:242" s="197" customFormat="1" ht="19.8" hidden="1">
      <c r="A278" s="179"/>
      <c r="B278" s="1090"/>
      <c r="C278" s="227" t="s">
        <v>4289</v>
      </c>
      <c r="D278" s="228">
        <v>6</v>
      </c>
      <c r="E278" s="229" t="str">
        <f t="shared" ref="E278:AJ278" ca="1" si="132">IFERROR(OFFSET(貼付け_2024実績,$D278,E277+1)&amp;"","")</f>
        <v/>
      </c>
      <c r="F278" s="229" t="str">
        <f t="shared" ca="1" si="132"/>
        <v/>
      </c>
      <c r="G278" s="229" t="str">
        <f t="shared" ca="1" si="132"/>
        <v/>
      </c>
      <c r="H278" s="229" t="str">
        <f t="shared" ca="1" si="132"/>
        <v/>
      </c>
      <c r="I278" s="229" t="str">
        <f t="shared" ca="1" si="132"/>
        <v/>
      </c>
      <c r="J278" s="229" t="str">
        <f t="shared" ca="1" si="132"/>
        <v/>
      </c>
      <c r="K278" s="229" t="str">
        <f t="shared" ca="1" si="132"/>
        <v/>
      </c>
      <c r="L278" s="229" t="str">
        <f t="shared" ca="1" si="132"/>
        <v/>
      </c>
      <c r="M278" s="229" t="str">
        <f t="shared" ca="1" si="132"/>
        <v/>
      </c>
      <c r="N278" s="229" t="str">
        <f t="shared" ca="1" si="132"/>
        <v/>
      </c>
      <c r="O278" s="229" t="str">
        <f ca="1">IFERROR(OFFSET(貼付け_2024実績,$D278,O277+1)&amp;"","")</f>
        <v/>
      </c>
      <c r="P278" s="229" t="str">
        <f t="shared" ca="1" si="132"/>
        <v/>
      </c>
      <c r="Q278" s="229" t="str">
        <f t="shared" ca="1" si="132"/>
        <v/>
      </c>
      <c r="R278" s="229" t="str">
        <f t="shared" ca="1" si="132"/>
        <v/>
      </c>
      <c r="S278" s="229" t="str">
        <f t="shared" ca="1" si="132"/>
        <v/>
      </c>
      <c r="T278" s="229" t="str">
        <f t="shared" ca="1" si="132"/>
        <v/>
      </c>
      <c r="U278" s="229" t="str">
        <f t="shared" ca="1" si="132"/>
        <v/>
      </c>
      <c r="V278" s="229" t="str">
        <f t="shared" ca="1" si="132"/>
        <v/>
      </c>
      <c r="W278" s="229" t="str">
        <f t="shared" ca="1" si="132"/>
        <v/>
      </c>
      <c r="X278" s="229" t="str">
        <f t="shared" ca="1" si="132"/>
        <v/>
      </c>
      <c r="Y278" s="229" t="str">
        <f t="shared" ca="1" si="132"/>
        <v/>
      </c>
      <c r="Z278" s="229" t="str">
        <f t="shared" ca="1" si="132"/>
        <v/>
      </c>
      <c r="AA278" s="229" t="str">
        <f t="shared" ca="1" si="132"/>
        <v/>
      </c>
      <c r="AB278" s="229" t="str">
        <f t="shared" ca="1" si="132"/>
        <v/>
      </c>
      <c r="AC278" s="229" t="str">
        <f t="shared" ca="1" si="132"/>
        <v/>
      </c>
      <c r="AD278" s="229" t="str">
        <f t="shared" ca="1" si="132"/>
        <v/>
      </c>
      <c r="AE278" s="229" t="str">
        <f t="shared" ca="1" si="132"/>
        <v/>
      </c>
      <c r="AF278" s="229" t="str">
        <f t="shared" ca="1" si="132"/>
        <v/>
      </c>
      <c r="AG278" s="229" t="str">
        <f t="shared" ca="1" si="132"/>
        <v/>
      </c>
      <c r="AH278" s="229" t="str">
        <f t="shared" ca="1" si="132"/>
        <v/>
      </c>
      <c r="AI278" s="229" t="str">
        <f t="shared" ca="1" si="132"/>
        <v/>
      </c>
      <c r="AJ278" s="229" t="str">
        <f t="shared" ca="1" si="132"/>
        <v/>
      </c>
      <c r="AK278" s="229" t="str">
        <f t="shared" ref="AK278:BB278" ca="1" si="133">IFERROR(OFFSET(貼付け_2024実績,$D278,AK277+1)&amp;"","")</f>
        <v/>
      </c>
      <c r="AL278" s="229" t="str">
        <f t="shared" ca="1" si="133"/>
        <v/>
      </c>
      <c r="AM278" s="229" t="str">
        <f t="shared" ca="1" si="133"/>
        <v/>
      </c>
      <c r="AN278" s="229" t="str">
        <f t="shared" ca="1" si="133"/>
        <v/>
      </c>
      <c r="AO278" s="229" t="str">
        <f t="shared" ca="1" si="133"/>
        <v/>
      </c>
      <c r="AP278" s="229" t="str">
        <f t="shared" ca="1" si="133"/>
        <v/>
      </c>
      <c r="AQ278" s="229" t="str">
        <f t="shared" ca="1" si="133"/>
        <v/>
      </c>
      <c r="AR278" s="229" t="str">
        <f t="shared" ca="1" si="133"/>
        <v/>
      </c>
      <c r="AS278" s="229" t="str">
        <f t="shared" ca="1" si="133"/>
        <v/>
      </c>
      <c r="AT278" s="229" t="str">
        <f t="shared" ca="1" si="133"/>
        <v/>
      </c>
      <c r="AU278" s="229" t="str">
        <f t="shared" ca="1" si="133"/>
        <v/>
      </c>
      <c r="AV278" s="229" t="str">
        <f t="shared" ca="1" si="133"/>
        <v/>
      </c>
      <c r="AW278" s="229" t="str">
        <f t="shared" ca="1" si="133"/>
        <v/>
      </c>
      <c r="AX278" s="229" t="str">
        <f t="shared" ca="1" si="133"/>
        <v/>
      </c>
      <c r="AY278" s="229" t="str">
        <f t="shared" ca="1" si="133"/>
        <v/>
      </c>
      <c r="AZ278" s="229" t="str">
        <f t="shared" ca="1" si="133"/>
        <v/>
      </c>
      <c r="BA278" s="230" t="str">
        <f t="shared" ca="1" si="133"/>
        <v/>
      </c>
      <c r="BB278" s="228" t="str">
        <f t="shared" ca="1" si="133"/>
        <v/>
      </c>
      <c r="BC278" s="231"/>
      <c r="IE278" s="219"/>
      <c r="IF278" s="219"/>
      <c r="IG278" s="219"/>
      <c r="IH278" s="219"/>
    </row>
    <row r="279" spans="1:242" s="197" customFormat="1" ht="20.100000000000001" hidden="1" customHeight="1">
      <c r="A279" s="179"/>
      <c r="B279" s="1090"/>
      <c r="C279" s="232" t="s">
        <v>4290</v>
      </c>
      <c r="D279" s="233">
        <v>99</v>
      </c>
      <c r="E279" s="234" t="str">
        <f t="shared" ref="E279:AJ279" ca="1" si="134">IFERROR(OFFSET(貼付け_2024実績,$D279,E277),"")&amp;""</f>
        <v/>
      </c>
      <c r="F279" s="234" t="str">
        <f t="shared" ca="1" si="134"/>
        <v/>
      </c>
      <c r="G279" s="234" t="str">
        <f t="shared" ca="1" si="134"/>
        <v/>
      </c>
      <c r="H279" s="234" t="str">
        <f t="shared" ca="1" si="134"/>
        <v/>
      </c>
      <c r="I279" s="234" t="str">
        <f t="shared" ca="1" si="134"/>
        <v/>
      </c>
      <c r="J279" s="234" t="str">
        <f t="shared" ca="1" si="134"/>
        <v/>
      </c>
      <c r="K279" s="234" t="str">
        <f t="shared" ca="1" si="134"/>
        <v/>
      </c>
      <c r="L279" s="234" t="str">
        <f t="shared" ca="1" si="134"/>
        <v/>
      </c>
      <c r="M279" s="234" t="str">
        <f t="shared" ca="1" si="134"/>
        <v/>
      </c>
      <c r="N279" s="234" t="str">
        <f t="shared" ca="1" si="134"/>
        <v/>
      </c>
      <c r="O279" s="234" t="str">
        <f ca="1">IFERROR(OFFSET(貼付け_2024実績,$D279,O277),"")&amp;""</f>
        <v/>
      </c>
      <c r="P279" s="234" t="str">
        <f t="shared" ca="1" si="134"/>
        <v/>
      </c>
      <c r="Q279" s="234" t="str">
        <f t="shared" ca="1" si="134"/>
        <v/>
      </c>
      <c r="R279" s="234" t="str">
        <f t="shared" ca="1" si="134"/>
        <v/>
      </c>
      <c r="S279" s="234" t="str">
        <f t="shared" ca="1" si="134"/>
        <v/>
      </c>
      <c r="T279" s="234" t="str">
        <f t="shared" ca="1" si="134"/>
        <v/>
      </c>
      <c r="U279" s="234" t="str">
        <f t="shared" ca="1" si="134"/>
        <v/>
      </c>
      <c r="V279" s="234" t="str">
        <f t="shared" ca="1" si="134"/>
        <v/>
      </c>
      <c r="W279" s="234" t="str">
        <f t="shared" ca="1" si="134"/>
        <v/>
      </c>
      <c r="X279" s="234" t="str">
        <f t="shared" ca="1" si="134"/>
        <v/>
      </c>
      <c r="Y279" s="234" t="str">
        <f t="shared" ca="1" si="134"/>
        <v/>
      </c>
      <c r="Z279" s="234" t="str">
        <f t="shared" ca="1" si="134"/>
        <v/>
      </c>
      <c r="AA279" s="234" t="str">
        <f t="shared" ca="1" si="134"/>
        <v/>
      </c>
      <c r="AB279" s="234" t="str">
        <f t="shared" ca="1" si="134"/>
        <v/>
      </c>
      <c r="AC279" s="234" t="str">
        <f t="shared" ca="1" si="134"/>
        <v/>
      </c>
      <c r="AD279" s="234" t="str">
        <f t="shared" ca="1" si="134"/>
        <v/>
      </c>
      <c r="AE279" s="234" t="str">
        <f t="shared" ca="1" si="134"/>
        <v/>
      </c>
      <c r="AF279" s="234" t="str">
        <f t="shared" ca="1" si="134"/>
        <v/>
      </c>
      <c r="AG279" s="234" t="str">
        <f t="shared" ca="1" si="134"/>
        <v/>
      </c>
      <c r="AH279" s="234" t="str">
        <f t="shared" ca="1" si="134"/>
        <v/>
      </c>
      <c r="AI279" s="234" t="str">
        <f t="shared" ca="1" si="134"/>
        <v/>
      </c>
      <c r="AJ279" s="234" t="str">
        <f t="shared" ca="1" si="134"/>
        <v/>
      </c>
      <c r="AK279" s="234" t="str">
        <f t="shared" ref="AK279:BB279" ca="1" si="135">IFERROR(OFFSET(貼付け_2024実績,$D279,AK277),"")&amp;""</f>
        <v/>
      </c>
      <c r="AL279" s="234" t="str">
        <f t="shared" ca="1" si="135"/>
        <v/>
      </c>
      <c r="AM279" s="234" t="str">
        <f t="shared" ca="1" si="135"/>
        <v/>
      </c>
      <c r="AN279" s="234" t="str">
        <f t="shared" ca="1" si="135"/>
        <v/>
      </c>
      <c r="AO279" s="234" t="str">
        <f t="shared" ca="1" si="135"/>
        <v/>
      </c>
      <c r="AP279" s="234" t="str">
        <f t="shared" ca="1" si="135"/>
        <v/>
      </c>
      <c r="AQ279" s="234" t="str">
        <f t="shared" ca="1" si="135"/>
        <v/>
      </c>
      <c r="AR279" s="234" t="str">
        <f t="shared" ca="1" si="135"/>
        <v/>
      </c>
      <c r="AS279" s="234" t="str">
        <f t="shared" ca="1" si="135"/>
        <v/>
      </c>
      <c r="AT279" s="234" t="str">
        <f t="shared" ca="1" si="135"/>
        <v/>
      </c>
      <c r="AU279" s="234" t="str">
        <f t="shared" ca="1" si="135"/>
        <v/>
      </c>
      <c r="AV279" s="234" t="str">
        <f t="shared" ca="1" si="135"/>
        <v/>
      </c>
      <c r="AW279" s="234" t="str">
        <f t="shared" ca="1" si="135"/>
        <v/>
      </c>
      <c r="AX279" s="234" t="str">
        <f t="shared" ca="1" si="135"/>
        <v/>
      </c>
      <c r="AY279" s="234" t="str">
        <f t="shared" ca="1" si="135"/>
        <v/>
      </c>
      <c r="AZ279" s="234" t="str">
        <f t="shared" ca="1" si="135"/>
        <v/>
      </c>
      <c r="BA279" s="234" t="str">
        <f t="shared" ca="1" si="135"/>
        <v/>
      </c>
      <c r="BB279" s="233" t="str">
        <f t="shared" ca="1" si="135"/>
        <v/>
      </c>
      <c r="IE279" s="219"/>
      <c r="IF279" s="219"/>
      <c r="IG279" s="219"/>
      <c r="IH279" s="219"/>
    </row>
    <row r="280" spans="1:242" s="197" customFormat="1" ht="20.100000000000001" hidden="1" customHeight="1">
      <c r="A280" s="179"/>
      <c r="B280" s="1090"/>
      <c r="C280" s="232" t="s">
        <v>4291</v>
      </c>
      <c r="D280" s="233">
        <v>6</v>
      </c>
      <c r="E280" s="234" t="str">
        <f t="shared" ref="E280:AJ280" ca="1" si="136">IFERROR(OFFSET(A1_集計2024,$D280,E277),"")</f>
        <v/>
      </c>
      <c r="F280" s="234" t="str">
        <f t="shared" ca="1" si="136"/>
        <v/>
      </c>
      <c r="G280" s="234" t="str">
        <f t="shared" ca="1" si="136"/>
        <v/>
      </c>
      <c r="H280" s="234" t="str">
        <f t="shared" ca="1" si="136"/>
        <v/>
      </c>
      <c r="I280" s="234" t="str">
        <f t="shared" ca="1" si="136"/>
        <v/>
      </c>
      <c r="J280" s="234" t="str">
        <f t="shared" ca="1" si="136"/>
        <v/>
      </c>
      <c r="K280" s="234" t="str">
        <f t="shared" ca="1" si="136"/>
        <v/>
      </c>
      <c r="L280" s="234" t="str">
        <f t="shared" ca="1" si="136"/>
        <v/>
      </c>
      <c r="M280" s="234" t="str">
        <f t="shared" ca="1" si="136"/>
        <v/>
      </c>
      <c r="N280" s="234" t="str">
        <f t="shared" ca="1" si="136"/>
        <v/>
      </c>
      <c r="O280" s="234" t="str">
        <f ca="1">IFERROR(OFFSET(A1_集計2024,$D280,O277),"")</f>
        <v/>
      </c>
      <c r="P280" s="234" t="str">
        <f t="shared" ca="1" si="136"/>
        <v/>
      </c>
      <c r="Q280" s="234" t="str">
        <f t="shared" ca="1" si="136"/>
        <v/>
      </c>
      <c r="R280" s="234" t="str">
        <f t="shared" ca="1" si="136"/>
        <v/>
      </c>
      <c r="S280" s="234" t="str">
        <f t="shared" ca="1" si="136"/>
        <v/>
      </c>
      <c r="T280" s="234" t="str">
        <f t="shared" ca="1" si="136"/>
        <v/>
      </c>
      <c r="U280" s="234" t="str">
        <f t="shared" ca="1" si="136"/>
        <v/>
      </c>
      <c r="V280" s="234" t="str">
        <f t="shared" ca="1" si="136"/>
        <v/>
      </c>
      <c r="W280" s="234" t="str">
        <f t="shared" ca="1" si="136"/>
        <v/>
      </c>
      <c r="X280" s="234" t="str">
        <f t="shared" ca="1" si="136"/>
        <v/>
      </c>
      <c r="Y280" s="234" t="str">
        <f t="shared" ca="1" si="136"/>
        <v/>
      </c>
      <c r="Z280" s="234" t="str">
        <f t="shared" ca="1" si="136"/>
        <v/>
      </c>
      <c r="AA280" s="234" t="str">
        <f t="shared" ca="1" si="136"/>
        <v/>
      </c>
      <c r="AB280" s="234" t="str">
        <f t="shared" ca="1" si="136"/>
        <v/>
      </c>
      <c r="AC280" s="234" t="str">
        <f t="shared" ca="1" si="136"/>
        <v/>
      </c>
      <c r="AD280" s="234" t="str">
        <f t="shared" ca="1" si="136"/>
        <v/>
      </c>
      <c r="AE280" s="234" t="str">
        <f t="shared" ca="1" si="136"/>
        <v/>
      </c>
      <c r="AF280" s="234" t="str">
        <f t="shared" ca="1" si="136"/>
        <v/>
      </c>
      <c r="AG280" s="234" t="str">
        <f t="shared" ca="1" si="136"/>
        <v/>
      </c>
      <c r="AH280" s="234" t="str">
        <f t="shared" ca="1" si="136"/>
        <v/>
      </c>
      <c r="AI280" s="234" t="str">
        <f t="shared" ca="1" si="136"/>
        <v/>
      </c>
      <c r="AJ280" s="234" t="str">
        <f t="shared" ca="1" si="136"/>
        <v/>
      </c>
      <c r="AK280" s="234" t="str">
        <f t="shared" ref="AK280:BB280" ca="1" si="137">IFERROR(OFFSET(A1_集計2024,$D280,AK277),"")</f>
        <v/>
      </c>
      <c r="AL280" s="234" t="str">
        <f t="shared" ca="1" si="137"/>
        <v/>
      </c>
      <c r="AM280" s="234" t="str">
        <f t="shared" ca="1" si="137"/>
        <v/>
      </c>
      <c r="AN280" s="234" t="str">
        <f t="shared" ca="1" si="137"/>
        <v/>
      </c>
      <c r="AO280" s="234" t="str">
        <f t="shared" ca="1" si="137"/>
        <v/>
      </c>
      <c r="AP280" s="234" t="str">
        <f t="shared" ca="1" si="137"/>
        <v/>
      </c>
      <c r="AQ280" s="234" t="str">
        <f t="shared" ca="1" si="137"/>
        <v/>
      </c>
      <c r="AR280" s="234" t="str">
        <f t="shared" ca="1" si="137"/>
        <v/>
      </c>
      <c r="AS280" s="234" t="str">
        <f t="shared" ca="1" si="137"/>
        <v/>
      </c>
      <c r="AT280" s="234" t="str">
        <f t="shared" ca="1" si="137"/>
        <v/>
      </c>
      <c r="AU280" s="234" t="str">
        <f t="shared" ca="1" si="137"/>
        <v/>
      </c>
      <c r="AV280" s="234" t="str">
        <f t="shared" ca="1" si="137"/>
        <v/>
      </c>
      <c r="AW280" s="234" t="str">
        <f t="shared" ca="1" si="137"/>
        <v/>
      </c>
      <c r="AX280" s="234" t="str">
        <f t="shared" ca="1" si="137"/>
        <v/>
      </c>
      <c r="AY280" s="234" t="str">
        <f t="shared" ca="1" si="137"/>
        <v/>
      </c>
      <c r="AZ280" s="234" t="str">
        <f t="shared" ca="1" si="137"/>
        <v/>
      </c>
      <c r="BA280" s="224" t="str">
        <f t="shared" ca="1" si="137"/>
        <v/>
      </c>
      <c r="BB280" s="233" t="str">
        <f t="shared" ca="1" si="137"/>
        <v/>
      </c>
      <c r="IE280" s="219"/>
      <c r="IF280" s="219"/>
      <c r="IG280" s="219"/>
      <c r="IH280" s="219"/>
    </row>
    <row r="281" spans="1:242" s="197" customFormat="1" ht="20.100000000000001" hidden="1" customHeight="1">
      <c r="A281" s="179"/>
      <c r="B281" s="1090"/>
      <c r="C281" s="232" t="s">
        <v>4292</v>
      </c>
      <c r="D281" s="233">
        <v>101</v>
      </c>
      <c r="E281" s="234" t="str">
        <f t="shared" ref="E281:AJ281" ca="1" si="138">IFERROR(OFFSET(貼付け_2024実績,$D281,E277),"")</f>
        <v/>
      </c>
      <c r="F281" s="234" t="str">
        <f t="shared" ca="1" si="138"/>
        <v/>
      </c>
      <c r="G281" s="234" t="str">
        <f t="shared" ca="1" si="138"/>
        <v/>
      </c>
      <c r="H281" s="234" t="str">
        <f t="shared" ca="1" si="138"/>
        <v/>
      </c>
      <c r="I281" s="234" t="str">
        <f t="shared" ca="1" si="138"/>
        <v/>
      </c>
      <c r="J281" s="234" t="str">
        <f t="shared" ca="1" si="138"/>
        <v/>
      </c>
      <c r="K281" s="234" t="str">
        <f t="shared" ca="1" si="138"/>
        <v/>
      </c>
      <c r="L281" s="234" t="str">
        <f t="shared" ca="1" si="138"/>
        <v/>
      </c>
      <c r="M281" s="234" t="str">
        <f t="shared" ca="1" si="138"/>
        <v/>
      </c>
      <c r="N281" s="234" t="str">
        <f t="shared" ca="1" si="138"/>
        <v/>
      </c>
      <c r="O281" s="234" t="str">
        <f ca="1">IFERROR(OFFSET(貼付け_2024実績,$D281,O277),"")</f>
        <v/>
      </c>
      <c r="P281" s="234" t="str">
        <f t="shared" ca="1" si="138"/>
        <v/>
      </c>
      <c r="Q281" s="234" t="str">
        <f t="shared" ca="1" si="138"/>
        <v/>
      </c>
      <c r="R281" s="234" t="str">
        <f t="shared" ca="1" si="138"/>
        <v/>
      </c>
      <c r="S281" s="234" t="str">
        <f t="shared" ca="1" si="138"/>
        <v/>
      </c>
      <c r="T281" s="234" t="str">
        <f t="shared" ca="1" si="138"/>
        <v/>
      </c>
      <c r="U281" s="234" t="str">
        <f t="shared" ca="1" si="138"/>
        <v/>
      </c>
      <c r="V281" s="234" t="str">
        <f t="shared" ca="1" si="138"/>
        <v/>
      </c>
      <c r="W281" s="234" t="str">
        <f t="shared" ca="1" si="138"/>
        <v/>
      </c>
      <c r="X281" s="234" t="str">
        <f t="shared" ca="1" si="138"/>
        <v/>
      </c>
      <c r="Y281" s="234" t="str">
        <f t="shared" ca="1" si="138"/>
        <v/>
      </c>
      <c r="Z281" s="234" t="str">
        <f t="shared" ca="1" si="138"/>
        <v/>
      </c>
      <c r="AA281" s="234" t="str">
        <f t="shared" ca="1" si="138"/>
        <v/>
      </c>
      <c r="AB281" s="234" t="str">
        <f t="shared" ca="1" si="138"/>
        <v/>
      </c>
      <c r="AC281" s="234" t="str">
        <f t="shared" ca="1" si="138"/>
        <v/>
      </c>
      <c r="AD281" s="234" t="str">
        <f t="shared" ca="1" si="138"/>
        <v/>
      </c>
      <c r="AE281" s="234" t="str">
        <f t="shared" ca="1" si="138"/>
        <v/>
      </c>
      <c r="AF281" s="234" t="str">
        <f t="shared" ca="1" si="138"/>
        <v/>
      </c>
      <c r="AG281" s="234" t="str">
        <f t="shared" ca="1" si="138"/>
        <v/>
      </c>
      <c r="AH281" s="234" t="str">
        <f t="shared" ca="1" si="138"/>
        <v/>
      </c>
      <c r="AI281" s="234" t="str">
        <f t="shared" ca="1" si="138"/>
        <v/>
      </c>
      <c r="AJ281" s="234" t="str">
        <f t="shared" ca="1" si="138"/>
        <v/>
      </c>
      <c r="AK281" s="234" t="str">
        <f t="shared" ref="AK281:BB281" ca="1" si="139">IFERROR(OFFSET(貼付け_2024実績,$D281,AK277),"")</f>
        <v/>
      </c>
      <c r="AL281" s="234" t="str">
        <f t="shared" ca="1" si="139"/>
        <v/>
      </c>
      <c r="AM281" s="234" t="str">
        <f t="shared" ca="1" si="139"/>
        <v/>
      </c>
      <c r="AN281" s="234" t="str">
        <f t="shared" ca="1" si="139"/>
        <v/>
      </c>
      <c r="AO281" s="234" t="str">
        <f t="shared" ca="1" si="139"/>
        <v/>
      </c>
      <c r="AP281" s="234" t="str">
        <f t="shared" ca="1" si="139"/>
        <v/>
      </c>
      <c r="AQ281" s="234" t="str">
        <f t="shared" ca="1" si="139"/>
        <v/>
      </c>
      <c r="AR281" s="234" t="str">
        <f t="shared" ca="1" si="139"/>
        <v/>
      </c>
      <c r="AS281" s="234" t="str">
        <f t="shared" ca="1" si="139"/>
        <v/>
      </c>
      <c r="AT281" s="234" t="str">
        <f t="shared" ca="1" si="139"/>
        <v/>
      </c>
      <c r="AU281" s="234" t="str">
        <f t="shared" ca="1" si="139"/>
        <v/>
      </c>
      <c r="AV281" s="234" t="str">
        <f t="shared" ca="1" si="139"/>
        <v/>
      </c>
      <c r="AW281" s="234" t="str">
        <f t="shared" ca="1" si="139"/>
        <v/>
      </c>
      <c r="AX281" s="234" t="str">
        <f t="shared" ca="1" si="139"/>
        <v/>
      </c>
      <c r="AY281" s="234" t="str">
        <f t="shared" ca="1" si="139"/>
        <v/>
      </c>
      <c r="AZ281" s="234" t="str">
        <f t="shared" ca="1" si="139"/>
        <v/>
      </c>
      <c r="BA281" s="224" t="str">
        <f t="shared" ca="1" si="139"/>
        <v/>
      </c>
      <c r="BB281" s="233" t="str">
        <f t="shared" ca="1" si="139"/>
        <v/>
      </c>
      <c r="IE281" s="219"/>
      <c r="IF281" s="219"/>
      <c r="IG281" s="219"/>
      <c r="IH281" s="219"/>
    </row>
    <row r="282" spans="1:242" s="197" customFormat="1" ht="20.100000000000001" hidden="1" customHeight="1">
      <c r="A282" s="179"/>
      <c r="B282" s="1090"/>
      <c r="C282" s="232" t="s">
        <v>4293</v>
      </c>
      <c r="D282" s="233"/>
      <c r="E282" s="234" t="str">
        <f ca="1">IFERROR(E280/E281,"")</f>
        <v/>
      </c>
      <c r="F282" s="234" t="str">
        <f t="shared" ref="F282:BB282" ca="1" si="140">IFERROR(F280/F281,"")</f>
        <v/>
      </c>
      <c r="G282" s="234" t="str">
        <f t="shared" ca="1" si="140"/>
        <v/>
      </c>
      <c r="H282" s="234" t="str">
        <f t="shared" ca="1" si="140"/>
        <v/>
      </c>
      <c r="I282" s="234" t="str">
        <f t="shared" ca="1" si="140"/>
        <v/>
      </c>
      <c r="J282" s="234" t="str">
        <f t="shared" ca="1" si="140"/>
        <v/>
      </c>
      <c r="K282" s="234" t="str">
        <f t="shared" ca="1" si="140"/>
        <v/>
      </c>
      <c r="L282" s="234" t="str">
        <f t="shared" ca="1" si="140"/>
        <v/>
      </c>
      <c r="M282" s="234" t="str">
        <f t="shared" ca="1" si="140"/>
        <v/>
      </c>
      <c r="N282" s="234" t="str">
        <f t="shared" ca="1" si="140"/>
        <v/>
      </c>
      <c r="O282" s="234" t="str">
        <f t="shared" ca="1" si="140"/>
        <v/>
      </c>
      <c r="P282" s="234" t="str">
        <f t="shared" ca="1" si="140"/>
        <v/>
      </c>
      <c r="Q282" s="234" t="str">
        <f t="shared" ca="1" si="140"/>
        <v/>
      </c>
      <c r="R282" s="234" t="str">
        <f t="shared" ca="1" si="140"/>
        <v/>
      </c>
      <c r="S282" s="234" t="str">
        <f t="shared" ca="1" si="140"/>
        <v/>
      </c>
      <c r="T282" s="234" t="str">
        <f t="shared" ca="1" si="140"/>
        <v/>
      </c>
      <c r="U282" s="234" t="str">
        <f t="shared" ca="1" si="140"/>
        <v/>
      </c>
      <c r="V282" s="234" t="str">
        <f t="shared" ca="1" si="140"/>
        <v/>
      </c>
      <c r="W282" s="234" t="str">
        <f t="shared" ca="1" si="140"/>
        <v/>
      </c>
      <c r="X282" s="234" t="str">
        <f t="shared" ca="1" si="140"/>
        <v/>
      </c>
      <c r="Y282" s="234" t="str">
        <f t="shared" ca="1" si="140"/>
        <v/>
      </c>
      <c r="Z282" s="234" t="str">
        <f t="shared" ca="1" si="140"/>
        <v/>
      </c>
      <c r="AA282" s="234" t="str">
        <f t="shared" ca="1" si="140"/>
        <v/>
      </c>
      <c r="AB282" s="234" t="str">
        <f t="shared" ca="1" si="140"/>
        <v/>
      </c>
      <c r="AC282" s="234" t="str">
        <f t="shared" ca="1" si="140"/>
        <v/>
      </c>
      <c r="AD282" s="234" t="str">
        <f t="shared" ca="1" si="140"/>
        <v/>
      </c>
      <c r="AE282" s="234" t="str">
        <f t="shared" ca="1" si="140"/>
        <v/>
      </c>
      <c r="AF282" s="234" t="str">
        <f t="shared" ca="1" si="140"/>
        <v/>
      </c>
      <c r="AG282" s="234" t="str">
        <f t="shared" ca="1" si="140"/>
        <v/>
      </c>
      <c r="AH282" s="234" t="str">
        <f t="shared" ca="1" si="140"/>
        <v/>
      </c>
      <c r="AI282" s="234" t="str">
        <f t="shared" ca="1" si="140"/>
        <v/>
      </c>
      <c r="AJ282" s="234" t="str">
        <f t="shared" ca="1" si="140"/>
        <v/>
      </c>
      <c r="AK282" s="234" t="str">
        <f t="shared" ca="1" si="140"/>
        <v/>
      </c>
      <c r="AL282" s="234" t="str">
        <f t="shared" ca="1" si="140"/>
        <v/>
      </c>
      <c r="AM282" s="234" t="str">
        <f t="shared" ca="1" si="140"/>
        <v/>
      </c>
      <c r="AN282" s="234" t="str">
        <f t="shared" ca="1" si="140"/>
        <v/>
      </c>
      <c r="AO282" s="234" t="str">
        <f t="shared" ca="1" si="140"/>
        <v/>
      </c>
      <c r="AP282" s="234" t="str">
        <f t="shared" ca="1" si="140"/>
        <v/>
      </c>
      <c r="AQ282" s="234" t="str">
        <f t="shared" ca="1" si="140"/>
        <v/>
      </c>
      <c r="AR282" s="234" t="str">
        <f t="shared" ca="1" si="140"/>
        <v/>
      </c>
      <c r="AS282" s="234" t="str">
        <f t="shared" ca="1" si="140"/>
        <v/>
      </c>
      <c r="AT282" s="234" t="str">
        <f t="shared" ca="1" si="140"/>
        <v/>
      </c>
      <c r="AU282" s="234" t="str">
        <f t="shared" ca="1" si="140"/>
        <v/>
      </c>
      <c r="AV282" s="234" t="str">
        <f t="shared" ca="1" si="140"/>
        <v/>
      </c>
      <c r="AW282" s="234" t="str">
        <f t="shared" ca="1" si="140"/>
        <v/>
      </c>
      <c r="AX282" s="234" t="str">
        <f t="shared" ca="1" si="140"/>
        <v/>
      </c>
      <c r="AY282" s="234" t="str">
        <f t="shared" ca="1" si="140"/>
        <v/>
      </c>
      <c r="AZ282" s="234" t="str">
        <f t="shared" ca="1" si="140"/>
        <v/>
      </c>
      <c r="BA282" s="224" t="str">
        <f t="shared" ca="1" si="140"/>
        <v/>
      </c>
      <c r="BB282" s="233" t="str">
        <f t="shared" ca="1" si="140"/>
        <v/>
      </c>
      <c r="IE282" s="219"/>
      <c r="IF282" s="219"/>
      <c r="IG282" s="219"/>
      <c r="IH282" s="219"/>
    </row>
    <row r="283" spans="1:242" s="197" customFormat="1" ht="20.100000000000001" hidden="1" customHeight="1" thickBot="1">
      <c r="A283" s="179"/>
      <c r="B283" s="1091"/>
      <c r="C283" s="235" t="s">
        <v>4294</v>
      </c>
      <c r="D283" s="236">
        <v>36</v>
      </c>
      <c r="E283" s="237"/>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6"/>
      <c r="IE283" s="219"/>
      <c r="IF283" s="219"/>
      <c r="IG283" s="219"/>
      <c r="IH283" s="219"/>
    </row>
    <row r="284" spans="1:242" ht="19.5" hidden="1" customHeight="1">
      <c r="A284" s="179"/>
      <c r="B284" s="1089" t="s">
        <v>4296</v>
      </c>
      <c r="C284" s="651" t="s">
        <v>4285</v>
      </c>
      <c r="D284" s="652">
        <v>2024</v>
      </c>
      <c r="E284" s="653">
        <f ca="1">IFERROR(MATCH($B284&amp;E$247,OFFSET(INDIRECT("貼付け_"&amp;$D284&amp;"実績"),4,0,1,209),0)-1,"")</f>
        <v>137</v>
      </c>
      <c r="F284" s="653">
        <f t="shared" ref="F284:BB284" ca="1" si="141">IFERROR(MATCH($B284&amp;F$247,OFFSET(INDIRECT("貼付け_"&amp;$D284&amp;"実績"),4,0,1,209),0)-1,"")</f>
        <v>141</v>
      </c>
      <c r="G284" s="653">
        <f t="shared" ca="1" si="141"/>
        <v>145</v>
      </c>
      <c r="H284" s="653" t="str">
        <f t="shared" ca="1" si="141"/>
        <v/>
      </c>
      <c r="I284" s="653" t="str">
        <f t="shared" ca="1" si="141"/>
        <v/>
      </c>
      <c r="J284" s="653">
        <f t="shared" ca="1" si="141"/>
        <v>149</v>
      </c>
      <c r="K284" s="653">
        <f t="shared" ca="1" si="141"/>
        <v>153</v>
      </c>
      <c r="L284" s="653">
        <f t="shared" ca="1" si="141"/>
        <v>157</v>
      </c>
      <c r="M284" s="653">
        <f t="shared" ca="1" si="141"/>
        <v>161</v>
      </c>
      <c r="N284" s="653">
        <f t="shared" ca="1" si="141"/>
        <v>165</v>
      </c>
      <c r="O284" s="653">
        <f ca="1">IFERROR(MATCH($B284&amp;O$247,OFFSET(INDIRECT("貼付け_"&amp;$D284&amp;"実績"),4,0,1,209),0)-1,"")</f>
        <v>169</v>
      </c>
      <c r="P284" s="653">
        <f t="shared" ca="1" si="141"/>
        <v>173</v>
      </c>
      <c r="Q284" s="653">
        <f t="shared" ca="1" si="141"/>
        <v>177</v>
      </c>
      <c r="R284" s="653">
        <f t="shared" ca="1" si="141"/>
        <v>181</v>
      </c>
      <c r="S284" s="653">
        <f t="shared" ca="1" si="141"/>
        <v>185</v>
      </c>
      <c r="T284" s="653">
        <f t="shared" ca="1" si="141"/>
        <v>189</v>
      </c>
      <c r="U284" s="653">
        <f t="shared" ca="1" si="141"/>
        <v>193</v>
      </c>
      <c r="V284" s="653">
        <f t="shared" ca="1" si="141"/>
        <v>197</v>
      </c>
      <c r="W284" s="653">
        <f t="shared" ca="1" si="141"/>
        <v>201</v>
      </c>
      <c r="X284" s="653">
        <f t="shared" ca="1" si="141"/>
        <v>205</v>
      </c>
      <c r="Y284" s="653" t="str">
        <f t="shared" ca="1" si="141"/>
        <v/>
      </c>
      <c r="Z284" s="653" t="str">
        <f t="shared" ca="1" si="141"/>
        <v/>
      </c>
      <c r="AA284" s="653" t="str">
        <f t="shared" ca="1" si="141"/>
        <v/>
      </c>
      <c r="AB284" s="653" t="str">
        <f t="shared" ca="1" si="141"/>
        <v/>
      </c>
      <c r="AC284" s="653" t="str">
        <f t="shared" ca="1" si="141"/>
        <v/>
      </c>
      <c r="AD284" s="653" t="str">
        <f t="shared" ca="1" si="141"/>
        <v/>
      </c>
      <c r="AE284" s="653" t="str">
        <f t="shared" ca="1" si="141"/>
        <v/>
      </c>
      <c r="AF284" s="653" t="str">
        <f t="shared" ca="1" si="141"/>
        <v/>
      </c>
      <c r="AG284" s="653" t="str">
        <f t="shared" ca="1" si="141"/>
        <v/>
      </c>
      <c r="AH284" s="653" t="str">
        <f t="shared" ca="1" si="141"/>
        <v/>
      </c>
      <c r="AI284" s="653" t="str">
        <f t="shared" ca="1" si="141"/>
        <v/>
      </c>
      <c r="AJ284" s="653" t="str">
        <f t="shared" ca="1" si="141"/>
        <v/>
      </c>
      <c r="AK284" s="653" t="str">
        <f t="shared" ca="1" si="141"/>
        <v/>
      </c>
      <c r="AL284" s="653" t="str">
        <f t="shared" ca="1" si="141"/>
        <v/>
      </c>
      <c r="AM284" s="653" t="str">
        <f t="shared" ca="1" si="141"/>
        <v/>
      </c>
      <c r="AN284" s="653" t="str">
        <f t="shared" ca="1" si="141"/>
        <v/>
      </c>
      <c r="AO284" s="653" t="str">
        <f t="shared" ca="1" si="141"/>
        <v/>
      </c>
      <c r="AP284" s="653" t="str">
        <f t="shared" ca="1" si="141"/>
        <v/>
      </c>
      <c r="AQ284" s="653" t="str">
        <f t="shared" ca="1" si="141"/>
        <v/>
      </c>
      <c r="AR284" s="653" t="str">
        <f t="shared" ca="1" si="141"/>
        <v/>
      </c>
      <c r="AS284" s="653" t="str">
        <f t="shared" ca="1" si="141"/>
        <v/>
      </c>
      <c r="AT284" s="653" t="str">
        <f t="shared" ca="1" si="141"/>
        <v/>
      </c>
      <c r="AU284" s="653" t="str">
        <f t="shared" ca="1" si="141"/>
        <v/>
      </c>
      <c r="AV284" s="653" t="str">
        <f t="shared" ca="1" si="141"/>
        <v/>
      </c>
      <c r="AW284" s="653" t="str">
        <f t="shared" ca="1" si="141"/>
        <v/>
      </c>
      <c r="AX284" s="653" t="str">
        <f t="shared" ca="1" si="141"/>
        <v/>
      </c>
      <c r="AY284" s="653" t="str">
        <f t="shared" ca="1" si="141"/>
        <v/>
      </c>
      <c r="AZ284" s="653" t="str">
        <f t="shared" ca="1" si="141"/>
        <v/>
      </c>
      <c r="BA284" s="653" t="str">
        <f t="shared" ca="1" si="141"/>
        <v/>
      </c>
      <c r="BB284" s="652" t="str">
        <f t="shared" ca="1" si="141"/>
        <v/>
      </c>
      <c r="BC284" s="180" t="str">
        <f>D284&amp;"年度"</f>
        <v>2024年度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row>
    <row r="285" spans="1:242" s="179" customFormat="1" ht="18.75" hidden="1" customHeight="1">
      <c r="B285" s="1090"/>
      <c r="C285" s="654" t="str">
        <f>D284-1&amp;"/"&amp;D284</f>
        <v>2023/2024</v>
      </c>
      <c r="D285" s="655" t="str">
        <f>""</f>
        <v/>
      </c>
      <c r="E285" s="656" t="str">
        <f>""</f>
        <v/>
      </c>
      <c r="F285" s="656" t="str">
        <f>""</f>
        <v/>
      </c>
      <c r="G285" s="656" t="str">
        <f>""</f>
        <v/>
      </c>
      <c r="H285" s="656" t="str">
        <f>""</f>
        <v/>
      </c>
      <c r="I285" s="656" t="str">
        <f>""</f>
        <v/>
      </c>
      <c r="J285" s="656" t="str">
        <f>""</f>
        <v/>
      </c>
      <c r="K285" s="656" t="str">
        <f>""</f>
        <v/>
      </c>
      <c r="L285" s="656" t="str">
        <f>""</f>
        <v/>
      </c>
      <c r="M285" s="656" t="str">
        <f>""</f>
        <v/>
      </c>
      <c r="N285" s="656" t="str">
        <f>""</f>
        <v/>
      </c>
      <c r="O285" s="656" t="str">
        <f>""</f>
        <v/>
      </c>
      <c r="P285" s="656" t="str">
        <f>""</f>
        <v/>
      </c>
      <c r="Q285" s="656" t="str">
        <f>""</f>
        <v/>
      </c>
      <c r="R285" s="656" t="str">
        <f>""</f>
        <v/>
      </c>
      <c r="S285" s="656" t="str">
        <f>""</f>
        <v/>
      </c>
      <c r="T285" s="656" t="str">
        <f>""</f>
        <v/>
      </c>
      <c r="U285" s="656" t="str">
        <f>""</f>
        <v/>
      </c>
      <c r="V285" s="656" t="str">
        <f>""</f>
        <v/>
      </c>
      <c r="W285" s="656" t="str">
        <f>""</f>
        <v/>
      </c>
      <c r="X285" s="656" t="str">
        <f>""</f>
        <v/>
      </c>
      <c r="Y285" s="656" t="str">
        <f>""</f>
        <v/>
      </c>
      <c r="Z285" s="656" t="str">
        <f>""</f>
        <v/>
      </c>
      <c r="AA285" s="656" t="str">
        <f>""</f>
        <v/>
      </c>
      <c r="AB285" s="656" t="str">
        <f>""</f>
        <v/>
      </c>
      <c r="AC285" s="656" t="str">
        <f>""</f>
        <v/>
      </c>
      <c r="AD285" s="656" t="str">
        <f>""</f>
        <v/>
      </c>
      <c r="AE285" s="656" t="str">
        <f>""</f>
        <v/>
      </c>
      <c r="AF285" s="656" t="str">
        <f>""</f>
        <v/>
      </c>
      <c r="AG285" s="656" t="str">
        <f>""</f>
        <v/>
      </c>
      <c r="AH285" s="656" t="str">
        <f>""</f>
        <v/>
      </c>
      <c r="AI285" s="656" t="str">
        <f>""</f>
        <v/>
      </c>
      <c r="AJ285" s="656" t="str">
        <f>""</f>
        <v/>
      </c>
      <c r="AK285" s="656" t="str">
        <f>""</f>
        <v/>
      </c>
      <c r="AL285" s="656" t="str">
        <f>""</f>
        <v/>
      </c>
      <c r="AM285" s="656" t="str">
        <f>""</f>
        <v/>
      </c>
      <c r="AN285" s="656" t="str">
        <f>""</f>
        <v/>
      </c>
      <c r="AO285" s="656" t="str">
        <f>""</f>
        <v/>
      </c>
      <c r="AP285" s="656" t="str">
        <f>""</f>
        <v/>
      </c>
      <c r="AQ285" s="656" t="str">
        <f>""</f>
        <v/>
      </c>
      <c r="AR285" s="656" t="str">
        <f>""</f>
        <v/>
      </c>
      <c r="AS285" s="656" t="str">
        <f>""</f>
        <v/>
      </c>
      <c r="AT285" s="656" t="str">
        <f>""</f>
        <v/>
      </c>
      <c r="AU285" s="656" t="str">
        <f>""</f>
        <v/>
      </c>
      <c r="AV285" s="656" t="str">
        <f>""</f>
        <v/>
      </c>
      <c r="AW285" s="656" t="str">
        <f>""</f>
        <v/>
      </c>
      <c r="AX285" s="656" t="str">
        <f>""</f>
        <v/>
      </c>
      <c r="AY285" s="656" t="str">
        <f>""</f>
        <v/>
      </c>
      <c r="AZ285" s="656" t="str">
        <f>""</f>
        <v/>
      </c>
      <c r="BA285" s="657" t="str">
        <f>""</f>
        <v/>
      </c>
      <c r="BB285" s="655" t="str">
        <f>""</f>
        <v/>
      </c>
      <c r="BC285" s="656" t="str">
        <f>""</f>
        <v/>
      </c>
      <c r="BD285" s="656" t="str">
        <f t="shared" ref="BD285:CI285" ca="1" si="142">IFERROR(OFFSET(貼付け_2024実績,5,E284+1),"")&amp;""</f>
        <v/>
      </c>
      <c r="BE285" s="656" t="str">
        <f t="shared" ca="1" si="142"/>
        <v/>
      </c>
      <c r="BF285" s="656" t="str">
        <f t="shared" ca="1" si="142"/>
        <v/>
      </c>
      <c r="BG285" s="656" t="str">
        <f t="shared" ca="1" si="142"/>
        <v/>
      </c>
      <c r="BH285" s="656" t="str">
        <f t="shared" ca="1" si="142"/>
        <v/>
      </c>
      <c r="BI285" s="656" t="str">
        <f t="shared" ca="1" si="142"/>
        <v/>
      </c>
      <c r="BJ285" s="656" t="str">
        <f t="shared" ca="1" si="142"/>
        <v/>
      </c>
      <c r="BK285" s="656" t="str">
        <f t="shared" ca="1" si="142"/>
        <v/>
      </c>
      <c r="BL285" s="656" t="str">
        <f t="shared" ca="1" si="142"/>
        <v/>
      </c>
      <c r="BM285" s="656" t="str">
        <f t="shared" ca="1" si="142"/>
        <v/>
      </c>
      <c r="BN285" s="656" t="str">
        <f ca="1">IFERROR(OFFSET(貼付け_2024実績,5,O284+1),"")&amp;""</f>
        <v/>
      </c>
      <c r="BO285" s="656" t="str">
        <f t="shared" ca="1" si="142"/>
        <v/>
      </c>
      <c r="BP285" s="656" t="str">
        <f t="shared" ca="1" si="142"/>
        <v/>
      </c>
      <c r="BQ285" s="656" t="str">
        <f t="shared" ca="1" si="142"/>
        <v/>
      </c>
      <c r="BR285" s="656" t="str">
        <f t="shared" ca="1" si="142"/>
        <v/>
      </c>
      <c r="BS285" s="656" t="str">
        <f t="shared" ca="1" si="142"/>
        <v/>
      </c>
      <c r="BT285" s="656" t="str">
        <f t="shared" ca="1" si="142"/>
        <v/>
      </c>
      <c r="BU285" s="656" t="str">
        <f t="shared" ca="1" si="142"/>
        <v/>
      </c>
      <c r="BV285" s="656" t="str">
        <f t="shared" ca="1" si="142"/>
        <v/>
      </c>
      <c r="BW285" s="656" t="str">
        <f t="shared" ca="1" si="142"/>
        <v/>
      </c>
      <c r="BX285" s="656" t="str">
        <f t="shared" ca="1" si="142"/>
        <v/>
      </c>
      <c r="BY285" s="656" t="str">
        <f t="shared" ca="1" si="142"/>
        <v/>
      </c>
      <c r="BZ285" s="656" t="str">
        <f t="shared" ca="1" si="142"/>
        <v/>
      </c>
      <c r="CA285" s="656" t="str">
        <f t="shared" ca="1" si="142"/>
        <v/>
      </c>
      <c r="CB285" s="656" t="str">
        <f t="shared" ca="1" si="142"/>
        <v/>
      </c>
      <c r="CC285" s="656" t="str">
        <f t="shared" ca="1" si="142"/>
        <v/>
      </c>
      <c r="CD285" s="656" t="str">
        <f t="shared" ca="1" si="142"/>
        <v/>
      </c>
      <c r="CE285" s="656" t="str">
        <f t="shared" ca="1" si="142"/>
        <v/>
      </c>
      <c r="CF285" s="656" t="str">
        <f t="shared" ca="1" si="142"/>
        <v/>
      </c>
      <c r="CG285" s="656" t="str">
        <f t="shared" ca="1" si="142"/>
        <v/>
      </c>
      <c r="CH285" s="656" t="str">
        <f t="shared" ca="1" si="142"/>
        <v/>
      </c>
      <c r="CI285" s="656" t="str">
        <f t="shared" ca="1" si="142"/>
        <v/>
      </c>
      <c r="CJ285" s="656" t="str">
        <f t="shared" ref="CJ285:DA285" ca="1" si="143">IFERROR(OFFSET(貼付け_2024実績,5,AK284+1),"")&amp;""</f>
        <v/>
      </c>
      <c r="CK285" s="656" t="str">
        <f t="shared" ca="1" si="143"/>
        <v/>
      </c>
      <c r="CL285" s="656" t="str">
        <f t="shared" ca="1" si="143"/>
        <v/>
      </c>
      <c r="CM285" s="656" t="str">
        <f t="shared" ca="1" si="143"/>
        <v/>
      </c>
      <c r="CN285" s="656" t="str">
        <f t="shared" ca="1" si="143"/>
        <v/>
      </c>
      <c r="CO285" s="656" t="str">
        <f t="shared" ca="1" si="143"/>
        <v/>
      </c>
      <c r="CP285" s="656" t="str">
        <f t="shared" ca="1" si="143"/>
        <v/>
      </c>
      <c r="CQ285" s="656" t="str">
        <f t="shared" ca="1" si="143"/>
        <v/>
      </c>
      <c r="CR285" s="656" t="str">
        <f t="shared" ca="1" si="143"/>
        <v/>
      </c>
      <c r="CS285" s="656" t="str">
        <f t="shared" ca="1" si="143"/>
        <v/>
      </c>
      <c r="CT285" s="656" t="str">
        <f t="shared" ca="1" si="143"/>
        <v/>
      </c>
      <c r="CU285" s="656" t="str">
        <f t="shared" ca="1" si="143"/>
        <v/>
      </c>
      <c r="CV285" s="656" t="str">
        <f t="shared" ca="1" si="143"/>
        <v/>
      </c>
      <c r="CW285" s="656" t="str">
        <f t="shared" ca="1" si="143"/>
        <v/>
      </c>
      <c r="CX285" s="656" t="str">
        <f t="shared" ca="1" si="143"/>
        <v/>
      </c>
      <c r="CY285" s="656" t="str">
        <f t="shared" ca="1" si="143"/>
        <v/>
      </c>
      <c r="CZ285" s="656" t="str">
        <f t="shared" ca="1" si="143"/>
        <v/>
      </c>
      <c r="DA285" s="656" t="str">
        <f t="shared" ca="1" si="143"/>
        <v/>
      </c>
      <c r="IE285" s="658"/>
      <c r="IF285" s="658"/>
      <c r="IG285" s="658"/>
      <c r="IH285" s="658"/>
    </row>
    <row r="286" spans="1:242" s="179" customFormat="1" ht="19.5" hidden="1" customHeight="1">
      <c r="B286" s="1090"/>
      <c r="C286" s="654" t="str">
        <f>D284-1&amp;"&amp;"&amp;D284</f>
        <v>2023&amp;2024</v>
      </c>
      <c r="D286" s="655" t="str">
        <f>""</f>
        <v/>
      </c>
      <c r="E286" s="656"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55"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B287" s="1090"/>
      <c r="C287" s="654" t="s">
        <v>4286</v>
      </c>
      <c r="D287" s="655" t="str">
        <f>""</f>
        <v/>
      </c>
      <c r="E287" s="656" t="str">
        <f t="shared" ref="E287:AJ287" ca="1" si="144">IF(OFFSET(貼付け_2024実績,2,12)="■",BD285,IFERROR(INDEX($BD285:$DA285,MATCH(E286,$BD285:$DA285,0)),""))</f>
        <v/>
      </c>
      <c r="F287" s="656" t="str">
        <f t="shared" ca="1" si="144"/>
        <v/>
      </c>
      <c r="G287" s="656" t="str">
        <f t="shared" ca="1" si="144"/>
        <v/>
      </c>
      <c r="H287" s="656" t="str">
        <f t="shared" ca="1" si="144"/>
        <v/>
      </c>
      <c r="I287" s="656" t="str">
        <f t="shared" ca="1" si="144"/>
        <v/>
      </c>
      <c r="J287" s="656" t="str">
        <f t="shared" ca="1" si="144"/>
        <v/>
      </c>
      <c r="K287" s="656" t="str">
        <f t="shared" ca="1" si="144"/>
        <v/>
      </c>
      <c r="L287" s="656" t="str">
        <f t="shared" ca="1" si="144"/>
        <v/>
      </c>
      <c r="M287" s="656" t="str">
        <f t="shared" ca="1" si="144"/>
        <v/>
      </c>
      <c r="N287" s="656" t="str">
        <f t="shared" ca="1" si="144"/>
        <v/>
      </c>
      <c r="O287" s="656" t="str">
        <f ca="1">IF(OFFSET(貼付け_2024実績,2,12)="■",BN285,IFERROR(INDEX($BD285:$DA285,MATCH(O286,$BD285:$DA285,0)),""))</f>
        <v/>
      </c>
      <c r="P287" s="656" t="str">
        <f t="shared" ca="1" si="144"/>
        <v/>
      </c>
      <c r="Q287" s="656" t="str">
        <f t="shared" ca="1" si="144"/>
        <v/>
      </c>
      <c r="R287" s="656" t="str">
        <f t="shared" ca="1" si="144"/>
        <v/>
      </c>
      <c r="S287" s="656" t="str">
        <f t="shared" ca="1" si="144"/>
        <v/>
      </c>
      <c r="T287" s="656" t="str">
        <f t="shared" ca="1" si="144"/>
        <v/>
      </c>
      <c r="U287" s="656" t="str">
        <f t="shared" ca="1" si="144"/>
        <v/>
      </c>
      <c r="V287" s="656" t="str">
        <f t="shared" ca="1" si="144"/>
        <v/>
      </c>
      <c r="W287" s="656" t="str">
        <f t="shared" ca="1" si="144"/>
        <v/>
      </c>
      <c r="X287" s="656" t="str">
        <f t="shared" ca="1" si="144"/>
        <v/>
      </c>
      <c r="Y287" s="656" t="str">
        <f t="shared" ca="1" si="144"/>
        <v/>
      </c>
      <c r="Z287" s="656" t="str">
        <f t="shared" ca="1" si="144"/>
        <v/>
      </c>
      <c r="AA287" s="656" t="str">
        <f t="shared" ca="1" si="144"/>
        <v/>
      </c>
      <c r="AB287" s="656" t="str">
        <f t="shared" ca="1" si="144"/>
        <v/>
      </c>
      <c r="AC287" s="656" t="str">
        <f t="shared" ca="1" si="144"/>
        <v/>
      </c>
      <c r="AD287" s="656" t="str">
        <f t="shared" ca="1" si="144"/>
        <v/>
      </c>
      <c r="AE287" s="656" t="str">
        <f t="shared" ca="1" si="144"/>
        <v/>
      </c>
      <c r="AF287" s="656" t="str">
        <f t="shared" ca="1" si="144"/>
        <v/>
      </c>
      <c r="AG287" s="656" t="str">
        <f t="shared" ca="1" si="144"/>
        <v/>
      </c>
      <c r="AH287" s="656" t="str">
        <f t="shared" ca="1" si="144"/>
        <v/>
      </c>
      <c r="AI287" s="656" t="str">
        <f t="shared" ca="1" si="144"/>
        <v/>
      </c>
      <c r="AJ287" s="656" t="str">
        <f t="shared" ca="1" si="144"/>
        <v/>
      </c>
      <c r="AK287" s="656" t="str">
        <f t="shared" ref="AK287:BB287" ca="1" si="145">IF(OFFSET(貼付け_2024実績,2,12)="■",CJ285,IFERROR(INDEX($BD285:$DA285,MATCH(AK286,$BD285:$DA285,0)),""))</f>
        <v/>
      </c>
      <c r="AL287" s="656" t="str">
        <f t="shared" ca="1" si="145"/>
        <v/>
      </c>
      <c r="AM287" s="656" t="str">
        <f t="shared" ca="1" si="145"/>
        <v/>
      </c>
      <c r="AN287" s="656" t="str">
        <f t="shared" ca="1" si="145"/>
        <v/>
      </c>
      <c r="AO287" s="656" t="str">
        <f t="shared" ca="1" si="145"/>
        <v/>
      </c>
      <c r="AP287" s="656" t="str">
        <f t="shared" ca="1" si="145"/>
        <v/>
      </c>
      <c r="AQ287" s="656" t="str">
        <f t="shared" ca="1" si="145"/>
        <v/>
      </c>
      <c r="AR287" s="656" t="str">
        <f t="shared" ca="1" si="145"/>
        <v/>
      </c>
      <c r="AS287" s="656" t="str">
        <f t="shared" ca="1" si="145"/>
        <v/>
      </c>
      <c r="AT287" s="656" t="str">
        <f t="shared" ca="1" si="145"/>
        <v/>
      </c>
      <c r="AU287" s="656" t="str">
        <f t="shared" ca="1" si="145"/>
        <v/>
      </c>
      <c r="AV287" s="656" t="str">
        <f t="shared" ca="1" si="145"/>
        <v/>
      </c>
      <c r="AW287" s="656" t="str">
        <f t="shared" ca="1" si="145"/>
        <v/>
      </c>
      <c r="AX287" s="656" t="str">
        <f t="shared" ca="1" si="145"/>
        <v/>
      </c>
      <c r="AY287" s="656" t="str">
        <f t="shared" ca="1" si="145"/>
        <v/>
      </c>
      <c r="AZ287" s="656" t="str">
        <f t="shared" ca="1" si="145"/>
        <v/>
      </c>
      <c r="BA287" s="657" t="str">
        <f t="shared" ca="1" si="145"/>
        <v/>
      </c>
      <c r="BB287" s="655" t="str">
        <f t="shared" ca="1" si="145"/>
        <v/>
      </c>
      <c r="BD287" s="179" t="str">
        <f>""</f>
        <v/>
      </c>
      <c r="IE287" s="658"/>
      <c r="IF287" s="658"/>
      <c r="IG287" s="658"/>
      <c r="IH287" s="658"/>
    </row>
    <row r="288" spans="1:242" s="179" customFormat="1" hidden="1">
      <c r="B288" s="1090"/>
      <c r="C288" s="660" t="s">
        <v>4287</v>
      </c>
      <c r="D288" s="661">
        <v>14</v>
      </c>
      <c r="E288" s="662" t="str">
        <f t="shared" ref="E288:AJ288" ca="1" si="146">OFFSET(A1_名称2024,E$247+2,$D288)&amp;""</f>
        <v/>
      </c>
      <c r="F288" s="662" t="str">
        <f t="shared" ca="1" si="146"/>
        <v/>
      </c>
      <c r="G288" s="662" t="str">
        <f t="shared" ca="1" si="146"/>
        <v/>
      </c>
      <c r="H288" s="662" t="str">
        <f t="shared" ca="1" si="146"/>
        <v/>
      </c>
      <c r="I288" s="662" t="str">
        <f t="shared" ca="1" si="146"/>
        <v/>
      </c>
      <c r="J288" s="662" t="str">
        <f t="shared" ca="1" si="146"/>
        <v/>
      </c>
      <c r="K288" s="662" t="str">
        <f t="shared" ca="1" si="146"/>
        <v/>
      </c>
      <c r="L288" s="662" t="str">
        <f t="shared" ca="1" si="146"/>
        <v/>
      </c>
      <c r="M288" s="662" t="str">
        <f t="shared" ca="1" si="146"/>
        <v/>
      </c>
      <c r="N288" s="662" t="str">
        <f t="shared" ca="1" si="146"/>
        <v/>
      </c>
      <c r="O288" s="662" t="str">
        <f ca="1">OFFSET(A1_名称2024,O$247+2,$D288)&amp;""</f>
        <v/>
      </c>
      <c r="P288" s="662" t="str">
        <f t="shared" ca="1" si="146"/>
        <v/>
      </c>
      <c r="Q288" s="662" t="str">
        <f t="shared" ca="1" si="146"/>
        <v/>
      </c>
      <c r="R288" s="662" t="str">
        <f t="shared" ca="1" si="146"/>
        <v/>
      </c>
      <c r="S288" s="662" t="str">
        <f t="shared" ca="1" si="146"/>
        <v/>
      </c>
      <c r="T288" s="662" t="str">
        <f t="shared" ca="1" si="146"/>
        <v/>
      </c>
      <c r="U288" s="662" t="str">
        <f t="shared" ca="1" si="146"/>
        <v/>
      </c>
      <c r="V288" s="662" t="str">
        <f t="shared" ca="1" si="146"/>
        <v/>
      </c>
      <c r="W288" s="662" t="str">
        <f t="shared" ca="1" si="146"/>
        <v/>
      </c>
      <c r="X288" s="662" t="str">
        <f t="shared" ca="1" si="146"/>
        <v/>
      </c>
      <c r="Y288" s="662" t="str">
        <f t="shared" ca="1" si="146"/>
        <v/>
      </c>
      <c r="Z288" s="662" t="str">
        <f t="shared" ca="1" si="146"/>
        <v/>
      </c>
      <c r="AA288" s="662" t="str">
        <f t="shared" ca="1" si="146"/>
        <v/>
      </c>
      <c r="AB288" s="662" t="str">
        <f t="shared" ca="1" si="146"/>
        <v/>
      </c>
      <c r="AC288" s="662" t="str">
        <f t="shared" ca="1" si="146"/>
        <v/>
      </c>
      <c r="AD288" s="662" t="str">
        <f t="shared" ca="1" si="146"/>
        <v/>
      </c>
      <c r="AE288" s="662" t="str">
        <f t="shared" ca="1" si="146"/>
        <v/>
      </c>
      <c r="AF288" s="662" t="str">
        <f t="shared" ca="1" si="146"/>
        <v/>
      </c>
      <c r="AG288" s="662" t="str">
        <f t="shared" ca="1" si="146"/>
        <v/>
      </c>
      <c r="AH288" s="662" t="str">
        <f t="shared" ca="1" si="146"/>
        <v/>
      </c>
      <c r="AI288" s="662" t="str">
        <f t="shared" ca="1" si="146"/>
        <v/>
      </c>
      <c r="AJ288" s="662" t="str">
        <f t="shared" ca="1" si="146"/>
        <v/>
      </c>
      <c r="AK288" s="662" t="str">
        <f t="shared" ref="AK288:BB288" ca="1" si="147">OFFSET(A1_名称2024,AK$247+2,$D288)&amp;""</f>
        <v/>
      </c>
      <c r="AL288" s="662" t="str">
        <f t="shared" ca="1" si="147"/>
        <v/>
      </c>
      <c r="AM288" s="662" t="str">
        <f t="shared" ca="1" si="147"/>
        <v/>
      </c>
      <c r="AN288" s="662" t="str">
        <f t="shared" ca="1" si="147"/>
        <v/>
      </c>
      <c r="AO288" s="662" t="str">
        <f t="shared" ca="1" si="147"/>
        <v/>
      </c>
      <c r="AP288" s="662" t="str">
        <f t="shared" ca="1" si="147"/>
        <v/>
      </c>
      <c r="AQ288" s="662" t="str">
        <f t="shared" ca="1" si="147"/>
        <v/>
      </c>
      <c r="AR288" s="662" t="str">
        <f t="shared" ca="1" si="147"/>
        <v/>
      </c>
      <c r="AS288" s="662" t="str">
        <f t="shared" ca="1" si="147"/>
        <v/>
      </c>
      <c r="AT288" s="662" t="str">
        <f t="shared" ca="1" si="147"/>
        <v/>
      </c>
      <c r="AU288" s="662" t="str">
        <f t="shared" ca="1" si="147"/>
        <v/>
      </c>
      <c r="AV288" s="662" t="str">
        <f t="shared" ca="1" si="147"/>
        <v/>
      </c>
      <c r="AW288" s="662" t="str">
        <f t="shared" ca="1" si="147"/>
        <v/>
      </c>
      <c r="AX288" s="662" t="str">
        <f t="shared" ca="1" si="147"/>
        <v/>
      </c>
      <c r="AY288" s="662" t="str">
        <f t="shared" ca="1" si="147"/>
        <v/>
      </c>
      <c r="AZ288" s="662" t="str">
        <f t="shared" ca="1" si="147"/>
        <v/>
      </c>
      <c r="BA288" s="663" t="str">
        <f t="shared" ca="1" si="147"/>
        <v/>
      </c>
      <c r="BB288" s="661" t="str">
        <f t="shared" ca="1" si="147"/>
        <v/>
      </c>
      <c r="IE288" s="658"/>
      <c r="IF288" s="658"/>
      <c r="IG288" s="658"/>
      <c r="IH288" s="658"/>
    </row>
    <row r="289" spans="1:242" s="179" customFormat="1" hidden="1">
      <c r="B289" s="1090"/>
      <c r="C289" s="654" t="s">
        <v>4288</v>
      </c>
      <c r="D289" s="655"/>
      <c r="E289" s="656" t="str">
        <f ca="1">IF(E288="","",IFERROR(INDEX($E284:$BB284,MATCH(E288,$BD285:$DA285,0)),""))</f>
        <v/>
      </c>
      <c r="F289" s="656" t="str">
        <f t="shared" ref="F289:N289" ca="1" si="148">IF(F288="","",IFERROR(INDEX($E284:$BB284,MATCH(F288,$BD285:$DA285,0)),""))</f>
        <v/>
      </c>
      <c r="G289" s="656" t="str">
        <f t="shared" ca="1" si="148"/>
        <v/>
      </c>
      <c r="H289" s="656" t="str">
        <f t="shared" ca="1" si="148"/>
        <v/>
      </c>
      <c r="I289" s="656" t="str">
        <f t="shared" ca="1" si="148"/>
        <v/>
      </c>
      <c r="J289" s="656" t="str">
        <f t="shared" ca="1" si="148"/>
        <v/>
      </c>
      <c r="K289" s="656" t="str">
        <f t="shared" ca="1" si="148"/>
        <v/>
      </c>
      <c r="L289" s="656" t="str">
        <f t="shared" ca="1" si="148"/>
        <v/>
      </c>
      <c r="M289" s="656" t="str">
        <f t="shared" ca="1" si="148"/>
        <v/>
      </c>
      <c r="N289" s="656" t="str">
        <f t="shared" ca="1" si="148"/>
        <v/>
      </c>
      <c r="O289" s="656" t="str">
        <f ca="1">IF(O288="","",IFERROR(INDEX($E284:$BB284,MATCH(O288,$BD285:$DA285,0)),""))</f>
        <v/>
      </c>
      <c r="P289" s="656" t="str">
        <f t="shared" ref="P289:BB289" ca="1" si="149">IF(P288="","",IFERROR(INDEX($E284:$BB284,MATCH(P288,$BD285:$DA285,0)),""))</f>
        <v/>
      </c>
      <c r="Q289" s="656" t="str">
        <f t="shared" ca="1" si="149"/>
        <v/>
      </c>
      <c r="R289" s="656" t="str">
        <f t="shared" ca="1" si="149"/>
        <v/>
      </c>
      <c r="S289" s="656" t="str">
        <f t="shared" ca="1" si="149"/>
        <v/>
      </c>
      <c r="T289" s="656" t="str">
        <f t="shared" ca="1" si="149"/>
        <v/>
      </c>
      <c r="U289" s="656" t="str">
        <f t="shared" ca="1" si="149"/>
        <v/>
      </c>
      <c r="V289" s="656" t="str">
        <f t="shared" ca="1" si="149"/>
        <v/>
      </c>
      <c r="W289" s="656" t="str">
        <f t="shared" ca="1" si="149"/>
        <v/>
      </c>
      <c r="X289" s="656" t="str">
        <f t="shared" ca="1" si="149"/>
        <v/>
      </c>
      <c r="Y289" s="656" t="str">
        <f t="shared" ca="1" si="149"/>
        <v/>
      </c>
      <c r="Z289" s="656" t="str">
        <f t="shared" ca="1" si="149"/>
        <v/>
      </c>
      <c r="AA289" s="656" t="str">
        <f t="shared" ca="1" si="149"/>
        <v/>
      </c>
      <c r="AB289" s="656" t="str">
        <f t="shared" ca="1" si="149"/>
        <v/>
      </c>
      <c r="AC289" s="656" t="str">
        <f t="shared" ca="1" si="149"/>
        <v/>
      </c>
      <c r="AD289" s="656" t="str">
        <f t="shared" ca="1" si="149"/>
        <v/>
      </c>
      <c r="AE289" s="656" t="str">
        <f t="shared" ca="1" si="149"/>
        <v/>
      </c>
      <c r="AF289" s="656" t="str">
        <f t="shared" ca="1" si="149"/>
        <v/>
      </c>
      <c r="AG289" s="656" t="str">
        <f t="shared" ca="1" si="149"/>
        <v/>
      </c>
      <c r="AH289" s="656" t="str">
        <f t="shared" ca="1" si="149"/>
        <v/>
      </c>
      <c r="AI289" s="656" t="str">
        <f t="shared" ca="1" si="149"/>
        <v/>
      </c>
      <c r="AJ289" s="656" t="str">
        <f t="shared" ca="1" si="149"/>
        <v/>
      </c>
      <c r="AK289" s="656" t="str">
        <f t="shared" ca="1" si="149"/>
        <v/>
      </c>
      <c r="AL289" s="656" t="str">
        <f t="shared" ca="1" si="149"/>
        <v/>
      </c>
      <c r="AM289" s="656" t="str">
        <f t="shared" ca="1" si="149"/>
        <v/>
      </c>
      <c r="AN289" s="656" t="str">
        <f t="shared" ca="1" si="149"/>
        <v/>
      </c>
      <c r="AO289" s="656" t="str">
        <f t="shared" ca="1" si="149"/>
        <v/>
      </c>
      <c r="AP289" s="656" t="str">
        <f t="shared" ca="1" si="149"/>
        <v/>
      </c>
      <c r="AQ289" s="656" t="str">
        <f t="shared" ca="1" si="149"/>
        <v/>
      </c>
      <c r="AR289" s="656" t="str">
        <f t="shared" ca="1" si="149"/>
        <v/>
      </c>
      <c r="AS289" s="656" t="str">
        <f t="shared" ca="1" si="149"/>
        <v/>
      </c>
      <c r="AT289" s="656" t="str">
        <f t="shared" ca="1" si="149"/>
        <v/>
      </c>
      <c r="AU289" s="656" t="str">
        <f t="shared" ca="1" si="149"/>
        <v/>
      </c>
      <c r="AV289" s="656" t="str">
        <f t="shared" ca="1" si="149"/>
        <v/>
      </c>
      <c r="AW289" s="656" t="str">
        <f t="shared" ca="1" si="149"/>
        <v/>
      </c>
      <c r="AX289" s="656" t="str">
        <f t="shared" ca="1" si="149"/>
        <v/>
      </c>
      <c r="AY289" s="656" t="str">
        <f t="shared" ca="1" si="149"/>
        <v/>
      </c>
      <c r="AZ289" s="656" t="str">
        <f t="shared" ca="1" si="149"/>
        <v/>
      </c>
      <c r="BA289" s="657" t="str">
        <f t="shared" ca="1" si="149"/>
        <v/>
      </c>
      <c r="BB289" s="655" t="str">
        <f t="shared" ca="1" si="149"/>
        <v/>
      </c>
      <c r="IE289" s="658"/>
      <c r="IF289" s="658"/>
      <c r="IG289" s="658"/>
      <c r="IH289" s="658"/>
    </row>
    <row r="290" spans="1:242" s="197" customFormat="1" ht="19.8" hidden="1">
      <c r="A290" s="179"/>
      <c r="B290" s="1090"/>
      <c r="C290" s="227" t="s">
        <v>4289</v>
      </c>
      <c r="D290" s="228">
        <v>6</v>
      </c>
      <c r="E290" s="229" t="str">
        <f t="shared" ref="E290:AJ290" ca="1" si="150">IFERROR(OFFSET(貼付け_2024実績,$D290,E289+1)&amp;"","")</f>
        <v/>
      </c>
      <c r="F290" s="229" t="str">
        <f t="shared" ca="1" si="150"/>
        <v/>
      </c>
      <c r="G290" s="229" t="str">
        <f t="shared" ca="1" si="150"/>
        <v/>
      </c>
      <c r="H290" s="229" t="str">
        <f t="shared" ca="1" si="150"/>
        <v/>
      </c>
      <c r="I290" s="229" t="str">
        <f t="shared" ca="1" si="150"/>
        <v/>
      </c>
      <c r="J290" s="229" t="str">
        <f t="shared" ca="1" si="150"/>
        <v/>
      </c>
      <c r="K290" s="229" t="str">
        <f t="shared" ca="1" si="150"/>
        <v/>
      </c>
      <c r="L290" s="229" t="str">
        <f t="shared" ca="1" si="150"/>
        <v/>
      </c>
      <c r="M290" s="229" t="str">
        <f t="shared" ca="1" si="150"/>
        <v/>
      </c>
      <c r="N290" s="229" t="str">
        <f t="shared" ca="1" si="150"/>
        <v/>
      </c>
      <c r="O290" s="229" t="str">
        <f ca="1">IFERROR(OFFSET(貼付け_2024実績,$D290,O289+1)&amp;"","")</f>
        <v/>
      </c>
      <c r="P290" s="229" t="str">
        <f t="shared" ca="1" si="150"/>
        <v/>
      </c>
      <c r="Q290" s="229" t="str">
        <f t="shared" ca="1" si="150"/>
        <v/>
      </c>
      <c r="R290" s="229" t="str">
        <f t="shared" ca="1" si="150"/>
        <v/>
      </c>
      <c r="S290" s="229" t="str">
        <f t="shared" ca="1" si="150"/>
        <v/>
      </c>
      <c r="T290" s="229" t="str">
        <f t="shared" ca="1" si="150"/>
        <v/>
      </c>
      <c r="U290" s="229" t="str">
        <f t="shared" ca="1" si="150"/>
        <v/>
      </c>
      <c r="V290" s="229" t="str">
        <f t="shared" ca="1" si="150"/>
        <v/>
      </c>
      <c r="W290" s="229" t="str">
        <f t="shared" ca="1" si="150"/>
        <v/>
      </c>
      <c r="X290" s="229" t="str">
        <f t="shared" ca="1" si="150"/>
        <v/>
      </c>
      <c r="Y290" s="229" t="str">
        <f t="shared" ca="1" si="150"/>
        <v/>
      </c>
      <c r="Z290" s="229" t="str">
        <f t="shared" ca="1" si="150"/>
        <v/>
      </c>
      <c r="AA290" s="229" t="str">
        <f t="shared" ca="1" si="150"/>
        <v/>
      </c>
      <c r="AB290" s="229" t="str">
        <f t="shared" ca="1" si="150"/>
        <v/>
      </c>
      <c r="AC290" s="229" t="str">
        <f t="shared" ca="1" si="150"/>
        <v/>
      </c>
      <c r="AD290" s="229" t="str">
        <f t="shared" ca="1" si="150"/>
        <v/>
      </c>
      <c r="AE290" s="229" t="str">
        <f t="shared" ca="1" si="150"/>
        <v/>
      </c>
      <c r="AF290" s="229" t="str">
        <f t="shared" ca="1" si="150"/>
        <v/>
      </c>
      <c r="AG290" s="229" t="str">
        <f t="shared" ca="1" si="150"/>
        <v/>
      </c>
      <c r="AH290" s="229" t="str">
        <f t="shared" ca="1" si="150"/>
        <v/>
      </c>
      <c r="AI290" s="229" t="str">
        <f t="shared" ca="1" si="150"/>
        <v/>
      </c>
      <c r="AJ290" s="229" t="str">
        <f t="shared" ca="1" si="150"/>
        <v/>
      </c>
      <c r="AK290" s="229" t="str">
        <f t="shared" ref="AK290:BB290" ca="1" si="151">IFERROR(OFFSET(貼付け_2024実績,$D290,AK289+1)&amp;"","")</f>
        <v/>
      </c>
      <c r="AL290" s="229" t="str">
        <f t="shared" ca="1" si="151"/>
        <v/>
      </c>
      <c r="AM290" s="229" t="str">
        <f t="shared" ca="1" si="151"/>
        <v/>
      </c>
      <c r="AN290" s="229" t="str">
        <f t="shared" ca="1" si="151"/>
        <v/>
      </c>
      <c r="AO290" s="229" t="str">
        <f t="shared" ca="1" si="151"/>
        <v/>
      </c>
      <c r="AP290" s="229" t="str">
        <f t="shared" ca="1" si="151"/>
        <v/>
      </c>
      <c r="AQ290" s="229" t="str">
        <f t="shared" ca="1" si="151"/>
        <v/>
      </c>
      <c r="AR290" s="229" t="str">
        <f t="shared" ca="1" si="151"/>
        <v/>
      </c>
      <c r="AS290" s="229" t="str">
        <f t="shared" ca="1" si="151"/>
        <v/>
      </c>
      <c r="AT290" s="229" t="str">
        <f t="shared" ca="1" si="151"/>
        <v/>
      </c>
      <c r="AU290" s="229" t="str">
        <f t="shared" ca="1" si="151"/>
        <v/>
      </c>
      <c r="AV290" s="229" t="str">
        <f t="shared" ca="1" si="151"/>
        <v/>
      </c>
      <c r="AW290" s="229" t="str">
        <f t="shared" ca="1" si="151"/>
        <v/>
      </c>
      <c r="AX290" s="229" t="str">
        <f t="shared" ca="1" si="151"/>
        <v/>
      </c>
      <c r="AY290" s="229" t="str">
        <f t="shared" ca="1" si="151"/>
        <v/>
      </c>
      <c r="AZ290" s="229" t="str">
        <f t="shared" ca="1" si="151"/>
        <v/>
      </c>
      <c r="BA290" s="230" t="str">
        <f t="shared" ca="1" si="151"/>
        <v/>
      </c>
      <c r="BB290" s="228" t="str">
        <f t="shared" ca="1" si="151"/>
        <v/>
      </c>
      <c r="BC290" s="231"/>
      <c r="IE290" s="219"/>
      <c r="IF290" s="219"/>
      <c r="IG290" s="219"/>
      <c r="IH290" s="219"/>
    </row>
    <row r="291" spans="1:242" s="197" customFormat="1" ht="20.100000000000001" hidden="1" customHeight="1">
      <c r="A291" s="179"/>
      <c r="B291" s="1090"/>
      <c r="C291" s="232" t="s">
        <v>4290</v>
      </c>
      <c r="D291" s="233">
        <v>99</v>
      </c>
      <c r="E291" s="234" t="str">
        <f t="shared" ref="E291:AJ291" ca="1" si="152">IFERROR(OFFSET(貼付け_2024実績,$D291,E289),"")&amp;""</f>
        <v/>
      </c>
      <c r="F291" s="234" t="str">
        <f t="shared" ca="1" si="152"/>
        <v/>
      </c>
      <c r="G291" s="234" t="str">
        <f t="shared" ca="1" si="152"/>
        <v/>
      </c>
      <c r="H291" s="234" t="str">
        <f t="shared" ca="1" si="152"/>
        <v/>
      </c>
      <c r="I291" s="234" t="str">
        <f t="shared" ca="1" si="152"/>
        <v/>
      </c>
      <c r="J291" s="234" t="str">
        <f t="shared" ca="1" si="152"/>
        <v/>
      </c>
      <c r="K291" s="234" t="str">
        <f t="shared" ca="1" si="152"/>
        <v/>
      </c>
      <c r="L291" s="234" t="str">
        <f t="shared" ca="1" si="152"/>
        <v/>
      </c>
      <c r="M291" s="234" t="str">
        <f t="shared" ca="1" si="152"/>
        <v/>
      </c>
      <c r="N291" s="234" t="str">
        <f t="shared" ca="1" si="152"/>
        <v/>
      </c>
      <c r="O291" s="234" t="str">
        <f ca="1">IFERROR(OFFSET(貼付け_2024実績,$D291,O289),"")&amp;""</f>
        <v/>
      </c>
      <c r="P291" s="234" t="str">
        <f t="shared" ca="1" si="152"/>
        <v/>
      </c>
      <c r="Q291" s="234" t="str">
        <f t="shared" ca="1" si="152"/>
        <v/>
      </c>
      <c r="R291" s="234" t="str">
        <f t="shared" ca="1" si="152"/>
        <v/>
      </c>
      <c r="S291" s="234" t="str">
        <f t="shared" ca="1" si="152"/>
        <v/>
      </c>
      <c r="T291" s="234" t="str">
        <f t="shared" ca="1" si="152"/>
        <v/>
      </c>
      <c r="U291" s="234" t="str">
        <f t="shared" ca="1" si="152"/>
        <v/>
      </c>
      <c r="V291" s="234" t="str">
        <f t="shared" ca="1" si="152"/>
        <v/>
      </c>
      <c r="W291" s="234" t="str">
        <f t="shared" ca="1" si="152"/>
        <v/>
      </c>
      <c r="X291" s="234" t="str">
        <f t="shared" ca="1" si="152"/>
        <v/>
      </c>
      <c r="Y291" s="234" t="str">
        <f t="shared" ca="1" si="152"/>
        <v/>
      </c>
      <c r="Z291" s="234" t="str">
        <f t="shared" ca="1" si="152"/>
        <v/>
      </c>
      <c r="AA291" s="234" t="str">
        <f t="shared" ca="1" si="152"/>
        <v/>
      </c>
      <c r="AB291" s="234" t="str">
        <f t="shared" ca="1" si="152"/>
        <v/>
      </c>
      <c r="AC291" s="234" t="str">
        <f t="shared" ca="1" si="152"/>
        <v/>
      </c>
      <c r="AD291" s="234" t="str">
        <f t="shared" ca="1" si="152"/>
        <v/>
      </c>
      <c r="AE291" s="234" t="str">
        <f t="shared" ca="1" si="152"/>
        <v/>
      </c>
      <c r="AF291" s="234" t="str">
        <f t="shared" ca="1" si="152"/>
        <v/>
      </c>
      <c r="AG291" s="234" t="str">
        <f t="shared" ca="1" si="152"/>
        <v/>
      </c>
      <c r="AH291" s="234" t="str">
        <f t="shared" ca="1" si="152"/>
        <v/>
      </c>
      <c r="AI291" s="234" t="str">
        <f t="shared" ca="1" si="152"/>
        <v/>
      </c>
      <c r="AJ291" s="234" t="str">
        <f t="shared" ca="1" si="152"/>
        <v/>
      </c>
      <c r="AK291" s="234" t="str">
        <f t="shared" ref="AK291:BB291" ca="1" si="153">IFERROR(OFFSET(貼付け_2024実績,$D291,AK289),"")&amp;""</f>
        <v/>
      </c>
      <c r="AL291" s="234" t="str">
        <f t="shared" ca="1" si="153"/>
        <v/>
      </c>
      <c r="AM291" s="234" t="str">
        <f t="shared" ca="1" si="153"/>
        <v/>
      </c>
      <c r="AN291" s="234" t="str">
        <f t="shared" ca="1" si="153"/>
        <v/>
      </c>
      <c r="AO291" s="234" t="str">
        <f t="shared" ca="1" si="153"/>
        <v/>
      </c>
      <c r="AP291" s="234" t="str">
        <f t="shared" ca="1" si="153"/>
        <v/>
      </c>
      <c r="AQ291" s="234" t="str">
        <f t="shared" ca="1" si="153"/>
        <v/>
      </c>
      <c r="AR291" s="234" t="str">
        <f t="shared" ca="1" si="153"/>
        <v/>
      </c>
      <c r="AS291" s="234" t="str">
        <f t="shared" ca="1" si="153"/>
        <v/>
      </c>
      <c r="AT291" s="234" t="str">
        <f t="shared" ca="1" si="153"/>
        <v/>
      </c>
      <c r="AU291" s="234" t="str">
        <f t="shared" ca="1" si="153"/>
        <v/>
      </c>
      <c r="AV291" s="234" t="str">
        <f t="shared" ca="1" si="153"/>
        <v/>
      </c>
      <c r="AW291" s="234" t="str">
        <f t="shared" ca="1" si="153"/>
        <v/>
      </c>
      <c r="AX291" s="234" t="str">
        <f t="shared" ca="1" si="153"/>
        <v/>
      </c>
      <c r="AY291" s="234" t="str">
        <f t="shared" ca="1" si="153"/>
        <v/>
      </c>
      <c r="AZ291" s="234" t="str">
        <f t="shared" ca="1" si="153"/>
        <v/>
      </c>
      <c r="BA291" s="234" t="str">
        <f t="shared" ca="1" si="153"/>
        <v/>
      </c>
      <c r="BB291" s="233" t="str">
        <f t="shared" ca="1" si="153"/>
        <v/>
      </c>
      <c r="IE291" s="219"/>
      <c r="IF291" s="219"/>
      <c r="IG291" s="219"/>
      <c r="IH291" s="219"/>
    </row>
    <row r="292" spans="1:242" s="197" customFormat="1" ht="20.100000000000001" hidden="1" customHeight="1">
      <c r="A292" s="179"/>
      <c r="B292" s="1090"/>
      <c r="C292" s="232" t="s">
        <v>4291</v>
      </c>
      <c r="D292" s="233">
        <v>6</v>
      </c>
      <c r="E292" s="234" t="str">
        <f t="shared" ref="E292:AJ292" ca="1" si="154">IFERROR(OFFSET(A1_集計2024,$D292,E289),"")</f>
        <v/>
      </c>
      <c r="F292" s="234" t="str">
        <f t="shared" ca="1" si="154"/>
        <v/>
      </c>
      <c r="G292" s="234" t="str">
        <f t="shared" ca="1" si="154"/>
        <v/>
      </c>
      <c r="H292" s="234" t="str">
        <f t="shared" ca="1" si="154"/>
        <v/>
      </c>
      <c r="I292" s="234" t="str">
        <f t="shared" ca="1" si="154"/>
        <v/>
      </c>
      <c r="J292" s="234" t="str">
        <f t="shared" ca="1" si="154"/>
        <v/>
      </c>
      <c r="K292" s="234" t="str">
        <f t="shared" ca="1" si="154"/>
        <v/>
      </c>
      <c r="L292" s="234" t="str">
        <f t="shared" ca="1" si="154"/>
        <v/>
      </c>
      <c r="M292" s="234" t="str">
        <f t="shared" ca="1" si="154"/>
        <v/>
      </c>
      <c r="N292" s="234" t="str">
        <f t="shared" ca="1" si="154"/>
        <v/>
      </c>
      <c r="O292" s="234" t="str">
        <f ca="1">IFERROR(OFFSET(A1_集計2024,$D292,O289),"")</f>
        <v/>
      </c>
      <c r="P292" s="234" t="str">
        <f t="shared" ca="1" si="154"/>
        <v/>
      </c>
      <c r="Q292" s="234" t="str">
        <f t="shared" ca="1" si="154"/>
        <v/>
      </c>
      <c r="R292" s="234" t="str">
        <f t="shared" ca="1" si="154"/>
        <v/>
      </c>
      <c r="S292" s="234" t="str">
        <f t="shared" ca="1" si="154"/>
        <v/>
      </c>
      <c r="T292" s="234" t="str">
        <f t="shared" ca="1" si="154"/>
        <v/>
      </c>
      <c r="U292" s="234" t="str">
        <f t="shared" ca="1" si="154"/>
        <v/>
      </c>
      <c r="V292" s="234" t="str">
        <f t="shared" ca="1" si="154"/>
        <v/>
      </c>
      <c r="W292" s="234" t="str">
        <f t="shared" ca="1" si="154"/>
        <v/>
      </c>
      <c r="X292" s="234" t="str">
        <f t="shared" ca="1" si="154"/>
        <v/>
      </c>
      <c r="Y292" s="234" t="str">
        <f t="shared" ca="1" si="154"/>
        <v/>
      </c>
      <c r="Z292" s="234" t="str">
        <f t="shared" ca="1" si="154"/>
        <v/>
      </c>
      <c r="AA292" s="234" t="str">
        <f t="shared" ca="1" si="154"/>
        <v/>
      </c>
      <c r="AB292" s="234" t="str">
        <f t="shared" ca="1" si="154"/>
        <v/>
      </c>
      <c r="AC292" s="234" t="str">
        <f t="shared" ca="1" si="154"/>
        <v/>
      </c>
      <c r="AD292" s="234" t="str">
        <f t="shared" ca="1" si="154"/>
        <v/>
      </c>
      <c r="AE292" s="234" t="str">
        <f t="shared" ca="1" si="154"/>
        <v/>
      </c>
      <c r="AF292" s="234" t="str">
        <f t="shared" ca="1" si="154"/>
        <v/>
      </c>
      <c r="AG292" s="234" t="str">
        <f t="shared" ca="1" si="154"/>
        <v/>
      </c>
      <c r="AH292" s="234" t="str">
        <f t="shared" ca="1" si="154"/>
        <v/>
      </c>
      <c r="AI292" s="234" t="str">
        <f t="shared" ca="1" si="154"/>
        <v/>
      </c>
      <c r="AJ292" s="234" t="str">
        <f t="shared" ca="1" si="154"/>
        <v/>
      </c>
      <c r="AK292" s="234" t="str">
        <f t="shared" ref="AK292:BB292" ca="1" si="155">IFERROR(OFFSET(A1_集計2024,$D292,AK289),"")</f>
        <v/>
      </c>
      <c r="AL292" s="234" t="str">
        <f t="shared" ca="1" si="155"/>
        <v/>
      </c>
      <c r="AM292" s="234" t="str">
        <f t="shared" ca="1" si="155"/>
        <v/>
      </c>
      <c r="AN292" s="234" t="str">
        <f t="shared" ca="1" si="155"/>
        <v/>
      </c>
      <c r="AO292" s="234" t="str">
        <f t="shared" ca="1" si="155"/>
        <v/>
      </c>
      <c r="AP292" s="234" t="str">
        <f t="shared" ca="1" si="155"/>
        <v/>
      </c>
      <c r="AQ292" s="234" t="str">
        <f t="shared" ca="1" si="155"/>
        <v/>
      </c>
      <c r="AR292" s="234" t="str">
        <f t="shared" ca="1" si="155"/>
        <v/>
      </c>
      <c r="AS292" s="234" t="str">
        <f t="shared" ca="1" si="155"/>
        <v/>
      </c>
      <c r="AT292" s="234" t="str">
        <f t="shared" ca="1" si="155"/>
        <v/>
      </c>
      <c r="AU292" s="234" t="str">
        <f t="shared" ca="1" si="155"/>
        <v/>
      </c>
      <c r="AV292" s="234" t="str">
        <f t="shared" ca="1" si="155"/>
        <v/>
      </c>
      <c r="AW292" s="234" t="str">
        <f t="shared" ca="1" si="155"/>
        <v/>
      </c>
      <c r="AX292" s="234" t="str">
        <f t="shared" ca="1" si="155"/>
        <v/>
      </c>
      <c r="AY292" s="234" t="str">
        <f t="shared" ca="1" si="155"/>
        <v/>
      </c>
      <c r="AZ292" s="234" t="str">
        <f t="shared" ca="1" si="155"/>
        <v/>
      </c>
      <c r="BA292" s="224" t="str">
        <f t="shared" ca="1" si="155"/>
        <v/>
      </c>
      <c r="BB292" s="233" t="str">
        <f t="shared" ca="1" si="155"/>
        <v/>
      </c>
      <c r="IE292" s="219"/>
      <c r="IF292" s="219"/>
      <c r="IG292" s="219"/>
      <c r="IH292" s="219"/>
    </row>
    <row r="293" spans="1:242" s="197" customFormat="1" ht="20.100000000000001" hidden="1" customHeight="1">
      <c r="A293" s="179"/>
      <c r="B293" s="1090"/>
      <c r="C293" s="232" t="s">
        <v>4292</v>
      </c>
      <c r="D293" s="233">
        <v>101</v>
      </c>
      <c r="E293" s="234" t="str">
        <f t="shared" ref="E293:AJ293" ca="1" si="156">IFERROR(OFFSET(貼付け_2024実績,$D293,E289),"")</f>
        <v/>
      </c>
      <c r="F293" s="234" t="str">
        <f t="shared" ca="1" si="156"/>
        <v/>
      </c>
      <c r="G293" s="234" t="str">
        <f t="shared" ca="1" si="156"/>
        <v/>
      </c>
      <c r="H293" s="234" t="str">
        <f t="shared" ca="1" si="156"/>
        <v/>
      </c>
      <c r="I293" s="234" t="str">
        <f t="shared" ca="1" si="156"/>
        <v/>
      </c>
      <c r="J293" s="234" t="str">
        <f t="shared" ca="1" si="156"/>
        <v/>
      </c>
      <c r="K293" s="234" t="str">
        <f t="shared" ca="1" si="156"/>
        <v/>
      </c>
      <c r="L293" s="234" t="str">
        <f t="shared" ca="1" si="156"/>
        <v/>
      </c>
      <c r="M293" s="234" t="str">
        <f t="shared" ca="1" si="156"/>
        <v/>
      </c>
      <c r="N293" s="234" t="str">
        <f t="shared" ca="1" si="156"/>
        <v/>
      </c>
      <c r="O293" s="234" t="str">
        <f ca="1">IFERROR(OFFSET(貼付け_2024実績,$D293,O289),"")</f>
        <v/>
      </c>
      <c r="P293" s="234" t="str">
        <f t="shared" ca="1" si="156"/>
        <v/>
      </c>
      <c r="Q293" s="234" t="str">
        <f t="shared" ca="1" si="156"/>
        <v/>
      </c>
      <c r="R293" s="234" t="str">
        <f t="shared" ca="1" si="156"/>
        <v/>
      </c>
      <c r="S293" s="234" t="str">
        <f t="shared" ca="1" si="156"/>
        <v/>
      </c>
      <c r="T293" s="234" t="str">
        <f t="shared" ca="1" si="156"/>
        <v/>
      </c>
      <c r="U293" s="234" t="str">
        <f t="shared" ca="1" si="156"/>
        <v/>
      </c>
      <c r="V293" s="234" t="str">
        <f t="shared" ca="1" si="156"/>
        <v/>
      </c>
      <c r="W293" s="234" t="str">
        <f t="shared" ca="1" si="156"/>
        <v/>
      </c>
      <c r="X293" s="234" t="str">
        <f t="shared" ca="1" si="156"/>
        <v/>
      </c>
      <c r="Y293" s="234" t="str">
        <f t="shared" ca="1" si="156"/>
        <v/>
      </c>
      <c r="Z293" s="234" t="str">
        <f t="shared" ca="1" si="156"/>
        <v/>
      </c>
      <c r="AA293" s="234" t="str">
        <f t="shared" ca="1" si="156"/>
        <v/>
      </c>
      <c r="AB293" s="234" t="str">
        <f t="shared" ca="1" si="156"/>
        <v/>
      </c>
      <c r="AC293" s="234" t="str">
        <f t="shared" ca="1" si="156"/>
        <v/>
      </c>
      <c r="AD293" s="234" t="str">
        <f t="shared" ca="1" si="156"/>
        <v/>
      </c>
      <c r="AE293" s="234" t="str">
        <f t="shared" ca="1" si="156"/>
        <v/>
      </c>
      <c r="AF293" s="234" t="str">
        <f t="shared" ca="1" si="156"/>
        <v/>
      </c>
      <c r="AG293" s="234" t="str">
        <f t="shared" ca="1" si="156"/>
        <v/>
      </c>
      <c r="AH293" s="234" t="str">
        <f t="shared" ca="1" si="156"/>
        <v/>
      </c>
      <c r="AI293" s="234" t="str">
        <f t="shared" ca="1" si="156"/>
        <v/>
      </c>
      <c r="AJ293" s="234" t="str">
        <f t="shared" ca="1" si="156"/>
        <v/>
      </c>
      <c r="AK293" s="234" t="str">
        <f t="shared" ref="AK293:BB293" ca="1" si="157">IFERROR(OFFSET(貼付け_2024実績,$D293,AK289),"")</f>
        <v/>
      </c>
      <c r="AL293" s="234" t="str">
        <f t="shared" ca="1" si="157"/>
        <v/>
      </c>
      <c r="AM293" s="234" t="str">
        <f t="shared" ca="1" si="157"/>
        <v/>
      </c>
      <c r="AN293" s="234" t="str">
        <f t="shared" ca="1" si="157"/>
        <v/>
      </c>
      <c r="AO293" s="234" t="str">
        <f t="shared" ca="1" si="157"/>
        <v/>
      </c>
      <c r="AP293" s="234" t="str">
        <f t="shared" ca="1" si="157"/>
        <v/>
      </c>
      <c r="AQ293" s="234" t="str">
        <f t="shared" ca="1" si="157"/>
        <v/>
      </c>
      <c r="AR293" s="234" t="str">
        <f t="shared" ca="1" si="157"/>
        <v/>
      </c>
      <c r="AS293" s="234" t="str">
        <f t="shared" ca="1" si="157"/>
        <v/>
      </c>
      <c r="AT293" s="234" t="str">
        <f t="shared" ca="1" si="157"/>
        <v/>
      </c>
      <c r="AU293" s="234" t="str">
        <f t="shared" ca="1" si="157"/>
        <v/>
      </c>
      <c r="AV293" s="234" t="str">
        <f t="shared" ca="1" si="157"/>
        <v/>
      </c>
      <c r="AW293" s="234" t="str">
        <f t="shared" ca="1" si="157"/>
        <v/>
      </c>
      <c r="AX293" s="234" t="str">
        <f t="shared" ca="1" si="157"/>
        <v/>
      </c>
      <c r="AY293" s="234" t="str">
        <f t="shared" ca="1" si="157"/>
        <v/>
      </c>
      <c r="AZ293" s="234" t="str">
        <f t="shared" ca="1" si="157"/>
        <v/>
      </c>
      <c r="BA293" s="224" t="str">
        <f t="shared" ca="1" si="157"/>
        <v/>
      </c>
      <c r="BB293" s="233" t="str">
        <f t="shared" ca="1" si="157"/>
        <v/>
      </c>
      <c r="IE293" s="219"/>
      <c r="IF293" s="219"/>
      <c r="IG293" s="219"/>
      <c r="IH293" s="219"/>
    </row>
    <row r="294" spans="1:242" s="197" customFormat="1" ht="20.100000000000001" hidden="1" customHeight="1">
      <c r="A294" s="179"/>
      <c r="B294" s="1090"/>
      <c r="C294" s="232" t="s">
        <v>4293</v>
      </c>
      <c r="D294" s="233"/>
      <c r="E294" s="234" t="str">
        <f ca="1">IFERROR(E292/E293,"")</f>
        <v/>
      </c>
      <c r="F294" s="234" t="str">
        <f t="shared" ref="F294:BB294" ca="1" si="158">IFERROR(F292/F293,"")</f>
        <v/>
      </c>
      <c r="G294" s="234" t="str">
        <f t="shared" ca="1" si="158"/>
        <v/>
      </c>
      <c r="H294" s="234" t="str">
        <f t="shared" ca="1" si="158"/>
        <v/>
      </c>
      <c r="I294" s="234" t="str">
        <f t="shared" ca="1" si="158"/>
        <v/>
      </c>
      <c r="J294" s="234" t="str">
        <f t="shared" ca="1" si="158"/>
        <v/>
      </c>
      <c r="K294" s="234" t="str">
        <f t="shared" ca="1" si="158"/>
        <v/>
      </c>
      <c r="L294" s="234" t="str">
        <f t="shared" ca="1" si="158"/>
        <v/>
      </c>
      <c r="M294" s="234" t="str">
        <f t="shared" ca="1" si="158"/>
        <v/>
      </c>
      <c r="N294" s="234" t="str">
        <f t="shared" ca="1" si="158"/>
        <v/>
      </c>
      <c r="O294" s="234" t="str">
        <f t="shared" ca="1" si="158"/>
        <v/>
      </c>
      <c r="P294" s="234" t="str">
        <f t="shared" ca="1" si="158"/>
        <v/>
      </c>
      <c r="Q294" s="234" t="str">
        <f t="shared" ca="1" si="158"/>
        <v/>
      </c>
      <c r="R294" s="234" t="str">
        <f t="shared" ca="1" si="158"/>
        <v/>
      </c>
      <c r="S294" s="234" t="str">
        <f t="shared" ca="1" si="158"/>
        <v/>
      </c>
      <c r="T294" s="234" t="str">
        <f t="shared" ca="1" si="158"/>
        <v/>
      </c>
      <c r="U294" s="234" t="str">
        <f t="shared" ca="1" si="158"/>
        <v/>
      </c>
      <c r="V294" s="234" t="str">
        <f t="shared" ca="1" si="158"/>
        <v/>
      </c>
      <c r="W294" s="234" t="str">
        <f t="shared" ca="1" si="158"/>
        <v/>
      </c>
      <c r="X294" s="234" t="str">
        <f t="shared" ca="1" si="158"/>
        <v/>
      </c>
      <c r="Y294" s="234" t="str">
        <f t="shared" ca="1" si="158"/>
        <v/>
      </c>
      <c r="Z294" s="234" t="str">
        <f t="shared" ca="1" si="158"/>
        <v/>
      </c>
      <c r="AA294" s="234" t="str">
        <f t="shared" ca="1" si="158"/>
        <v/>
      </c>
      <c r="AB294" s="234" t="str">
        <f t="shared" ca="1" si="158"/>
        <v/>
      </c>
      <c r="AC294" s="234" t="str">
        <f t="shared" ca="1" si="158"/>
        <v/>
      </c>
      <c r="AD294" s="234" t="str">
        <f t="shared" ca="1" si="158"/>
        <v/>
      </c>
      <c r="AE294" s="234" t="str">
        <f t="shared" ca="1" si="158"/>
        <v/>
      </c>
      <c r="AF294" s="234" t="str">
        <f t="shared" ca="1" si="158"/>
        <v/>
      </c>
      <c r="AG294" s="234" t="str">
        <f t="shared" ca="1" si="158"/>
        <v/>
      </c>
      <c r="AH294" s="234" t="str">
        <f t="shared" ca="1" si="158"/>
        <v/>
      </c>
      <c r="AI294" s="234" t="str">
        <f t="shared" ca="1" si="158"/>
        <v/>
      </c>
      <c r="AJ294" s="234" t="str">
        <f t="shared" ca="1" si="158"/>
        <v/>
      </c>
      <c r="AK294" s="234" t="str">
        <f t="shared" ca="1" si="158"/>
        <v/>
      </c>
      <c r="AL294" s="234" t="str">
        <f t="shared" ca="1" si="158"/>
        <v/>
      </c>
      <c r="AM294" s="234" t="str">
        <f t="shared" ca="1" si="158"/>
        <v/>
      </c>
      <c r="AN294" s="234" t="str">
        <f t="shared" ca="1" si="158"/>
        <v/>
      </c>
      <c r="AO294" s="234" t="str">
        <f t="shared" ca="1" si="158"/>
        <v/>
      </c>
      <c r="AP294" s="234" t="str">
        <f t="shared" ca="1" si="158"/>
        <v/>
      </c>
      <c r="AQ294" s="234" t="str">
        <f t="shared" ca="1" si="158"/>
        <v/>
      </c>
      <c r="AR294" s="234" t="str">
        <f t="shared" ca="1" si="158"/>
        <v/>
      </c>
      <c r="AS294" s="234" t="str">
        <f t="shared" ca="1" si="158"/>
        <v/>
      </c>
      <c r="AT294" s="234" t="str">
        <f t="shared" ca="1" si="158"/>
        <v/>
      </c>
      <c r="AU294" s="234" t="str">
        <f t="shared" ca="1" si="158"/>
        <v/>
      </c>
      <c r="AV294" s="234" t="str">
        <f t="shared" ca="1" si="158"/>
        <v/>
      </c>
      <c r="AW294" s="234" t="str">
        <f t="shared" ca="1" si="158"/>
        <v/>
      </c>
      <c r="AX294" s="234" t="str">
        <f t="shared" ca="1" si="158"/>
        <v/>
      </c>
      <c r="AY294" s="234" t="str">
        <f t="shared" ca="1" si="158"/>
        <v/>
      </c>
      <c r="AZ294" s="234" t="str">
        <f t="shared" ca="1" si="158"/>
        <v/>
      </c>
      <c r="BA294" s="224" t="str">
        <f t="shared" ca="1" si="158"/>
        <v/>
      </c>
      <c r="BB294" s="233" t="str">
        <f t="shared" ca="1" si="158"/>
        <v/>
      </c>
      <c r="IE294" s="219"/>
      <c r="IF294" s="219"/>
      <c r="IG294" s="219"/>
      <c r="IH294" s="219"/>
    </row>
    <row r="295" spans="1:242" s="197" customFormat="1" ht="20.100000000000001" hidden="1" customHeight="1" thickBot="1">
      <c r="A295" s="179"/>
      <c r="B295" s="1091"/>
      <c r="C295" s="235" t="s">
        <v>4294</v>
      </c>
      <c r="D295" s="236">
        <v>48</v>
      </c>
      <c r="E295" s="237"/>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6"/>
      <c r="IE295" s="219"/>
      <c r="IF295" s="219"/>
      <c r="IG295" s="219"/>
      <c r="IH295" s="219"/>
    </row>
    <row r="296" spans="1:242" s="197" customFormat="1" ht="20.100000000000001" hidden="1" customHeight="1">
      <c r="A296" s="179"/>
      <c r="B296" s="664" t="s">
        <v>4297</v>
      </c>
      <c r="C296" s="1092" t="s">
        <v>4298</v>
      </c>
      <c r="D296" s="1093"/>
      <c r="E296" s="665" t="s">
        <v>4299</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IE296" s="219"/>
      <c r="IF296" s="219"/>
      <c r="IG296" s="219"/>
      <c r="IH296" s="219"/>
    </row>
    <row r="297" spans="1:242" ht="18.600000000000001" hidden="1" thickBot="1">
      <c r="A297" s="179"/>
      <c r="B297" s="666" t="s">
        <v>4055</v>
      </c>
      <c r="C297" s="1094"/>
      <c r="D297" s="1095"/>
      <c r="E297" s="667" t="s">
        <v>4299</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row>
    <row r="298" spans="1:242" hidden="1">
      <c r="A298" s="179"/>
    </row>
    <row r="299" spans="1:242" ht="18.600000000000001" hidden="1" thickBot="1">
      <c r="A299" s="179"/>
      <c r="B299" s="1081" t="s">
        <v>4303</v>
      </c>
      <c r="C299" s="1082"/>
      <c r="D299" s="1083"/>
      <c r="E299" s="669" t="str">
        <f t="shared" ref="E299:AJ299" ca="1" si="159">IFERROR(OFFSET(貼付け_2024実績,6,E248+1)&amp;"","")</f>
        <v/>
      </c>
      <c r="F299" s="670" t="str">
        <f t="shared" ca="1" si="159"/>
        <v/>
      </c>
      <c r="G299" s="670" t="str">
        <f t="shared" ca="1" si="159"/>
        <v/>
      </c>
      <c r="H299" s="670" t="str">
        <f t="shared" ca="1" si="159"/>
        <v/>
      </c>
      <c r="I299" s="670" t="str">
        <f t="shared" ca="1" si="159"/>
        <v/>
      </c>
      <c r="J299" s="670" t="str">
        <f t="shared" ca="1" si="159"/>
        <v/>
      </c>
      <c r="K299" s="670" t="str">
        <f t="shared" ca="1" si="159"/>
        <v/>
      </c>
      <c r="L299" s="670" t="str">
        <f t="shared" ca="1" si="159"/>
        <v/>
      </c>
      <c r="M299" s="670" t="str">
        <f t="shared" ca="1" si="159"/>
        <v/>
      </c>
      <c r="N299" s="670" t="str">
        <f t="shared" ca="1" si="159"/>
        <v/>
      </c>
      <c r="O299" s="670" t="str">
        <f t="shared" ca="1" si="159"/>
        <v/>
      </c>
      <c r="P299" s="670" t="str">
        <f t="shared" ca="1" si="159"/>
        <v/>
      </c>
      <c r="Q299" s="670" t="str">
        <f t="shared" ca="1" si="159"/>
        <v/>
      </c>
      <c r="R299" s="670" t="str">
        <f t="shared" ca="1" si="159"/>
        <v/>
      </c>
      <c r="S299" s="670" t="str">
        <f t="shared" ca="1" si="159"/>
        <v/>
      </c>
      <c r="T299" s="670" t="str">
        <f t="shared" ca="1" si="159"/>
        <v/>
      </c>
      <c r="U299" s="670" t="str">
        <f t="shared" ca="1" si="159"/>
        <v/>
      </c>
      <c r="V299" s="670" t="str">
        <f t="shared" ca="1" si="159"/>
        <v/>
      </c>
      <c r="W299" s="670" t="str">
        <f t="shared" ca="1" si="159"/>
        <v/>
      </c>
      <c r="X299" s="670" t="str">
        <f t="shared" ca="1" si="159"/>
        <v/>
      </c>
      <c r="Y299" s="670" t="str">
        <f t="shared" ca="1" si="159"/>
        <v/>
      </c>
      <c r="Z299" s="670" t="str">
        <f t="shared" ca="1" si="159"/>
        <v/>
      </c>
      <c r="AA299" s="670" t="str">
        <f t="shared" ca="1" si="159"/>
        <v/>
      </c>
      <c r="AB299" s="670" t="str">
        <f t="shared" ca="1" si="159"/>
        <v/>
      </c>
      <c r="AC299" s="670" t="str">
        <f t="shared" ca="1" si="159"/>
        <v/>
      </c>
      <c r="AD299" s="670" t="str">
        <f t="shared" ca="1" si="159"/>
        <v/>
      </c>
      <c r="AE299" s="670" t="str">
        <f t="shared" ca="1" si="159"/>
        <v/>
      </c>
      <c r="AF299" s="670" t="str">
        <f t="shared" ca="1" si="159"/>
        <v/>
      </c>
      <c r="AG299" s="670" t="str">
        <f t="shared" ca="1" si="159"/>
        <v/>
      </c>
      <c r="AH299" s="670" t="str">
        <f t="shared" ca="1" si="159"/>
        <v/>
      </c>
      <c r="AI299" s="670" t="str">
        <f t="shared" ca="1" si="159"/>
        <v/>
      </c>
      <c r="AJ299" s="670" t="str">
        <f t="shared" ca="1" si="159"/>
        <v/>
      </c>
      <c r="AK299" s="670" t="str">
        <f t="shared" ref="AK299:BB299" ca="1" si="160">IFERROR(OFFSET(貼付け_2024実績,6,AK248+1)&amp;"","")</f>
        <v/>
      </c>
      <c r="AL299" s="670" t="str">
        <f t="shared" ca="1" si="160"/>
        <v/>
      </c>
      <c r="AM299" s="670" t="str">
        <f t="shared" ca="1" si="160"/>
        <v/>
      </c>
      <c r="AN299" s="670" t="str">
        <f t="shared" ca="1" si="160"/>
        <v/>
      </c>
      <c r="AO299" s="670" t="str">
        <f t="shared" ca="1" si="160"/>
        <v/>
      </c>
      <c r="AP299" s="670" t="str">
        <f t="shared" ca="1" si="160"/>
        <v/>
      </c>
      <c r="AQ299" s="670" t="str">
        <f t="shared" ca="1" si="160"/>
        <v/>
      </c>
      <c r="AR299" s="670" t="str">
        <f t="shared" ca="1" si="160"/>
        <v/>
      </c>
      <c r="AS299" s="670" t="str">
        <f t="shared" ca="1" si="160"/>
        <v/>
      </c>
      <c r="AT299" s="670" t="str">
        <f t="shared" ca="1" si="160"/>
        <v/>
      </c>
      <c r="AU299" s="670" t="str">
        <f t="shared" ca="1" si="160"/>
        <v/>
      </c>
      <c r="AV299" s="670" t="str">
        <f t="shared" ca="1" si="160"/>
        <v/>
      </c>
      <c r="AW299" s="670" t="str">
        <f t="shared" ca="1" si="160"/>
        <v/>
      </c>
      <c r="AX299" s="670" t="str">
        <f t="shared" ca="1" si="160"/>
        <v/>
      </c>
      <c r="AY299" s="670" t="str">
        <f t="shared" ca="1" si="160"/>
        <v/>
      </c>
      <c r="AZ299" s="670" t="str">
        <f t="shared" ca="1" si="160"/>
        <v/>
      </c>
      <c r="BA299" s="670" t="str">
        <f t="shared" ca="1" si="160"/>
        <v/>
      </c>
      <c r="BB299" s="671" t="str">
        <f t="shared" ca="1" si="160"/>
        <v/>
      </c>
    </row>
    <row r="300" spans="1:242" hidden="1">
      <c r="A300" s="179"/>
      <c r="B300" s="1098" t="s">
        <v>4304</v>
      </c>
      <c r="C300" s="672" t="s">
        <v>4054</v>
      </c>
      <c r="D300" s="673"/>
      <c r="E300" s="674" t="str">
        <f ca="1">E255</f>
        <v/>
      </c>
      <c r="F300" s="674" t="str">
        <f t="shared" ref="F300:BB300" ca="1" si="161">F255</f>
        <v/>
      </c>
      <c r="G300" s="674" t="str">
        <f t="shared" ca="1" si="161"/>
        <v/>
      </c>
      <c r="H300" s="674" t="str">
        <f t="shared" ca="1" si="161"/>
        <v/>
      </c>
      <c r="I300" s="674" t="str">
        <f t="shared" ca="1" si="161"/>
        <v/>
      </c>
      <c r="J300" s="674" t="str">
        <f t="shared" ca="1" si="161"/>
        <v/>
      </c>
      <c r="K300" s="674" t="str">
        <f t="shared" ca="1" si="161"/>
        <v/>
      </c>
      <c r="L300" s="674" t="str">
        <f t="shared" ca="1" si="161"/>
        <v/>
      </c>
      <c r="M300" s="674" t="str">
        <f t="shared" ca="1" si="161"/>
        <v/>
      </c>
      <c r="N300" s="674" t="str">
        <f t="shared" ca="1" si="161"/>
        <v/>
      </c>
      <c r="O300" s="674" t="str">
        <f t="shared" ca="1" si="161"/>
        <v/>
      </c>
      <c r="P300" s="674" t="str">
        <f t="shared" ca="1" si="161"/>
        <v/>
      </c>
      <c r="Q300" s="674" t="str">
        <f t="shared" ca="1" si="161"/>
        <v/>
      </c>
      <c r="R300" s="674" t="str">
        <f t="shared" ca="1" si="161"/>
        <v/>
      </c>
      <c r="S300" s="674" t="str">
        <f t="shared" ca="1" si="161"/>
        <v/>
      </c>
      <c r="T300" s="674" t="str">
        <f t="shared" ca="1" si="161"/>
        <v/>
      </c>
      <c r="U300" s="674" t="str">
        <f t="shared" ca="1" si="161"/>
        <v/>
      </c>
      <c r="V300" s="674" t="str">
        <f t="shared" ca="1" si="161"/>
        <v/>
      </c>
      <c r="W300" s="674" t="str">
        <f t="shared" ca="1" si="161"/>
        <v/>
      </c>
      <c r="X300" s="674" t="str">
        <f t="shared" ca="1" si="161"/>
        <v/>
      </c>
      <c r="Y300" s="674" t="str">
        <f t="shared" ca="1" si="161"/>
        <v/>
      </c>
      <c r="Z300" s="674" t="str">
        <f t="shared" ca="1" si="161"/>
        <v/>
      </c>
      <c r="AA300" s="674" t="str">
        <f t="shared" ca="1" si="161"/>
        <v/>
      </c>
      <c r="AB300" s="674" t="str">
        <f t="shared" ca="1" si="161"/>
        <v/>
      </c>
      <c r="AC300" s="674" t="str">
        <f t="shared" ca="1" si="161"/>
        <v/>
      </c>
      <c r="AD300" s="674" t="str">
        <f t="shared" ca="1" si="161"/>
        <v/>
      </c>
      <c r="AE300" s="674" t="str">
        <f t="shared" ca="1" si="161"/>
        <v/>
      </c>
      <c r="AF300" s="674" t="str">
        <f t="shared" ca="1" si="161"/>
        <v/>
      </c>
      <c r="AG300" s="674" t="str">
        <f t="shared" ca="1" si="161"/>
        <v/>
      </c>
      <c r="AH300" s="674" t="str">
        <f t="shared" ca="1" si="161"/>
        <v/>
      </c>
      <c r="AI300" s="674" t="str">
        <f t="shared" ca="1" si="161"/>
        <v/>
      </c>
      <c r="AJ300" s="674" t="str">
        <f t="shared" ca="1" si="161"/>
        <v/>
      </c>
      <c r="AK300" s="674" t="str">
        <f t="shared" ca="1" si="161"/>
        <v/>
      </c>
      <c r="AL300" s="674" t="str">
        <f t="shared" ca="1" si="161"/>
        <v/>
      </c>
      <c r="AM300" s="674" t="str">
        <f t="shared" ca="1" si="161"/>
        <v/>
      </c>
      <c r="AN300" s="674" t="str">
        <f t="shared" ca="1" si="161"/>
        <v/>
      </c>
      <c r="AO300" s="674" t="str">
        <f t="shared" ca="1" si="161"/>
        <v/>
      </c>
      <c r="AP300" s="674" t="str">
        <f t="shared" ca="1" si="161"/>
        <v/>
      </c>
      <c r="AQ300" s="674" t="str">
        <f t="shared" ca="1" si="161"/>
        <v/>
      </c>
      <c r="AR300" s="674" t="str">
        <f t="shared" ca="1" si="161"/>
        <v/>
      </c>
      <c r="AS300" s="674" t="str">
        <f t="shared" ca="1" si="161"/>
        <v/>
      </c>
      <c r="AT300" s="674" t="str">
        <f t="shared" ca="1" si="161"/>
        <v/>
      </c>
      <c r="AU300" s="674" t="str">
        <f t="shared" ca="1" si="161"/>
        <v/>
      </c>
      <c r="AV300" s="674" t="str">
        <f t="shared" ca="1" si="161"/>
        <v/>
      </c>
      <c r="AW300" s="674" t="str">
        <f t="shared" ca="1" si="161"/>
        <v/>
      </c>
      <c r="AX300" s="674" t="str">
        <f t="shared" ca="1" si="161"/>
        <v/>
      </c>
      <c r="AY300" s="674" t="str">
        <f t="shared" ca="1" si="161"/>
        <v/>
      </c>
      <c r="AZ300" s="674" t="str">
        <f t="shared" ca="1" si="161"/>
        <v/>
      </c>
      <c r="BA300" s="674" t="str">
        <f t="shared" ca="1" si="161"/>
        <v/>
      </c>
      <c r="BB300" s="675" t="str">
        <f t="shared" ca="1" si="161"/>
        <v/>
      </c>
    </row>
    <row r="301" spans="1:242" hidden="1">
      <c r="A301" s="179"/>
      <c r="B301" s="1099"/>
      <c r="C301" s="676" t="s">
        <v>4055</v>
      </c>
      <c r="D301" s="677"/>
      <c r="E301" s="642" t="str">
        <f ca="1">E267</f>
        <v/>
      </c>
      <c r="F301" s="642" t="str">
        <f t="shared" ref="F301:BB301" ca="1" si="162">F267</f>
        <v/>
      </c>
      <c r="G301" s="642" t="str">
        <f t="shared" ca="1" si="162"/>
        <v/>
      </c>
      <c r="H301" s="642" t="str">
        <f t="shared" ca="1" si="162"/>
        <v/>
      </c>
      <c r="I301" s="642" t="str">
        <f t="shared" ca="1" si="162"/>
        <v/>
      </c>
      <c r="J301" s="642" t="str">
        <f t="shared" ca="1" si="162"/>
        <v/>
      </c>
      <c r="K301" s="642" t="str">
        <f t="shared" ca="1" si="162"/>
        <v/>
      </c>
      <c r="L301" s="642" t="str">
        <f t="shared" ca="1" si="162"/>
        <v/>
      </c>
      <c r="M301" s="642" t="str">
        <f t="shared" ca="1" si="162"/>
        <v/>
      </c>
      <c r="N301" s="642" t="str">
        <f t="shared" ca="1" si="162"/>
        <v/>
      </c>
      <c r="O301" s="642" t="str">
        <f t="shared" ca="1" si="162"/>
        <v/>
      </c>
      <c r="P301" s="642" t="str">
        <f t="shared" ca="1" si="162"/>
        <v/>
      </c>
      <c r="Q301" s="642" t="str">
        <f t="shared" ca="1" si="162"/>
        <v/>
      </c>
      <c r="R301" s="642" t="str">
        <f t="shared" ca="1" si="162"/>
        <v/>
      </c>
      <c r="S301" s="642" t="str">
        <f t="shared" ca="1" si="162"/>
        <v/>
      </c>
      <c r="T301" s="642" t="str">
        <f t="shared" ca="1" si="162"/>
        <v/>
      </c>
      <c r="U301" s="642" t="str">
        <f t="shared" ca="1" si="162"/>
        <v/>
      </c>
      <c r="V301" s="642" t="str">
        <f t="shared" ca="1" si="162"/>
        <v/>
      </c>
      <c r="W301" s="642" t="str">
        <f t="shared" ca="1" si="162"/>
        <v/>
      </c>
      <c r="X301" s="642" t="str">
        <f t="shared" ca="1" si="162"/>
        <v/>
      </c>
      <c r="Y301" s="642" t="str">
        <f t="shared" ca="1" si="162"/>
        <v/>
      </c>
      <c r="Z301" s="642" t="str">
        <f t="shared" ca="1" si="162"/>
        <v/>
      </c>
      <c r="AA301" s="642" t="str">
        <f t="shared" ca="1" si="162"/>
        <v/>
      </c>
      <c r="AB301" s="642" t="str">
        <f t="shared" ca="1" si="162"/>
        <v/>
      </c>
      <c r="AC301" s="642" t="str">
        <f t="shared" ca="1" si="162"/>
        <v/>
      </c>
      <c r="AD301" s="642" t="str">
        <f t="shared" ca="1" si="162"/>
        <v/>
      </c>
      <c r="AE301" s="642" t="str">
        <f t="shared" ca="1" si="162"/>
        <v/>
      </c>
      <c r="AF301" s="642" t="str">
        <f t="shared" ca="1" si="162"/>
        <v/>
      </c>
      <c r="AG301" s="642" t="str">
        <f t="shared" ca="1" si="162"/>
        <v/>
      </c>
      <c r="AH301" s="642" t="str">
        <f t="shared" ca="1" si="162"/>
        <v/>
      </c>
      <c r="AI301" s="642" t="str">
        <f t="shared" ca="1" si="162"/>
        <v/>
      </c>
      <c r="AJ301" s="642" t="str">
        <f t="shared" ca="1" si="162"/>
        <v/>
      </c>
      <c r="AK301" s="642" t="str">
        <f t="shared" ca="1" si="162"/>
        <v/>
      </c>
      <c r="AL301" s="642" t="str">
        <f t="shared" ca="1" si="162"/>
        <v/>
      </c>
      <c r="AM301" s="642" t="str">
        <f t="shared" ca="1" si="162"/>
        <v/>
      </c>
      <c r="AN301" s="642" t="str">
        <f t="shared" ca="1" si="162"/>
        <v/>
      </c>
      <c r="AO301" s="642" t="str">
        <f t="shared" ca="1" si="162"/>
        <v/>
      </c>
      <c r="AP301" s="642" t="str">
        <f t="shared" ca="1" si="162"/>
        <v/>
      </c>
      <c r="AQ301" s="642" t="str">
        <f t="shared" ca="1" si="162"/>
        <v/>
      </c>
      <c r="AR301" s="642" t="str">
        <f t="shared" ca="1" si="162"/>
        <v/>
      </c>
      <c r="AS301" s="642" t="str">
        <f t="shared" ca="1" si="162"/>
        <v/>
      </c>
      <c r="AT301" s="642" t="str">
        <f t="shared" ca="1" si="162"/>
        <v/>
      </c>
      <c r="AU301" s="642" t="str">
        <f t="shared" ca="1" si="162"/>
        <v/>
      </c>
      <c r="AV301" s="642" t="str">
        <f t="shared" ca="1" si="162"/>
        <v/>
      </c>
      <c r="AW301" s="642" t="str">
        <f t="shared" ca="1" si="162"/>
        <v/>
      </c>
      <c r="AX301" s="642" t="str">
        <f t="shared" ca="1" si="162"/>
        <v/>
      </c>
      <c r="AY301" s="642" t="str">
        <f t="shared" ca="1" si="162"/>
        <v/>
      </c>
      <c r="AZ301" s="642" t="str">
        <f t="shared" ca="1" si="162"/>
        <v/>
      </c>
      <c r="BA301" s="642" t="str">
        <f t="shared" ca="1" si="162"/>
        <v/>
      </c>
      <c r="BB301" s="678" t="str">
        <f t="shared" ca="1" si="162"/>
        <v/>
      </c>
    </row>
    <row r="302" spans="1:242" hidden="1">
      <c r="A302" s="179"/>
      <c r="B302" s="1099"/>
      <c r="C302" s="676" t="s">
        <v>4056</v>
      </c>
      <c r="D302" s="1101"/>
      <c r="E302" s="642" t="str">
        <f ca="1">E279</f>
        <v/>
      </c>
      <c r="F302" s="642" t="str">
        <f t="shared" ref="F302:BB302" ca="1" si="163">F279</f>
        <v/>
      </c>
      <c r="G302" s="642" t="str">
        <f t="shared" ca="1" si="163"/>
        <v/>
      </c>
      <c r="H302" s="642" t="str">
        <f t="shared" ca="1" si="163"/>
        <v/>
      </c>
      <c r="I302" s="642" t="str">
        <f t="shared" ca="1" si="163"/>
        <v/>
      </c>
      <c r="J302" s="642" t="str">
        <f t="shared" ca="1" si="163"/>
        <v/>
      </c>
      <c r="K302" s="642" t="str">
        <f t="shared" ca="1" si="163"/>
        <v/>
      </c>
      <c r="L302" s="642" t="str">
        <f t="shared" ca="1" si="163"/>
        <v/>
      </c>
      <c r="M302" s="642" t="str">
        <f t="shared" ca="1" si="163"/>
        <v/>
      </c>
      <c r="N302" s="642" t="str">
        <f t="shared" ca="1" si="163"/>
        <v/>
      </c>
      <c r="O302" s="642" t="str">
        <f t="shared" ca="1" si="163"/>
        <v/>
      </c>
      <c r="P302" s="642" t="str">
        <f t="shared" ca="1" si="163"/>
        <v/>
      </c>
      <c r="Q302" s="642" t="str">
        <f t="shared" ca="1" si="163"/>
        <v/>
      </c>
      <c r="R302" s="642" t="str">
        <f t="shared" ca="1" si="163"/>
        <v/>
      </c>
      <c r="S302" s="642" t="str">
        <f t="shared" ca="1" si="163"/>
        <v/>
      </c>
      <c r="T302" s="642" t="str">
        <f t="shared" ca="1" si="163"/>
        <v/>
      </c>
      <c r="U302" s="642" t="str">
        <f t="shared" ca="1" si="163"/>
        <v/>
      </c>
      <c r="V302" s="642" t="str">
        <f t="shared" ca="1" si="163"/>
        <v/>
      </c>
      <c r="W302" s="642" t="str">
        <f t="shared" ca="1" si="163"/>
        <v/>
      </c>
      <c r="X302" s="642" t="str">
        <f t="shared" ca="1" si="163"/>
        <v/>
      </c>
      <c r="Y302" s="642" t="str">
        <f t="shared" ca="1" si="163"/>
        <v/>
      </c>
      <c r="Z302" s="642" t="str">
        <f t="shared" ca="1" si="163"/>
        <v/>
      </c>
      <c r="AA302" s="642" t="str">
        <f t="shared" ca="1" si="163"/>
        <v/>
      </c>
      <c r="AB302" s="642" t="str">
        <f t="shared" ca="1" si="163"/>
        <v/>
      </c>
      <c r="AC302" s="642" t="str">
        <f t="shared" ca="1" si="163"/>
        <v/>
      </c>
      <c r="AD302" s="642" t="str">
        <f t="shared" ca="1" si="163"/>
        <v/>
      </c>
      <c r="AE302" s="642" t="str">
        <f t="shared" ca="1" si="163"/>
        <v/>
      </c>
      <c r="AF302" s="642" t="str">
        <f t="shared" ca="1" si="163"/>
        <v/>
      </c>
      <c r="AG302" s="642" t="str">
        <f t="shared" ca="1" si="163"/>
        <v/>
      </c>
      <c r="AH302" s="642" t="str">
        <f t="shared" ca="1" si="163"/>
        <v/>
      </c>
      <c r="AI302" s="642" t="str">
        <f t="shared" ca="1" si="163"/>
        <v/>
      </c>
      <c r="AJ302" s="642" t="str">
        <f t="shared" ca="1" si="163"/>
        <v/>
      </c>
      <c r="AK302" s="642" t="str">
        <f t="shared" ca="1" si="163"/>
        <v/>
      </c>
      <c r="AL302" s="642" t="str">
        <f t="shared" ca="1" si="163"/>
        <v/>
      </c>
      <c r="AM302" s="642" t="str">
        <f t="shared" ca="1" si="163"/>
        <v/>
      </c>
      <c r="AN302" s="642" t="str">
        <f t="shared" ca="1" si="163"/>
        <v/>
      </c>
      <c r="AO302" s="642" t="str">
        <f t="shared" ca="1" si="163"/>
        <v/>
      </c>
      <c r="AP302" s="642" t="str">
        <f t="shared" ca="1" si="163"/>
        <v/>
      </c>
      <c r="AQ302" s="642" t="str">
        <f t="shared" ca="1" si="163"/>
        <v/>
      </c>
      <c r="AR302" s="642" t="str">
        <f t="shared" ca="1" si="163"/>
        <v/>
      </c>
      <c r="AS302" s="642" t="str">
        <f t="shared" ca="1" si="163"/>
        <v/>
      </c>
      <c r="AT302" s="642" t="str">
        <f t="shared" ca="1" si="163"/>
        <v/>
      </c>
      <c r="AU302" s="642" t="str">
        <f t="shared" ca="1" si="163"/>
        <v/>
      </c>
      <c r="AV302" s="642" t="str">
        <f t="shared" ca="1" si="163"/>
        <v/>
      </c>
      <c r="AW302" s="642" t="str">
        <f t="shared" ca="1" si="163"/>
        <v/>
      </c>
      <c r="AX302" s="642" t="str">
        <f t="shared" ca="1" si="163"/>
        <v/>
      </c>
      <c r="AY302" s="642" t="str">
        <f t="shared" ca="1" si="163"/>
        <v/>
      </c>
      <c r="AZ302" s="642" t="str">
        <f t="shared" ca="1" si="163"/>
        <v/>
      </c>
      <c r="BA302" s="642" t="str">
        <f t="shared" ca="1" si="163"/>
        <v/>
      </c>
      <c r="BB302" s="678" t="str">
        <f t="shared" ca="1" si="163"/>
        <v/>
      </c>
    </row>
    <row r="303" spans="1:242" ht="19.5" hidden="1" customHeight="1" thickBot="1">
      <c r="A303" s="179"/>
      <c r="B303" s="1100"/>
      <c r="C303" s="679" t="s">
        <v>4057</v>
      </c>
      <c r="D303" s="1102"/>
      <c r="E303" s="680" t="str">
        <f ca="1">E291</f>
        <v/>
      </c>
      <c r="F303" s="680" t="str">
        <f t="shared" ref="F303:BB303" ca="1" si="164">F291</f>
        <v/>
      </c>
      <c r="G303" s="680" t="str">
        <f t="shared" ca="1" si="164"/>
        <v/>
      </c>
      <c r="H303" s="680" t="str">
        <f t="shared" ca="1" si="164"/>
        <v/>
      </c>
      <c r="I303" s="680" t="str">
        <f t="shared" ca="1" si="164"/>
        <v/>
      </c>
      <c r="J303" s="680" t="str">
        <f t="shared" ca="1" si="164"/>
        <v/>
      </c>
      <c r="K303" s="680" t="str">
        <f t="shared" ca="1" si="164"/>
        <v/>
      </c>
      <c r="L303" s="680" t="str">
        <f t="shared" ca="1" si="164"/>
        <v/>
      </c>
      <c r="M303" s="680" t="str">
        <f t="shared" ca="1" si="164"/>
        <v/>
      </c>
      <c r="N303" s="680" t="str">
        <f t="shared" ca="1" si="164"/>
        <v/>
      </c>
      <c r="O303" s="680" t="str">
        <f t="shared" ca="1" si="164"/>
        <v/>
      </c>
      <c r="P303" s="680" t="str">
        <f t="shared" ca="1" si="164"/>
        <v/>
      </c>
      <c r="Q303" s="680" t="str">
        <f t="shared" ca="1" si="164"/>
        <v/>
      </c>
      <c r="R303" s="680" t="str">
        <f t="shared" ca="1" si="164"/>
        <v/>
      </c>
      <c r="S303" s="680" t="str">
        <f t="shared" ca="1" si="164"/>
        <v/>
      </c>
      <c r="T303" s="680" t="str">
        <f t="shared" ca="1" si="164"/>
        <v/>
      </c>
      <c r="U303" s="680" t="str">
        <f t="shared" ca="1" si="164"/>
        <v/>
      </c>
      <c r="V303" s="680" t="str">
        <f t="shared" ca="1" si="164"/>
        <v/>
      </c>
      <c r="W303" s="680" t="str">
        <f t="shared" ca="1" si="164"/>
        <v/>
      </c>
      <c r="X303" s="680" t="str">
        <f t="shared" ca="1" si="164"/>
        <v/>
      </c>
      <c r="Y303" s="680" t="str">
        <f t="shared" ca="1" si="164"/>
        <v/>
      </c>
      <c r="Z303" s="680" t="str">
        <f t="shared" ca="1" si="164"/>
        <v/>
      </c>
      <c r="AA303" s="680" t="str">
        <f t="shared" ca="1" si="164"/>
        <v/>
      </c>
      <c r="AB303" s="680" t="str">
        <f t="shared" ca="1" si="164"/>
        <v/>
      </c>
      <c r="AC303" s="680" t="str">
        <f t="shared" ca="1" si="164"/>
        <v/>
      </c>
      <c r="AD303" s="680" t="str">
        <f t="shared" ca="1" si="164"/>
        <v/>
      </c>
      <c r="AE303" s="680" t="str">
        <f t="shared" ca="1" si="164"/>
        <v/>
      </c>
      <c r="AF303" s="680" t="str">
        <f t="shared" ca="1" si="164"/>
        <v/>
      </c>
      <c r="AG303" s="680" t="str">
        <f t="shared" ca="1" si="164"/>
        <v/>
      </c>
      <c r="AH303" s="680" t="str">
        <f t="shared" ca="1" si="164"/>
        <v/>
      </c>
      <c r="AI303" s="680" t="str">
        <f t="shared" ca="1" si="164"/>
        <v/>
      </c>
      <c r="AJ303" s="680" t="str">
        <f t="shared" ca="1" si="164"/>
        <v/>
      </c>
      <c r="AK303" s="680" t="str">
        <f t="shared" ca="1" si="164"/>
        <v/>
      </c>
      <c r="AL303" s="680" t="str">
        <f t="shared" ca="1" si="164"/>
        <v/>
      </c>
      <c r="AM303" s="680" t="str">
        <f t="shared" ca="1" si="164"/>
        <v/>
      </c>
      <c r="AN303" s="680" t="str">
        <f t="shared" ca="1" si="164"/>
        <v/>
      </c>
      <c r="AO303" s="680" t="str">
        <f t="shared" ca="1" si="164"/>
        <v/>
      </c>
      <c r="AP303" s="680" t="str">
        <f t="shared" ca="1" si="164"/>
        <v/>
      </c>
      <c r="AQ303" s="680" t="str">
        <f t="shared" ca="1" si="164"/>
        <v/>
      </c>
      <c r="AR303" s="680" t="str">
        <f t="shared" ca="1" si="164"/>
        <v/>
      </c>
      <c r="AS303" s="680" t="str">
        <f t="shared" ca="1" si="164"/>
        <v/>
      </c>
      <c r="AT303" s="680" t="str">
        <f t="shared" ca="1" si="164"/>
        <v/>
      </c>
      <c r="AU303" s="680" t="str">
        <f t="shared" ca="1" si="164"/>
        <v/>
      </c>
      <c r="AV303" s="680" t="str">
        <f t="shared" ca="1" si="164"/>
        <v/>
      </c>
      <c r="AW303" s="680" t="str">
        <f t="shared" ca="1" si="164"/>
        <v/>
      </c>
      <c r="AX303" s="680" t="str">
        <f t="shared" ca="1" si="164"/>
        <v/>
      </c>
      <c r="AY303" s="680" t="str">
        <f t="shared" ca="1" si="164"/>
        <v/>
      </c>
      <c r="AZ303" s="680" t="str">
        <f t="shared" ca="1" si="164"/>
        <v/>
      </c>
      <c r="BA303" s="680" t="str">
        <f t="shared" ca="1" si="164"/>
        <v/>
      </c>
      <c r="BB303" s="681" t="str">
        <f t="shared" ca="1" si="164"/>
        <v/>
      </c>
    </row>
    <row r="304" spans="1:242" hidden="1">
      <c r="A304" s="179"/>
      <c r="B304" s="1098" t="s">
        <v>4305</v>
      </c>
      <c r="C304" s="672" t="s">
        <v>4054</v>
      </c>
      <c r="D304" s="673"/>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5"/>
    </row>
    <row r="305" spans="1:54" hidden="1">
      <c r="A305" s="179"/>
      <c r="B305" s="1099"/>
      <c r="C305" s="676" t="s">
        <v>4055</v>
      </c>
      <c r="D305" s="677"/>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c r="AD305" s="642"/>
      <c r="AE305" s="642"/>
      <c r="AF305" s="642"/>
      <c r="AG305" s="642"/>
      <c r="AH305" s="642"/>
      <c r="AI305" s="642"/>
      <c r="AJ305" s="642"/>
      <c r="AK305" s="642"/>
      <c r="AL305" s="642"/>
      <c r="AM305" s="642"/>
      <c r="AN305" s="642"/>
      <c r="AO305" s="642"/>
      <c r="AP305" s="642"/>
      <c r="AQ305" s="642"/>
      <c r="AR305" s="642"/>
      <c r="AS305" s="642"/>
      <c r="AT305" s="642"/>
      <c r="AU305" s="642"/>
      <c r="AV305" s="642"/>
      <c r="AW305" s="642"/>
      <c r="AX305" s="642"/>
      <c r="AY305" s="642"/>
      <c r="AZ305" s="642"/>
      <c r="BA305" s="642"/>
      <c r="BB305" s="678"/>
    </row>
    <row r="306" spans="1:54" hidden="1">
      <c r="A306" s="179"/>
      <c r="B306" s="1099"/>
      <c r="C306" s="676" t="s">
        <v>4056</v>
      </c>
      <c r="D306" s="677"/>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c r="AD306" s="642"/>
      <c r="AE306" s="642"/>
      <c r="AF306" s="642"/>
      <c r="AG306" s="642"/>
      <c r="AH306" s="642"/>
      <c r="AI306" s="642"/>
      <c r="AJ306" s="642"/>
      <c r="AK306" s="642"/>
      <c r="AL306" s="642"/>
      <c r="AM306" s="642"/>
      <c r="AN306" s="642"/>
      <c r="AO306" s="642"/>
      <c r="AP306" s="642"/>
      <c r="AQ306" s="642"/>
      <c r="AR306" s="642"/>
      <c r="AS306" s="642"/>
      <c r="AT306" s="642"/>
      <c r="AU306" s="642"/>
      <c r="AV306" s="642"/>
      <c r="AW306" s="642"/>
      <c r="AX306" s="642"/>
      <c r="AY306" s="642"/>
      <c r="AZ306" s="642"/>
      <c r="BA306" s="642"/>
      <c r="BB306" s="678"/>
    </row>
    <row r="307" spans="1:54" ht="18.600000000000001" hidden="1" thickBot="1">
      <c r="A307" s="179"/>
      <c r="B307" s="1100"/>
      <c r="C307" s="679" t="s">
        <v>4057</v>
      </c>
      <c r="D307" s="682"/>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1"/>
    </row>
    <row r="308" spans="1:54" hidden="1">
      <c r="A308" s="179"/>
      <c r="B308" s="1098" t="s">
        <v>4306</v>
      </c>
      <c r="C308" s="672" t="s">
        <v>4054</v>
      </c>
      <c r="D308" s="683"/>
      <c r="E308" s="674" t="str">
        <f ca="1">IF(AND($HE$10="",$HG$10=""),IF(AND(E300="",E252&lt;&gt;""),"&lt;"&amp;E312&amp;"&gt;要入力",IF(OR(E300=E304,E300="",E304=""),"","&lt;"&amp;E312&amp;"&gt;要修正("&amp;E300&amp;"→"&amp;E304&amp;")")),"")</f>
        <v/>
      </c>
      <c r="F308" s="674" t="str">
        <f t="shared" ref="F308:BB308" ca="1" si="165">IF(AND($HE$10="",$HG$10=""),IF(AND(F300="",F252&lt;&gt;""),"&lt;"&amp;F312&amp;"&gt;要入力",IF(OR(F300=F304,F300="",F304=""),"","&lt;"&amp;F312&amp;"&gt;要修正("&amp;F300&amp;"→"&amp;F304&amp;")")),"")</f>
        <v/>
      </c>
      <c r="G308" s="674" t="str">
        <f t="shared" ca="1" si="165"/>
        <v/>
      </c>
      <c r="H308" s="674" t="str">
        <f t="shared" ca="1" si="165"/>
        <v/>
      </c>
      <c r="I308" s="674" t="str">
        <f t="shared" ca="1" si="165"/>
        <v/>
      </c>
      <c r="J308" s="674" t="str">
        <f t="shared" ca="1" si="165"/>
        <v/>
      </c>
      <c r="K308" s="674" t="str">
        <f t="shared" ca="1" si="165"/>
        <v/>
      </c>
      <c r="L308" s="674" t="str">
        <f t="shared" ca="1" si="165"/>
        <v/>
      </c>
      <c r="M308" s="674" t="str">
        <f t="shared" ca="1" si="165"/>
        <v/>
      </c>
      <c r="N308" s="674" t="str">
        <f t="shared" ca="1" si="165"/>
        <v/>
      </c>
      <c r="O308" s="674" t="str">
        <f t="shared" ca="1" si="165"/>
        <v/>
      </c>
      <c r="P308" s="674" t="str">
        <f t="shared" ca="1" si="165"/>
        <v/>
      </c>
      <c r="Q308" s="674" t="str">
        <f t="shared" ca="1" si="165"/>
        <v/>
      </c>
      <c r="R308" s="674" t="str">
        <f t="shared" ca="1" si="165"/>
        <v/>
      </c>
      <c r="S308" s="674" t="str">
        <f t="shared" ca="1" si="165"/>
        <v/>
      </c>
      <c r="T308" s="674" t="str">
        <f t="shared" ca="1" si="165"/>
        <v/>
      </c>
      <c r="U308" s="674" t="str">
        <f t="shared" ca="1" si="165"/>
        <v/>
      </c>
      <c r="V308" s="674" t="str">
        <f t="shared" ca="1" si="165"/>
        <v/>
      </c>
      <c r="W308" s="674" t="str">
        <f t="shared" ca="1" si="165"/>
        <v/>
      </c>
      <c r="X308" s="674" t="str">
        <f t="shared" ca="1" si="165"/>
        <v/>
      </c>
      <c r="Y308" s="674" t="str">
        <f t="shared" ca="1" si="165"/>
        <v/>
      </c>
      <c r="Z308" s="674" t="str">
        <f t="shared" ca="1" si="165"/>
        <v/>
      </c>
      <c r="AA308" s="674" t="str">
        <f t="shared" ca="1" si="165"/>
        <v/>
      </c>
      <c r="AB308" s="674" t="str">
        <f t="shared" ca="1" si="165"/>
        <v/>
      </c>
      <c r="AC308" s="674" t="str">
        <f t="shared" ca="1" si="165"/>
        <v/>
      </c>
      <c r="AD308" s="674" t="str">
        <f t="shared" ca="1" si="165"/>
        <v/>
      </c>
      <c r="AE308" s="674" t="str">
        <f t="shared" ca="1" si="165"/>
        <v/>
      </c>
      <c r="AF308" s="674" t="str">
        <f t="shared" ca="1" si="165"/>
        <v/>
      </c>
      <c r="AG308" s="674" t="str">
        <f t="shared" ca="1" si="165"/>
        <v/>
      </c>
      <c r="AH308" s="674" t="str">
        <f t="shared" ca="1" si="165"/>
        <v/>
      </c>
      <c r="AI308" s="674" t="str">
        <f t="shared" ca="1" si="165"/>
        <v/>
      </c>
      <c r="AJ308" s="674" t="str">
        <f t="shared" ca="1" si="165"/>
        <v/>
      </c>
      <c r="AK308" s="674" t="str">
        <f t="shared" ca="1" si="165"/>
        <v/>
      </c>
      <c r="AL308" s="674" t="str">
        <f t="shared" ca="1" si="165"/>
        <v/>
      </c>
      <c r="AM308" s="674" t="str">
        <f t="shared" ca="1" si="165"/>
        <v/>
      </c>
      <c r="AN308" s="674" t="str">
        <f t="shared" ca="1" si="165"/>
        <v/>
      </c>
      <c r="AO308" s="674" t="str">
        <f t="shared" ca="1" si="165"/>
        <v/>
      </c>
      <c r="AP308" s="674" t="str">
        <f t="shared" ca="1" si="165"/>
        <v/>
      </c>
      <c r="AQ308" s="674" t="str">
        <f t="shared" ca="1" si="165"/>
        <v/>
      </c>
      <c r="AR308" s="674" t="str">
        <f t="shared" ca="1" si="165"/>
        <v/>
      </c>
      <c r="AS308" s="674" t="str">
        <f t="shared" ca="1" si="165"/>
        <v/>
      </c>
      <c r="AT308" s="674" t="str">
        <f t="shared" ca="1" si="165"/>
        <v/>
      </c>
      <c r="AU308" s="674" t="str">
        <f t="shared" ca="1" si="165"/>
        <v/>
      </c>
      <c r="AV308" s="674" t="str">
        <f t="shared" ca="1" si="165"/>
        <v/>
      </c>
      <c r="AW308" s="674" t="str">
        <f t="shared" ca="1" si="165"/>
        <v/>
      </c>
      <c r="AX308" s="674" t="str">
        <f t="shared" ca="1" si="165"/>
        <v/>
      </c>
      <c r="AY308" s="674" t="str">
        <f t="shared" ca="1" si="165"/>
        <v/>
      </c>
      <c r="AZ308" s="674" t="str">
        <f t="shared" ca="1" si="165"/>
        <v/>
      </c>
      <c r="BA308" s="674" t="str">
        <f t="shared" ca="1" si="165"/>
        <v/>
      </c>
      <c r="BB308" s="675" t="str">
        <f t="shared" ca="1" si="165"/>
        <v/>
      </c>
    </row>
    <row r="309" spans="1:54" hidden="1">
      <c r="A309" s="179"/>
      <c r="B309" s="1099"/>
      <c r="C309" s="676" t="s">
        <v>4055</v>
      </c>
      <c r="D309" s="684"/>
      <c r="E309" s="642" t="str">
        <f ca="1">IF(AND($HE$10="",$HG$10=""),IF(AND(E301="",E264&lt;&gt;""),"&lt;"&amp;E313&amp;"&gt;要入力",IF(OR(E301=E305,E301="",E305=""),"","&lt;"&amp;E313&amp;"&gt;要修正("&amp;E301&amp;"→"&amp;E305&amp;")")),"")</f>
        <v/>
      </c>
      <c r="F309" s="642" t="str">
        <f t="shared" ref="F309:BB309" ca="1" si="166">IF(AND($HE$10="",$HG$10=""),IF(AND(F301="",F264&lt;&gt;""),"&lt;"&amp;F313&amp;"&gt;要入力",IF(OR(F301=F305,F301="",F305=""),"","&lt;"&amp;F313&amp;"&gt;要修正("&amp;F301&amp;"→"&amp;F305&amp;")")),"")</f>
        <v/>
      </c>
      <c r="G309" s="642" t="str">
        <f t="shared" ca="1" si="166"/>
        <v/>
      </c>
      <c r="H309" s="642" t="str">
        <f t="shared" ca="1" si="166"/>
        <v/>
      </c>
      <c r="I309" s="642" t="str">
        <f t="shared" ca="1" si="166"/>
        <v/>
      </c>
      <c r="J309" s="642" t="str">
        <f t="shared" ca="1" si="166"/>
        <v/>
      </c>
      <c r="K309" s="642" t="str">
        <f t="shared" ca="1" si="166"/>
        <v/>
      </c>
      <c r="L309" s="642" t="str">
        <f t="shared" ca="1" si="166"/>
        <v/>
      </c>
      <c r="M309" s="642" t="str">
        <f t="shared" ca="1" si="166"/>
        <v/>
      </c>
      <c r="N309" s="642" t="str">
        <f t="shared" ca="1" si="166"/>
        <v/>
      </c>
      <c r="O309" s="642" t="str">
        <f t="shared" ca="1" si="166"/>
        <v/>
      </c>
      <c r="P309" s="642" t="str">
        <f t="shared" ca="1" si="166"/>
        <v/>
      </c>
      <c r="Q309" s="642" t="str">
        <f t="shared" ca="1" si="166"/>
        <v/>
      </c>
      <c r="R309" s="642" t="str">
        <f t="shared" ca="1" si="166"/>
        <v/>
      </c>
      <c r="S309" s="642" t="str">
        <f t="shared" ca="1" si="166"/>
        <v/>
      </c>
      <c r="T309" s="642" t="str">
        <f t="shared" ca="1" si="166"/>
        <v/>
      </c>
      <c r="U309" s="642" t="str">
        <f t="shared" ca="1" si="166"/>
        <v/>
      </c>
      <c r="V309" s="642" t="str">
        <f t="shared" ca="1" si="166"/>
        <v/>
      </c>
      <c r="W309" s="642" t="str">
        <f t="shared" ca="1" si="166"/>
        <v/>
      </c>
      <c r="X309" s="642" t="str">
        <f t="shared" ca="1" si="166"/>
        <v/>
      </c>
      <c r="Y309" s="642" t="str">
        <f t="shared" ca="1" si="166"/>
        <v/>
      </c>
      <c r="Z309" s="642" t="str">
        <f t="shared" ca="1" si="166"/>
        <v/>
      </c>
      <c r="AA309" s="642" t="str">
        <f t="shared" ca="1" si="166"/>
        <v/>
      </c>
      <c r="AB309" s="642" t="str">
        <f t="shared" ca="1" si="166"/>
        <v/>
      </c>
      <c r="AC309" s="642" t="str">
        <f t="shared" ca="1" si="166"/>
        <v/>
      </c>
      <c r="AD309" s="642" t="str">
        <f t="shared" ca="1" si="166"/>
        <v/>
      </c>
      <c r="AE309" s="642" t="str">
        <f t="shared" ca="1" si="166"/>
        <v/>
      </c>
      <c r="AF309" s="642" t="str">
        <f t="shared" ca="1" si="166"/>
        <v/>
      </c>
      <c r="AG309" s="642" t="str">
        <f t="shared" ca="1" si="166"/>
        <v/>
      </c>
      <c r="AH309" s="642" t="str">
        <f t="shared" ca="1" si="166"/>
        <v/>
      </c>
      <c r="AI309" s="642" t="str">
        <f t="shared" ca="1" si="166"/>
        <v/>
      </c>
      <c r="AJ309" s="642" t="str">
        <f t="shared" ca="1" si="166"/>
        <v/>
      </c>
      <c r="AK309" s="642" t="str">
        <f t="shared" ca="1" si="166"/>
        <v/>
      </c>
      <c r="AL309" s="642" t="str">
        <f t="shared" ca="1" si="166"/>
        <v/>
      </c>
      <c r="AM309" s="642" t="str">
        <f t="shared" ca="1" si="166"/>
        <v/>
      </c>
      <c r="AN309" s="642" t="str">
        <f t="shared" ca="1" si="166"/>
        <v/>
      </c>
      <c r="AO309" s="642" t="str">
        <f t="shared" ca="1" si="166"/>
        <v/>
      </c>
      <c r="AP309" s="642" t="str">
        <f t="shared" ca="1" si="166"/>
        <v/>
      </c>
      <c r="AQ309" s="642" t="str">
        <f t="shared" ca="1" si="166"/>
        <v/>
      </c>
      <c r="AR309" s="642" t="str">
        <f t="shared" ca="1" si="166"/>
        <v/>
      </c>
      <c r="AS309" s="642" t="str">
        <f t="shared" ca="1" si="166"/>
        <v/>
      </c>
      <c r="AT309" s="642" t="str">
        <f t="shared" ca="1" si="166"/>
        <v/>
      </c>
      <c r="AU309" s="642" t="str">
        <f t="shared" ca="1" si="166"/>
        <v/>
      </c>
      <c r="AV309" s="642" t="str">
        <f t="shared" ca="1" si="166"/>
        <v/>
      </c>
      <c r="AW309" s="642" t="str">
        <f t="shared" ca="1" si="166"/>
        <v/>
      </c>
      <c r="AX309" s="642" t="str">
        <f t="shared" ca="1" si="166"/>
        <v/>
      </c>
      <c r="AY309" s="642" t="str">
        <f t="shared" ca="1" si="166"/>
        <v/>
      </c>
      <c r="AZ309" s="642" t="str">
        <f t="shared" ca="1" si="166"/>
        <v/>
      </c>
      <c r="BA309" s="642" t="str">
        <f t="shared" ca="1" si="166"/>
        <v/>
      </c>
      <c r="BB309" s="678" t="str">
        <f t="shared" ca="1" si="166"/>
        <v/>
      </c>
    </row>
    <row r="310" spans="1:54" hidden="1">
      <c r="A310" s="179"/>
      <c r="B310" s="1099"/>
      <c r="C310" s="676" t="s">
        <v>4056</v>
      </c>
      <c r="D310" s="684"/>
      <c r="E310" s="642" t="str">
        <f ca="1">IF(AND($HE$10="",$HG$10=""),IF(AND(E302="",E276&lt;&gt;""),"&lt;"&amp;E314&amp;"&gt;要入力",IF(OR(E302=E306,E302="",E306=""),"","&lt;"&amp;E314&amp;"&gt;要修正("&amp;E302&amp;"→"&amp;E306&amp;")")),"")</f>
        <v/>
      </c>
      <c r="F310" s="642" t="str">
        <f t="shared" ref="F310:BB310" ca="1" si="167">IF(AND($HE$10="",$HG$10=""),IF(AND(F302="",F276&lt;&gt;""),"&lt;"&amp;F314&amp;"&gt;要入力",IF(OR(F302=F306,F302="",F306=""),"","&lt;"&amp;F314&amp;"&gt;要修正("&amp;F302&amp;"→"&amp;F306&amp;")")),"")</f>
        <v/>
      </c>
      <c r="G310" s="642" t="str">
        <f t="shared" ca="1" si="167"/>
        <v/>
      </c>
      <c r="H310" s="642" t="str">
        <f t="shared" ca="1" si="167"/>
        <v/>
      </c>
      <c r="I310" s="642" t="str">
        <f t="shared" ca="1" si="167"/>
        <v/>
      </c>
      <c r="J310" s="642" t="str">
        <f t="shared" ca="1" si="167"/>
        <v/>
      </c>
      <c r="K310" s="642" t="str">
        <f t="shared" ca="1" si="167"/>
        <v/>
      </c>
      <c r="L310" s="642" t="str">
        <f t="shared" ca="1" si="167"/>
        <v/>
      </c>
      <c r="M310" s="642" t="str">
        <f t="shared" ca="1" si="167"/>
        <v/>
      </c>
      <c r="N310" s="642" t="str">
        <f t="shared" ca="1" si="167"/>
        <v/>
      </c>
      <c r="O310" s="642" t="str">
        <f t="shared" ca="1" si="167"/>
        <v/>
      </c>
      <c r="P310" s="642" t="str">
        <f t="shared" ca="1" si="167"/>
        <v/>
      </c>
      <c r="Q310" s="642" t="str">
        <f t="shared" ca="1" si="167"/>
        <v/>
      </c>
      <c r="R310" s="642" t="str">
        <f t="shared" ca="1" si="167"/>
        <v/>
      </c>
      <c r="S310" s="642" t="str">
        <f t="shared" ca="1" si="167"/>
        <v/>
      </c>
      <c r="T310" s="642" t="str">
        <f t="shared" ca="1" si="167"/>
        <v/>
      </c>
      <c r="U310" s="642" t="str">
        <f t="shared" ca="1" si="167"/>
        <v/>
      </c>
      <c r="V310" s="642" t="str">
        <f t="shared" ca="1" si="167"/>
        <v/>
      </c>
      <c r="W310" s="642" t="str">
        <f t="shared" ca="1" si="167"/>
        <v/>
      </c>
      <c r="X310" s="642" t="str">
        <f t="shared" ca="1" si="167"/>
        <v/>
      </c>
      <c r="Y310" s="642" t="str">
        <f t="shared" ca="1" si="167"/>
        <v/>
      </c>
      <c r="Z310" s="642" t="str">
        <f t="shared" ca="1" si="167"/>
        <v/>
      </c>
      <c r="AA310" s="642" t="str">
        <f t="shared" ca="1" si="167"/>
        <v/>
      </c>
      <c r="AB310" s="642" t="str">
        <f t="shared" ca="1" si="167"/>
        <v/>
      </c>
      <c r="AC310" s="642" t="str">
        <f t="shared" ca="1" si="167"/>
        <v/>
      </c>
      <c r="AD310" s="642" t="str">
        <f t="shared" ca="1" si="167"/>
        <v/>
      </c>
      <c r="AE310" s="642" t="str">
        <f t="shared" ca="1" si="167"/>
        <v/>
      </c>
      <c r="AF310" s="642" t="str">
        <f t="shared" ca="1" si="167"/>
        <v/>
      </c>
      <c r="AG310" s="642" t="str">
        <f t="shared" ca="1" si="167"/>
        <v/>
      </c>
      <c r="AH310" s="642" t="str">
        <f t="shared" ca="1" si="167"/>
        <v/>
      </c>
      <c r="AI310" s="642" t="str">
        <f t="shared" ca="1" si="167"/>
        <v/>
      </c>
      <c r="AJ310" s="642" t="str">
        <f t="shared" ca="1" si="167"/>
        <v/>
      </c>
      <c r="AK310" s="642" t="str">
        <f t="shared" ca="1" si="167"/>
        <v/>
      </c>
      <c r="AL310" s="642" t="str">
        <f t="shared" ca="1" si="167"/>
        <v/>
      </c>
      <c r="AM310" s="642" t="str">
        <f t="shared" ca="1" si="167"/>
        <v/>
      </c>
      <c r="AN310" s="642" t="str">
        <f t="shared" ca="1" si="167"/>
        <v/>
      </c>
      <c r="AO310" s="642" t="str">
        <f t="shared" ca="1" si="167"/>
        <v/>
      </c>
      <c r="AP310" s="642" t="str">
        <f t="shared" ca="1" si="167"/>
        <v/>
      </c>
      <c r="AQ310" s="642" t="str">
        <f t="shared" ca="1" si="167"/>
        <v/>
      </c>
      <c r="AR310" s="642" t="str">
        <f t="shared" ca="1" si="167"/>
        <v/>
      </c>
      <c r="AS310" s="642" t="str">
        <f t="shared" ca="1" si="167"/>
        <v/>
      </c>
      <c r="AT310" s="642" t="str">
        <f t="shared" ca="1" si="167"/>
        <v/>
      </c>
      <c r="AU310" s="642" t="str">
        <f t="shared" ca="1" si="167"/>
        <v/>
      </c>
      <c r="AV310" s="642" t="str">
        <f t="shared" ca="1" si="167"/>
        <v/>
      </c>
      <c r="AW310" s="642" t="str">
        <f t="shared" ca="1" si="167"/>
        <v/>
      </c>
      <c r="AX310" s="642" t="str">
        <f t="shared" ca="1" si="167"/>
        <v/>
      </c>
      <c r="AY310" s="642" t="str">
        <f t="shared" ca="1" si="167"/>
        <v/>
      </c>
      <c r="AZ310" s="642" t="str">
        <f t="shared" ca="1" si="167"/>
        <v/>
      </c>
      <c r="BA310" s="642" t="str">
        <f t="shared" ca="1" si="167"/>
        <v/>
      </c>
      <c r="BB310" s="678" t="str">
        <f t="shared" ca="1" si="167"/>
        <v/>
      </c>
    </row>
    <row r="311" spans="1:54" ht="18.600000000000001" hidden="1" thickBot="1">
      <c r="A311" s="179"/>
      <c r="B311" s="1100"/>
      <c r="C311" s="679" t="s">
        <v>4057</v>
      </c>
      <c r="D311" s="685"/>
      <c r="E311" s="680" t="str">
        <f ca="1">IF(AND($HE$10="",$HG$10=""),IF(AND(E303="",E288&lt;&gt;""),"&lt;"&amp;E315&amp;"&gt;要入力",IF(OR(E303=E307,E303="",E307=""),"","&lt;"&amp;E315&amp;"&gt;要修正("&amp;E303&amp;"→"&amp;E307&amp;")")),"")</f>
        <v/>
      </c>
      <c r="F311" s="680" t="str">
        <f t="shared" ref="F311:BB311" ca="1" si="168">IF(AND($HE$10="",$HG$10=""),IF(AND(F303="",F288&lt;&gt;""),"&lt;"&amp;F315&amp;"&gt;要入力",IF(OR(F303=F307,F303="",F307=""),"","&lt;"&amp;F315&amp;"&gt;要修正("&amp;F303&amp;"→"&amp;F307&amp;")")),"")</f>
        <v/>
      </c>
      <c r="G311" s="680" t="str">
        <f t="shared" ca="1" si="168"/>
        <v/>
      </c>
      <c r="H311" s="680" t="str">
        <f t="shared" ca="1" si="168"/>
        <v/>
      </c>
      <c r="I311" s="680" t="str">
        <f t="shared" ca="1" si="168"/>
        <v/>
      </c>
      <c r="J311" s="680" t="str">
        <f t="shared" ca="1" si="168"/>
        <v/>
      </c>
      <c r="K311" s="680" t="str">
        <f t="shared" ca="1" si="168"/>
        <v/>
      </c>
      <c r="L311" s="680" t="str">
        <f t="shared" ca="1" si="168"/>
        <v/>
      </c>
      <c r="M311" s="680" t="str">
        <f t="shared" ca="1" si="168"/>
        <v/>
      </c>
      <c r="N311" s="680" t="str">
        <f t="shared" ca="1" si="168"/>
        <v/>
      </c>
      <c r="O311" s="680" t="str">
        <f t="shared" ca="1" si="168"/>
        <v/>
      </c>
      <c r="P311" s="680" t="str">
        <f t="shared" ca="1" si="168"/>
        <v/>
      </c>
      <c r="Q311" s="680" t="str">
        <f t="shared" ca="1" si="168"/>
        <v/>
      </c>
      <c r="R311" s="680" t="str">
        <f t="shared" ca="1" si="168"/>
        <v/>
      </c>
      <c r="S311" s="680" t="str">
        <f t="shared" ca="1" si="168"/>
        <v/>
      </c>
      <c r="T311" s="680" t="str">
        <f t="shared" ca="1" si="168"/>
        <v/>
      </c>
      <c r="U311" s="680" t="str">
        <f t="shared" ca="1" si="168"/>
        <v/>
      </c>
      <c r="V311" s="680" t="str">
        <f t="shared" ca="1" si="168"/>
        <v/>
      </c>
      <c r="W311" s="680" t="str">
        <f t="shared" ca="1" si="168"/>
        <v/>
      </c>
      <c r="X311" s="680" t="str">
        <f t="shared" ca="1" si="168"/>
        <v/>
      </c>
      <c r="Y311" s="680" t="str">
        <f t="shared" ca="1" si="168"/>
        <v/>
      </c>
      <c r="Z311" s="680" t="str">
        <f t="shared" ca="1" si="168"/>
        <v/>
      </c>
      <c r="AA311" s="680" t="str">
        <f t="shared" ca="1" si="168"/>
        <v/>
      </c>
      <c r="AB311" s="680" t="str">
        <f t="shared" ca="1" si="168"/>
        <v/>
      </c>
      <c r="AC311" s="680" t="str">
        <f t="shared" ca="1" si="168"/>
        <v/>
      </c>
      <c r="AD311" s="680" t="str">
        <f t="shared" ca="1" si="168"/>
        <v/>
      </c>
      <c r="AE311" s="680" t="str">
        <f t="shared" ca="1" si="168"/>
        <v/>
      </c>
      <c r="AF311" s="680" t="str">
        <f t="shared" ca="1" si="168"/>
        <v/>
      </c>
      <c r="AG311" s="680" t="str">
        <f t="shared" ca="1" si="168"/>
        <v/>
      </c>
      <c r="AH311" s="680" t="str">
        <f t="shared" ca="1" si="168"/>
        <v/>
      </c>
      <c r="AI311" s="680" t="str">
        <f t="shared" ca="1" si="168"/>
        <v/>
      </c>
      <c r="AJ311" s="680" t="str">
        <f t="shared" ca="1" si="168"/>
        <v/>
      </c>
      <c r="AK311" s="680" t="str">
        <f t="shared" ca="1" si="168"/>
        <v/>
      </c>
      <c r="AL311" s="680" t="str">
        <f t="shared" ca="1" si="168"/>
        <v/>
      </c>
      <c r="AM311" s="680" t="str">
        <f t="shared" ca="1" si="168"/>
        <v/>
      </c>
      <c r="AN311" s="680" t="str">
        <f t="shared" ca="1" si="168"/>
        <v/>
      </c>
      <c r="AO311" s="680" t="str">
        <f t="shared" ca="1" si="168"/>
        <v/>
      </c>
      <c r="AP311" s="680" t="str">
        <f t="shared" ca="1" si="168"/>
        <v/>
      </c>
      <c r="AQ311" s="680" t="str">
        <f t="shared" ca="1" si="168"/>
        <v/>
      </c>
      <c r="AR311" s="680" t="str">
        <f t="shared" ca="1" si="168"/>
        <v/>
      </c>
      <c r="AS311" s="680" t="str">
        <f t="shared" ca="1" si="168"/>
        <v/>
      </c>
      <c r="AT311" s="680" t="str">
        <f t="shared" ca="1" si="168"/>
        <v/>
      </c>
      <c r="AU311" s="680" t="str">
        <f t="shared" ca="1" si="168"/>
        <v/>
      </c>
      <c r="AV311" s="680" t="str">
        <f t="shared" ca="1" si="168"/>
        <v/>
      </c>
      <c r="AW311" s="680" t="str">
        <f t="shared" ca="1" si="168"/>
        <v/>
      </c>
      <c r="AX311" s="680" t="str">
        <f t="shared" ca="1" si="168"/>
        <v/>
      </c>
      <c r="AY311" s="680" t="str">
        <f t="shared" ca="1" si="168"/>
        <v/>
      </c>
      <c r="AZ311" s="680" t="str">
        <f t="shared" ca="1" si="168"/>
        <v/>
      </c>
      <c r="BA311" s="680" t="str">
        <f t="shared" ca="1" si="168"/>
        <v/>
      </c>
      <c r="BB311" s="681" t="str">
        <f t="shared" ca="1" si="168"/>
        <v/>
      </c>
    </row>
    <row r="312" spans="1:54" ht="14.25" hidden="1" customHeight="1">
      <c r="B312" s="1098" t="s">
        <v>4307</v>
      </c>
      <c r="C312" s="672" t="s">
        <v>4054</v>
      </c>
      <c r="D312" s="683"/>
      <c r="E312" s="674" t="str">
        <f t="shared" ref="E312:AJ312" ca="1" si="169">IFERROR(ADDRESS(ROW(貼付け_2024実績)+99,E253+COLUMN(貼付け_2024実績),4),"")</f>
        <v/>
      </c>
      <c r="F312" s="674" t="str">
        <f t="shared" ca="1" si="169"/>
        <v/>
      </c>
      <c r="G312" s="674" t="str">
        <f t="shared" ca="1" si="169"/>
        <v/>
      </c>
      <c r="H312" s="674" t="str">
        <f t="shared" ca="1" si="169"/>
        <v/>
      </c>
      <c r="I312" s="674" t="str">
        <f t="shared" ca="1" si="169"/>
        <v/>
      </c>
      <c r="J312" s="674" t="str">
        <f t="shared" ca="1" si="169"/>
        <v/>
      </c>
      <c r="K312" s="674" t="str">
        <f t="shared" ca="1" si="169"/>
        <v/>
      </c>
      <c r="L312" s="674" t="str">
        <f t="shared" ca="1" si="169"/>
        <v/>
      </c>
      <c r="M312" s="674" t="str">
        <f t="shared" ca="1" si="169"/>
        <v/>
      </c>
      <c r="N312" s="674" t="str">
        <f t="shared" ca="1" si="169"/>
        <v/>
      </c>
      <c r="O312" s="674" t="str">
        <f t="shared" ca="1" si="169"/>
        <v/>
      </c>
      <c r="P312" s="674" t="str">
        <f t="shared" ca="1" si="169"/>
        <v/>
      </c>
      <c r="Q312" s="674" t="str">
        <f t="shared" ca="1" si="169"/>
        <v/>
      </c>
      <c r="R312" s="674" t="str">
        <f t="shared" ca="1" si="169"/>
        <v/>
      </c>
      <c r="S312" s="674" t="str">
        <f t="shared" ca="1" si="169"/>
        <v/>
      </c>
      <c r="T312" s="674" t="str">
        <f t="shared" ca="1" si="169"/>
        <v/>
      </c>
      <c r="U312" s="674" t="str">
        <f t="shared" ca="1" si="169"/>
        <v/>
      </c>
      <c r="V312" s="674" t="str">
        <f t="shared" ca="1" si="169"/>
        <v/>
      </c>
      <c r="W312" s="674" t="str">
        <f t="shared" ca="1" si="169"/>
        <v/>
      </c>
      <c r="X312" s="674" t="str">
        <f t="shared" ca="1" si="169"/>
        <v/>
      </c>
      <c r="Y312" s="674" t="str">
        <f t="shared" ca="1" si="169"/>
        <v/>
      </c>
      <c r="Z312" s="674" t="str">
        <f t="shared" ca="1" si="169"/>
        <v/>
      </c>
      <c r="AA312" s="674" t="str">
        <f t="shared" ca="1" si="169"/>
        <v/>
      </c>
      <c r="AB312" s="674" t="str">
        <f t="shared" ca="1" si="169"/>
        <v/>
      </c>
      <c r="AC312" s="674" t="str">
        <f t="shared" ca="1" si="169"/>
        <v/>
      </c>
      <c r="AD312" s="674" t="str">
        <f t="shared" ca="1" si="169"/>
        <v/>
      </c>
      <c r="AE312" s="674" t="str">
        <f t="shared" ca="1" si="169"/>
        <v/>
      </c>
      <c r="AF312" s="674" t="str">
        <f t="shared" ca="1" si="169"/>
        <v/>
      </c>
      <c r="AG312" s="674" t="str">
        <f t="shared" ca="1" si="169"/>
        <v/>
      </c>
      <c r="AH312" s="674" t="str">
        <f t="shared" ca="1" si="169"/>
        <v/>
      </c>
      <c r="AI312" s="674" t="str">
        <f t="shared" ca="1" si="169"/>
        <v/>
      </c>
      <c r="AJ312" s="674" t="str">
        <f t="shared" ca="1" si="169"/>
        <v/>
      </c>
      <c r="AK312" s="674" t="str">
        <f t="shared" ref="AK312:BB312" ca="1" si="170">IFERROR(ADDRESS(ROW(貼付け_2024実績)+99,AK253+COLUMN(貼付け_2024実績),4),"")</f>
        <v/>
      </c>
      <c r="AL312" s="674" t="str">
        <f t="shared" ca="1" si="170"/>
        <v/>
      </c>
      <c r="AM312" s="674" t="str">
        <f t="shared" ca="1" si="170"/>
        <v/>
      </c>
      <c r="AN312" s="674" t="str">
        <f t="shared" ca="1" si="170"/>
        <v/>
      </c>
      <c r="AO312" s="674" t="str">
        <f t="shared" ca="1" si="170"/>
        <v/>
      </c>
      <c r="AP312" s="674" t="str">
        <f t="shared" ca="1" si="170"/>
        <v/>
      </c>
      <c r="AQ312" s="674" t="str">
        <f t="shared" ca="1" si="170"/>
        <v/>
      </c>
      <c r="AR312" s="674" t="str">
        <f t="shared" ca="1" si="170"/>
        <v/>
      </c>
      <c r="AS312" s="674" t="str">
        <f t="shared" ca="1" si="170"/>
        <v/>
      </c>
      <c r="AT312" s="674" t="str">
        <f t="shared" ca="1" si="170"/>
        <v/>
      </c>
      <c r="AU312" s="674" t="str">
        <f t="shared" ca="1" si="170"/>
        <v/>
      </c>
      <c r="AV312" s="674" t="str">
        <f t="shared" ca="1" si="170"/>
        <v/>
      </c>
      <c r="AW312" s="674" t="str">
        <f t="shared" ca="1" si="170"/>
        <v/>
      </c>
      <c r="AX312" s="674" t="str">
        <f t="shared" ca="1" si="170"/>
        <v/>
      </c>
      <c r="AY312" s="674" t="str">
        <f t="shared" ca="1" si="170"/>
        <v/>
      </c>
      <c r="AZ312" s="674" t="str">
        <f t="shared" ca="1" si="170"/>
        <v/>
      </c>
      <c r="BA312" s="674" t="str">
        <f t="shared" ca="1" si="170"/>
        <v/>
      </c>
      <c r="BB312" s="675" t="str">
        <f t="shared" ca="1" si="170"/>
        <v/>
      </c>
    </row>
    <row r="313" spans="1:54" hidden="1">
      <c r="B313" s="1099"/>
      <c r="C313" s="676" t="s">
        <v>4055</v>
      </c>
      <c r="D313" s="684"/>
      <c r="E313" s="642" t="str">
        <f t="shared" ref="E313:AJ313" ca="1" si="171">IFERROR(ADDRESS(ROW(貼付け_2024実績)+99,E265+COLUMN(貼付け_2024実績),4),"")</f>
        <v/>
      </c>
      <c r="F313" s="642" t="str">
        <f t="shared" ca="1" si="171"/>
        <v/>
      </c>
      <c r="G313" s="642" t="str">
        <f t="shared" ca="1" si="171"/>
        <v/>
      </c>
      <c r="H313" s="642" t="str">
        <f t="shared" ca="1" si="171"/>
        <v/>
      </c>
      <c r="I313" s="642" t="str">
        <f t="shared" ca="1" si="171"/>
        <v/>
      </c>
      <c r="J313" s="642" t="str">
        <f t="shared" ca="1" si="171"/>
        <v/>
      </c>
      <c r="K313" s="642" t="str">
        <f t="shared" ca="1" si="171"/>
        <v/>
      </c>
      <c r="L313" s="642" t="str">
        <f t="shared" ca="1" si="171"/>
        <v/>
      </c>
      <c r="M313" s="642" t="str">
        <f t="shared" ca="1" si="171"/>
        <v/>
      </c>
      <c r="N313" s="642" t="str">
        <f t="shared" ca="1" si="171"/>
        <v/>
      </c>
      <c r="O313" s="642" t="str">
        <f t="shared" ca="1" si="171"/>
        <v/>
      </c>
      <c r="P313" s="642" t="str">
        <f t="shared" ca="1" si="171"/>
        <v/>
      </c>
      <c r="Q313" s="642" t="str">
        <f t="shared" ca="1" si="171"/>
        <v/>
      </c>
      <c r="R313" s="642" t="str">
        <f t="shared" ca="1" si="171"/>
        <v/>
      </c>
      <c r="S313" s="642" t="str">
        <f t="shared" ca="1" si="171"/>
        <v/>
      </c>
      <c r="T313" s="642" t="str">
        <f t="shared" ca="1" si="171"/>
        <v/>
      </c>
      <c r="U313" s="642" t="str">
        <f t="shared" ca="1" si="171"/>
        <v/>
      </c>
      <c r="V313" s="642" t="str">
        <f t="shared" ca="1" si="171"/>
        <v/>
      </c>
      <c r="W313" s="642" t="str">
        <f t="shared" ca="1" si="171"/>
        <v/>
      </c>
      <c r="X313" s="642" t="str">
        <f t="shared" ca="1" si="171"/>
        <v/>
      </c>
      <c r="Y313" s="642" t="str">
        <f t="shared" ca="1" si="171"/>
        <v/>
      </c>
      <c r="Z313" s="642" t="str">
        <f t="shared" ca="1" si="171"/>
        <v/>
      </c>
      <c r="AA313" s="642" t="str">
        <f t="shared" ca="1" si="171"/>
        <v/>
      </c>
      <c r="AB313" s="642" t="str">
        <f t="shared" ca="1" si="171"/>
        <v/>
      </c>
      <c r="AC313" s="642" t="str">
        <f t="shared" ca="1" si="171"/>
        <v/>
      </c>
      <c r="AD313" s="642" t="str">
        <f t="shared" ca="1" si="171"/>
        <v/>
      </c>
      <c r="AE313" s="642" t="str">
        <f t="shared" ca="1" si="171"/>
        <v/>
      </c>
      <c r="AF313" s="642" t="str">
        <f t="shared" ca="1" si="171"/>
        <v/>
      </c>
      <c r="AG313" s="642" t="str">
        <f t="shared" ca="1" si="171"/>
        <v/>
      </c>
      <c r="AH313" s="642" t="str">
        <f t="shared" ca="1" si="171"/>
        <v/>
      </c>
      <c r="AI313" s="642" t="str">
        <f t="shared" ca="1" si="171"/>
        <v/>
      </c>
      <c r="AJ313" s="642" t="str">
        <f t="shared" ca="1" si="171"/>
        <v/>
      </c>
      <c r="AK313" s="642" t="str">
        <f t="shared" ref="AK313:BB313" ca="1" si="172">IFERROR(ADDRESS(ROW(貼付け_2024実績)+99,AK265+COLUMN(貼付け_2024実績),4),"")</f>
        <v/>
      </c>
      <c r="AL313" s="642" t="str">
        <f t="shared" ca="1" si="172"/>
        <v/>
      </c>
      <c r="AM313" s="642" t="str">
        <f t="shared" ca="1" si="172"/>
        <v/>
      </c>
      <c r="AN313" s="642" t="str">
        <f t="shared" ca="1" si="172"/>
        <v/>
      </c>
      <c r="AO313" s="642" t="str">
        <f t="shared" ca="1" si="172"/>
        <v/>
      </c>
      <c r="AP313" s="642" t="str">
        <f t="shared" ca="1" si="172"/>
        <v/>
      </c>
      <c r="AQ313" s="642" t="str">
        <f t="shared" ca="1" si="172"/>
        <v/>
      </c>
      <c r="AR313" s="642" t="str">
        <f t="shared" ca="1" si="172"/>
        <v/>
      </c>
      <c r="AS313" s="642" t="str">
        <f t="shared" ca="1" si="172"/>
        <v/>
      </c>
      <c r="AT313" s="642" t="str">
        <f t="shared" ca="1" si="172"/>
        <v/>
      </c>
      <c r="AU313" s="642" t="str">
        <f t="shared" ca="1" si="172"/>
        <v/>
      </c>
      <c r="AV313" s="642" t="str">
        <f t="shared" ca="1" si="172"/>
        <v/>
      </c>
      <c r="AW313" s="642" t="str">
        <f t="shared" ca="1" si="172"/>
        <v/>
      </c>
      <c r="AX313" s="642" t="str">
        <f t="shared" ca="1" si="172"/>
        <v/>
      </c>
      <c r="AY313" s="642" t="str">
        <f t="shared" ca="1" si="172"/>
        <v/>
      </c>
      <c r="AZ313" s="642" t="str">
        <f t="shared" ca="1" si="172"/>
        <v/>
      </c>
      <c r="BA313" s="642" t="str">
        <f t="shared" ca="1" si="172"/>
        <v/>
      </c>
      <c r="BB313" s="678" t="str">
        <f t="shared" ca="1" si="172"/>
        <v/>
      </c>
    </row>
    <row r="314" spans="1:54" hidden="1">
      <c r="B314" s="1099"/>
      <c r="C314" s="676" t="s">
        <v>4056</v>
      </c>
      <c r="D314" s="684"/>
      <c r="E314" s="642" t="str">
        <f t="shared" ref="E314:AJ314" ca="1" si="173">IFERROR(ADDRESS(ROW(貼付け_2024実績)+99,E277+COLUMN(貼付け_2024実績),4),"")</f>
        <v/>
      </c>
      <c r="F314" s="642" t="str">
        <f t="shared" ca="1" si="173"/>
        <v/>
      </c>
      <c r="G314" s="642" t="str">
        <f t="shared" ca="1" si="173"/>
        <v/>
      </c>
      <c r="H314" s="642" t="str">
        <f t="shared" ca="1" si="173"/>
        <v/>
      </c>
      <c r="I314" s="642" t="str">
        <f t="shared" ca="1" si="173"/>
        <v/>
      </c>
      <c r="J314" s="642" t="str">
        <f t="shared" ca="1" si="173"/>
        <v/>
      </c>
      <c r="K314" s="642" t="str">
        <f t="shared" ca="1" si="173"/>
        <v/>
      </c>
      <c r="L314" s="642" t="str">
        <f t="shared" ca="1" si="173"/>
        <v/>
      </c>
      <c r="M314" s="642" t="str">
        <f t="shared" ca="1" si="173"/>
        <v/>
      </c>
      <c r="N314" s="642" t="str">
        <f t="shared" ca="1" si="173"/>
        <v/>
      </c>
      <c r="O314" s="642" t="str">
        <f t="shared" ca="1" si="173"/>
        <v/>
      </c>
      <c r="P314" s="642" t="str">
        <f t="shared" ca="1" si="173"/>
        <v/>
      </c>
      <c r="Q314" s="642" t="str">
        <f t="shared" ca="1" si="173"/>
        <v/>
      </c>
      <c r="R314" s="642" t="str">
        <f t="shared" ca="1" si="173"/>
        <v/>
      </c>
      <c r="S314" s="642" t="str">
        <f t="shared" ca="1" si="173"/>
        <v/>
      </c>
      <c r="T314" s="642" t="str">
        <f t="shared" ca="1" si="173"/>
        <v/>
      </c>
      <c r="U314" s="642" t="str">
        <f t="shared" ca="1" si="173"/>
        <v/>
      </c>
      <c r="V314" s="642" t="str">
        <f t="shared" ca="1" si="173"/>
        <v/>
      </c>
      <c r="W314" s="642" t="str">
        <f t="shared" ca="1" si="173"/>
        <v/>
      </c>
      <c r="X314" s="642" t="str">
        <f t="shared" ca="1" si="173"/>
        <v/>
      </c>
      <c r="Y314" s="642" t="str">
        <f t="shared" ca="1" si="173"/>
        <v/>
      </c>
      <c r="Z314" s="642" t="str">
        <f t="shared" ca="1" si="173"/>
        <v/>
      </c>
      <c r="AA314" s="642" t="str">
        <f t="shared" ca="1" si="173"/>
        <v/>
      </c>
      <c r="AB314" s="642" t="str">
        <f t="shared" ca="1" si="173"/>
        <v/>
      </c>
      <c r="AC314" s="642" t="str">
        <f t="shared" ca="1" si="173"/>
        <v/>
      </c>
      <c r="AD314" s="642" t="str">
        <f t="shared" ca="1" si="173"/>
        <v/>
      </c>
      <c r="AE314" s="642" t="str">
        <f t="shared" ca="1" si="173"/>
        <v/>
      </c>
      <c r="AF314" s="642" t="str">
        <f t="shared" ca="1" si="173"/>
        <v/>
      </c>
      <c r="AG314" s="642" t="str">
        <f t="shared" ca="1" si="173"/>
        <v/>
      </c>
      <c r="AH314" s="642" t="str">
        <f t="shared" ca="1" si="173"/>
        <v/>
      </c>
      <c r="AI314" s="642" t="str">
        <f t="shared" ca="1" si="173"/>
        <v/>
      </c>
      <c r="AJ314" s="642" t="str">
        <f t="shared" ca="1" si="173"/>
        <v/>
      </c>
      <c r="AK314" s="642" t="str">
        <f t="shared" ref="AK314:BB314" ca="1" si="174">IFERROR(ADDRESS(ROW(貼付け_2024実績)+99,AK277+COLUMN(貼付け_2024実績),4),"")</f>
        <v/>
      </c>
      <c r="AL314" s="642" t="str">
        <f t="shared" ca="1" si="174"/>
        <v/>
      </c>
      <c r="AM314" s="642" t="str">
        <f t="shared" ca="1" si="174"/>
        <v/>
      </c>
      <c r="AN314" s="642" t="str">
        <f t="shared" ca="1" si="174"/>
        <v/>
      </c>
      <c r="AO314" s="642" t="str">
        <f t="shared" ca="1" si="174"/>
        <v/>
      </c>
      <c r="AP314" s="642" t="str">
        <f t="shared" ca="1" si="174"/>
        <v/>
      </c>
      <c r="AQ314" s="642" t="str">
        <f t="shared" ca="1" si="174"/>
        <v/>
      </c>
      <c r="AR314" s="642" t="str">
        <f t="shared" ca="1" si="174"/>
        <v/>
      </c>
      <c r="AS314" s="642" t="str">
        <f t="shared" ca="1" si="174"/>
        <v/>
      </c>
      <c r="AT314" s="642" t="str">
        <f t="shared" ca="1" si="174"/>
        <v/>
      </c>
      <c r="AU314" s="642" t="str">
        <f t="shared" ca="1" si="174"/>
        <v/>
      </c>
      <c r="AV314" s="642" t="str">
        <f t="shared" ca="1" si="174"/>
        <v/>
      </c>
      <c r="AW314" s="642" t="str">
        <f t="shared" ca="1" si="174"/>
        <v/>
      </c>
      <c r="AX314" s="642" t="str">
        <f t="shared" ca="1" si="174"/>
        <v/>
      </c>
      <c r="AY314" s="642" t="str">
        <f t="shared" ca="1" si="174"/>
        <v/>
      </c>
      <c r="AZ314" s="642" t="str">
        <f t="shared" ca="1" si="174"/>
        <v/>
      </c>
      <c r="BA314" s="642" t="str">
        <f t="shared" ca="1" si="174"/>
        <v/>
      </c>
      <c r="BB314" s="678" t="str">
        <f t="shared" ca="1" si="174"/>
        <v/>
      </c>
    </row>
    <row r="315" spans="1:54" ht="18.600000000000001" hidden="1" thickBot="1">
      <c r="B315" s="1100"/>
      <c r="C315" s="679" t="s">
        <v>4057</v>
      </c>
      <c r="D315" s="685"/>
      <c r="E315" s="680" t="str">
        <f t="shared" ref="E315:AJ315" ca="1" si="175">IFERROR(ADDRESS(ROW(貼付け_2024実績)+99,E289+COLUMN(貼付け_2024実績),4),"")</f>
        <v/>
      </c>
      <c r="F315" s="680" t="str">
        <f t="shared" ca="1" si="175"/>
        <v/>
      </c>
      <c r="G315" s="680" t="str">
        <f t="shared" ca="1" si="175"/>
        <v/>
      </c>
      <c r="H315" s="680" t="str">
        <f t="shared" ca="1" si="175"/>
        <v/>
      </c>
      <c r="I315" s="680" t="str">
        <f t="shared" ca="1" si="175"/>
        <v/>
      </c>
      <c r="J315" s="680" t="str">
        <f t="shared" ca="1" si="175"/>
        <v/>
      </c>
      <c r="K315" s="680" t="str">
        <f t="shared" ca="1" si="175"/>
        <v/>
      </c>
      <c r="L315" s="680" t="str">
        <f t="shared" ca="1" si="175"/>
        <v/>
      </c>
      <c r="M315" s="680" t="str">
        <f t="shared" ca="1" si="175"/>
        <v/>
      </c>
      <c r="N315" s="680" t="str">
        <f t="shared" ca="1" si="175"/>
        <v/>
      </c>
      <c r="O315" s="680" t="str">
        <f t="shared" ca="1" si="175"/>
        <v/>
      </c>
      <c r="P315" s="680" t="str">
        <f t="shared" ca="1" si="175"/>
        <v/>
      </c>
      <c r="Q315" s="680" t="str">
        <f t="shared" ca="1" si="175"/>
        <v/>
      </c>
      <c r="R315" s="680" t="str">
        <f t="shared" ca="1" si="175"/>
        <v/>
      </c>
      <c r="S315" s="680" t="str">
        <f t="shared" ca="1" si="175"/>
        <v/>
      </c>
      <c r="T315" s="680" t="str">
        <f t="shared" ca="1" si="175"/>
        <v/>
      </c>
      <c r="U315" s="680" t="str">
        <f t="shared" ca="1" si="175"/>
        <v/>
      </c>
      <c r="V315" s="680" t="str">
        <f t="shared" ca="1" si="175"/>
        <v/>
      </c>
      <c r="W315" s="680" t="str">
        <f t="shared" ca="1" si="175"/>
        <v/>
      </c>
      <c r="X315" s="680" t="str">
        <f t="shared" ca="1" si="175"/>
        <v/>
      </c>
      <c r="Y315" s="680" t="str">
        <f t="shared" ca="1" si="175"/>
        <v/>
      </c>
      <c r="Z315" s="680" t="str">
        <f t="shared" ca="1" si="175"/>
        <v/>
      </c>
      <c r="AA315" s="680" t="str">
        <f t="shared" ca="1" si="175"/>
        <v/>
      </c>
      <c r="AB315" s="680" t="str">
        <f t="shared" ca="1" si="175"/>
        <v/>
      </c>
      <c r="AC315" s="680" t="str">
        <f t="shared" ca="1" si="175"/>
        <v/>
      </c>
      <c r="AD315" s="680" t="str">
        <f t="shared" ca="1" si="175"/>
        <v/>
      </c>
      <c r="AE315" s="680" t="str">
        <f t="shared" ca="1" si="175"/>
        <v/>
      </c>
      <c r="AF315" s="680" t="str">
        <f t="shared" ca="1" si="175"/>
        <v/>
      </c>
      <c r="AG315" s="680" t="str">
        <f t="shared" ca="1" si="175"/>
        <v/>
      </c>
      <c r="AH315" s="680" t="str">
        <f t="shared" ca="1" si="175"/>
        <v/>
      </c>
      <c r="AI315" s="680" t="str">
        <f t="shared" ca="1" si="175"/>
        <v/>
      </c>
      <c r="AJ315" s="680" t="str">
        <f t="shared" ca="1" si="175"/>
        <v/>
      </c>
      <c r="AK315" s="680" t="str">
        <f t="shared" ref="AK315:BB315" ca="1" si="176">IFERROR(ADDRESS(ROW(貼付け_2024実績)+99,AK289+COLUMN(貼付け_2024実績),4),"")</f>
        <v/>
      </c>
      <c r="AL315" s="680" t="str">
        <f t="shared" ca="1" si="176"/>
        <v/>
      </c>
      <c r="AM315" s="680" t="str">
        <f t="shared" ca="1" si="176"/>
        <v/>
      </c>
      <c r="AN315" s="680" t="str">
        <f t="shared" ca="1" si="176"/>
        <v/>
      </c>
      <c r="AO315" s="680" t="str">
        <f t="shared" ca="1" si="176"/>
        <v/>
      </c>
      <c r="AP315" s="680" t="str">
        <f t="shared" ca="1" si="176"/>
        <v/>
      </c>
      <c r="AQ315" s="680" t="str">
        <f t="shared" ca="1" si="176"/>
        <v/>
      </c>
      <c r="AR315" s="680" t="str">
        <f t="shared" ca="1" si="176"/>
        <v/>
      </c>
      <c r="AS315" s="680" t="str">
        <f t="shared" ca="1" si="176"/>
        <v/>
      </c>
      <c r="AT315" s="680" t="str">
        <f t="shared" ca="1" si="176"/>
        <v/>
      </c>
      <c r="AU315" s="680" t="str">
        <f t="shared" ca="1" si="176"/>
        <v/>
      </c>
      <c r="AV315" s="680" t="str">
        <f t="shared" ca="1" si="176"/>
        <v/>
      </c>
      <c r="AW315" s="680" t="str">
        <f t="shared" ca="1" si="176"/>
        <v/>
      </c>
      <c r="AX315" s="680" t="str">
        <f t="shared" ca="1" si="176"/>
        <v/>
      </c>
      <c r="AY315" s="680" t="str">
        <f t="shared" ca="1" si="176"/>
        <v/>
      </c>
      <c r="AZ315" s="680" t="str">
        <f t="shared" ca="1" si="176"/>
        <v/>
      </c>
      <c r="BA315" s="680" t="str">
        <f t="shared" ca="1" si="176"/>
        <v/>
      </c>
      <c r="BB315" s="681" t="str">
        <f t="shared" ca="1" si="176"/>
        <v/>
      </c>
    </row>
  </sheetData>
  <sheetProtection formatCell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1面!R6"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'非表示_リスト(計画・実績報告)'!$G$44:$I$44</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customWidth="1"/>
    <col min="2" max="2" width="18.88671875" style="180" customWidth="1"/>
    <col min="3" max="3" width="10.109375" style="180" customWidth="1"/>
    <col min="4" max="4" width="10.5546875" style="180" customWidth="1"/>
    <col min="5" max="10" width="12.88671875" style="180"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4308</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L1" s="242" t="s">
        <v>4040</v>
      </c>
      <c r="HM1" s="243"/>
    </row>
    <row r="2" spans="1:242" ht="26.4">
      <c r="A2" s="245" t="s">
        <v>4041</v>
      </c>
      <c r="B2" s="773" t="s">
        <v>4309</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250"/>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250"/>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4687</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4584</v>
      </c>
      <c r="B7" s="201"/>
      <c r="C7" s="207"/>
      <c r="D7" s="207"/>
      <c r="E7" s="689"/>
      <c r="F7" s="207"/>
      <c r="G7" s="207"/>
      <c r="H7" s="207"/>
      <c r="I7" s="207"/>
      <c r="J7" s="207"/>
      <c r="K7" s="207"/>
      <c r="L7" s="207"/>
      <c r="M7" s="207"/>
      <c r="N7" s="207"/>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L7" s="201" t="s">
        <v>4051</v>
      </c>
      <c r="HM7" s="201"/>
      <c r="HN7" s="207"/>
      <c r="HO7" s="208"/>
      <c r="HP7" s="208"/>
      <c r="HQ7" s="209"/>
      <c r="HR7" s="208"/>
      <c r="HS7" s="208"/>
      <c r="HT7" s="208"/>
      <c r="HU7" s="209"/>
      <c r="HV7" s="208"/>
      <c r="HW7" s="208"/>
      <c r="HX7" s="208"/>
      <c r="HY7" s="209"/>
      <c r="HZ7" s="208"/>
      <c r="IA7" s="208"/>
      <c r="IB7" s="209"/>
    </row>
    <row r="8" spans="1:242" s="197" customFormat="1" ht="27" thickBot="1">
      <c r="A8" s="180"/>
      <c r="B8" s="256" t="s">
        <v>4310</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691"/>
      <c r="DM8" s="691"/>
      <c r="DN8" s="691"/>
      <c r="DO8" s="691"/>
      <c r="DP8" s="691"/>
      <c r="DQ8" s="691"/>
      <c r="DR8" s="691"/>
      <c r="DS8" s="691"/>
      <c r="DT8" s="691"/>
      <c r="DU8" s="691"/>
      <c r="DV8" s="691"/>
      <c r="DW8" s="691"/>
      <c r="DX8" s="691"/>
      <c r="DY8" s="691"/>
      <c r="DZ8" s="691"/>
      <c r="EA8" s="691"/>
      <c r="EB8" s="691"/>
      <c r="EC8" s="691"/>
      <c r="ED8" s="691"/>
      <c r="EE8" s="691"/>
      <c r="EF8" s="691"/>
      <c r="EG8" s="691"/>
      <c r="EH8" s="691"/>
      <c r="EI8" s="691"/>
      <c r="EJ8" s="691"/>
      <c r="EK8" s="691"/>
      <c r="EL8" s="691"/>
      <c r="EM8" s="691"/>
      <c r="EN8" s="691"/>
      <c r="EO8" s="691"/>
      <c r="EP8" s="691"/>
      <c r="EQ8" s="691"/>
      <c r="ER8" s="691"/>
      <c r="ES8" s="691"/>
      <c r="ET8" s="691"/>
      <c r="EU8" s="691"/>
      <c r="EV8" s="691"/>
      <c r="EW8" s="691"/>
      <c r="EX8" s="691"/>
      <c r="EY8" s="691"/>
      <c r="EZ8" s="691"/>
      <c r="FA8" s="691"/>
      <c r="FB8" s="691"/>
      <c r="FC8" s="691"/>
      <c r="FD8" s="691"/>
      <c r="FE8" s="691"/>
      <c r="FF8" s="691"/>
      <c r="FG8" s="691"/>
      <c r="FH8" s="691"/>
      <c r="FI8" s="691"/>
      <c r="FJ8" s="691"/>
      <c r="FK8" s="691"/>
      <c r="FL8" s="691"/>
      <c r="FM8" s="691"/>
      <c r="FN8" s="691"/>
      <c r="FO8" s="691"/>
      <c r="FP8" s="691"/>
      <c r="FQ8" s="691"/>
      <c r="FR8" s="691"/>
      <c r="FS8" s="691"/>
      <c r="FT8" s="691"/>
      <c r="FU8" s="691"/>
      <c r="FV8" s="691"/>
      <c r="FW8" s="691"/>
      <c r="FX8" s="691"/>
      <c r="FY8" s="691"/>
      <c r="FZ8" s="691"/>
      <c r="GA8" s="691"/>
      <c r="GB8" s="691"/>
      <c r="GC8" s="691"/>
      <c r="GD8" s="691"/>
      <c r="GE8" s="691"/>
      <c r="GF8" s="691"/>
      <c r="GG8" s="691"/>
      <c r="GH8" s="691"/>
      <c r="GI8" s="691"/>
      <c r="GJ8" s="691"/>
      <c r="GK8" s="691"/>
      <c r="GL8" s="691"/>
      <c r="GM8" s="691"/>
      <c r="GN8" s="691"/>
      <c r="GO8" s="691"/>
      <c r="GP8" s="691"/>
      <c r="GQ8" s="691"/>
      <c r="GR8" s="691"/>
      <c r="GS8" s="691"/>
      <c r="GT8" s="691"/>
      <c r="GU8" s="691"/>
      <c r="GV8" s="691"/>
      <c r="GW8" s="691"/>
      <c r="GX8" s="691"/>
      <c r="GY8" s="691"/>
      <c r="GZ8" s="691"/>
      <c r="HA8" s="691"/>
      <c r="HB8" s="691"/>
      <c r="HC8" s="180"/>
      <c r="HD8" s="180"/>
      <c r="HE8" s="180"/>
      <c r="HF8" s="180"/>
      <c r="HG8" s="180"/>
      <c r="HH8" s="180"/>
      <c r="HI8" s="180"/>
      <c r="HJ8" s="180"/>
      <c r="HK8" s="180"/>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c r="IF8" s="244"/>
      <c r="IG8" s="244"/>
      <c r="IH8" s="244"/>
    </row>
    <row r="9" spans="1:242" s="197" customFormat="1" ht="69.900000000000006" customHeight="1" thickBot="1">
      <c r="B9" s="257" t="s">
        <v>4311</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19.2" customHeight="1">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OFFSET(A1_原単位2024,6,$HL10+2)</f>
        <v/>
      </c>
      <c r="HN10" s="749" t="str">
        <f ca="1">OFFSET(A1_原単位2025,5,HL10+2)&amp;""</f>
        <v/>
      </c>
      <c r="HO10" s="750" t="str">
        <f t="shared" ref="HO10:HO59" ca="1" si="50">IF(HN10="","",HYPERLINK("#"&amp;IE10,"&lt;"&amp;IE10&amp;"&gt;"))</f>
        <v/>
      </c>
      <c r="HP10" s="751" t="str">
        <f t="shared" ref="HP10:HP41" ca="1" si="51">IF(HN10="","",HYPERLINK("#"&amp;OFFSET(A1_原単位2025,66,$HL10+2),OFFSET(A1_原単位2025,62,$HL10+2)))</f>
        <v/>
      </c>
      <c r="HQ10" s="748" t="str">
        <f t="shared" ref="HQ10:HQ41" ca="1" si="52">OFFSET(A1_原単位2024,18,$HL10+2)</f>
        <v/>
      </c>
      <c r="HR10" s="749" t="str">
        <f ca="1">OFFSET(A1_原単位2025,17,HL10+2)&amp;""</f>
        <v/>
      </c>
      <c r="HS10" s="750" t="str">
        <f t="shared" ref="HS10:HS59" ca="1" si="53">IF(HR10="","",HYPERLINK("#"&amp;IF10,"&lt;"&amp;IF10&amp;"&gt;"))</f>
        <v/>
      </c>
      <c r="HT10" s="752" t="str">
        <f t="shared" ref="HT10:HT41" ca="1" si="54">IF(HR10="","",HYPERLINK("#"&amp;OFFSET(A1_原単位2025,67,$HL10+2),OFFSET(A1_原単位2025,63,$HL10+2)))</f>
        <v/>
      </c>
      <c r="HU10" s="748" t="str">
        <f t="shared" ref="HU10:HU41" ca="1" si="55">OFFSET(A1_原単位2024,30,$HL10+2)</f>
        <v/>
      </c>
      <c r="HV10" s="749" t="str">
        <f ca="1">OFFSET(A1_原単位2025,29,HL10+2)&amp;""</f>
        <v/>
      </c>
      <c r="HW10" s="753" t="str">
        <f t="shared" ref="HW10:HW59" ca="1" si="56">IF(HV10="","",HYPERLINK("#"&amp;IG10,"&lt;"&amp;IG10&amp;"&gt;"))</f>
        <v/>
      </c>
      <c r="HX10" s="752" t="str">
        <f t="shared" ref="HX10:HX41" ca="1" si="57">IF(HV10="","",HYPERLINK("#"&amp;OFFSET(A1_原単位2025,68,$HL10+2),OFFSET(A1_原単位2025,64,$HL10+2)))</f>
        <v/>
      </c>
      <c r="HY10" s="748" t="str">
        <f t="shared" ref="HY10:HY41" ca="1" si="58">OFFSET(A1_原単位2024,42,$HL10+2)</f>
        <v/>
      </c>
      <c r="HZ10" s="749" t="str">
        <f ca="1">OFFSET(A1_原単位2025,41,HL10+2)&amp;""</f>
        <v/>
      </c>
      <c r="IA10" s="753" t="str">
        <f t="shared" ref="IA10:IA59" ca="1" si="59">IF(HZ10="","",HYPERLINK("#"&amp;IH10,"&lt;"&amp;IH10&amp;"&gt;"))</f>
        <v/>
      </c>
      <c r="IB10" s="754" t="str">
        <f t="shared" ref="IB10:IB41" ca="1" si="60">IF(HZ10="","",HYPERLINK("#"&amp;OFFSET(A1_原単位2025,69,$HL10+2),OFFSET(A1_原単位2025,65,$HL10+2)))</f>
        <v/>
      </c>
      <c r="IE10" s="244" t="str">
        <f t="shared" ref="IE10:IE41" ca="1" si="61">IF($HN10="","",ADDRESS(ROW(貼付け_2025実績)+5,OFFSET(A1_原単位2025,7,$HL10+2)+COLUMN(貼付け_2025実績)+1,4))</f>
        <v/>
      </c>
      <c r="IF10" s="244" t="str">
        <f t="shared" ref="IF10:IF41" ca="1" si="62">IF($HR10="","",ADDRESS(ROW(貼付け_2025実績)+5,OFFSET(A1_原単位2025,19,$HL10+2)+COLUMN(貼付け_2025実績)+1,4))</f>
        <v/>
      </c>
      <c r="IG10" s="244" t="str">
        <f t="shared" ref="IG10:IG41" ca="1" si="63">IF($HV10="","",ADDRESS(ROW(貼付け_2025実績)+5,OFFSET(A1_原単位2025,31,$HL10+2)+COLUMN(貼付け_2025実績)+1,4))</f>
        <v/>
      </c>
      <c r="IH10" s="244" t="str">
        <f t="shared" ref="IH10:IH41" ca="1" si="64">IF($HZ10="","",ADDRESS(ROW(貼付け_2025実績)+5,OFFSET(A1_原単位2025,43,$HL10+2)+COLUMN(貼付け_2025実績)+1,4))</f>
        <v/>
      </c>
    </row>
    <row r="11" spans="1:242" s="197" customFormat="1" ht="19.2" customHeight="1">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IF(COUNTIF(HN$10:HN10,OFFSET(A1_原単位2025,5,HL11+2))&gt;=1,"",OFFSET(A1_原単位2025,5,HL11+2)&amp;"")</f>
        <v/>
      </c>
      <c r="HO11" s="757" t="str">
        <f t="shared" ca="1" si="50"/>
        <v/>
      </c>
      <c r="HP11" s="758" t="str">
        <f t="shared" ca="1" si="51"/>
        <v/>
      </c>
      <c r="HQ11" s="755" t="str">
        <f t="shared" ca="1" si="52"/>
        <v/>
      </c>
      <c r="HR11" s="756" t="str">
        <f ca="1">IF(COUNTIF(HR$10:HR10,OFFSET(A1_原単位2025,17,HL11+2))&gt;=1,"",OFFSET(A1_原単位2025,17,HL11+2)&amp;"")</f>
        <v/>
      </c>
      <c r="HS11" s="759" t="str">
        <f t="shared" ca="1" si="53"/>
        <v/>
      </c>
      <c r="HT11" s="760" t="str">
        <f t="shared" ca="1" si="54"/>
        <v/>
      </c>
      <c r="HU11" s="755" t="str">
        <f t="shared" ca="1" si="55"/>
        <v/>
      </c>
      <c r="HV11" s="756" t="str">
        <f ca="1">IF(COUNTIF(HV$10:HV10,OFFSET(A1_原単位2025,29,HL11+2))&gt;=1,"",OFFSET(A1_原単位2025,29,HL11+2)&amp;"")</f>
        <v/>
      </c>
      <c r="HW11" s="759" t="str">
        <f t="shared" ca="1" si="56"/>
        <v/>
      </c>
      <c r="HX11" s="760" t="str">
        <f t="shared" ca="1" si="57"/>
        <v/>
      </c>
      <c r="HY11" s="755" t="str">
        <f t="shared" ca="1" si="58"/>
        <v/>
      </c>
      <c r="HZ11" s="756" t="str">
        <f ca="1">IF(COUNTIF(HZ$10:HZ10,OFFSET(A1_原単位2025,41,HL11+2))&gt;=1,"",OFFSET(A1_原単位2025,41,HL11+2)&amp;"")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19.2" customHeight="1" thickBot="1">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IF(COUNTIF(HN$10:HN11,OFFSET(A1_原単位2025,5,HL12+2))&gt;=1,"",OFFSET(A1_原単位2025,5,HL12+2)&amp;"")</f>
        <v/>
      </c>
      <c r="HO12" s="757" t="str">
        <f t="shared" ca="1" si="50"/>
        <v/>
      </c>
      <c r="HP12" s="758" t="str">
        <f t="shared" ca="1" si="51"/>
        <v/>
      </c>
      <c r="HQ12" s="755" t="str">
        <f t="shared" ca="1" si="52"/>
        <v/>
      </c>
      <c r="HR12" s="756" t="str">
        <f ca="1">IF(COUNTIF(HR$10:HR11,OFFSET(A1_原単位2025,17,HL12+2))&gt;=1,"",OFFSET(A1_原単位2025,17,HL12+2)&amp;"")</f>
        <v/>
      </c>
      <c r="HS12" s="759" t="str">
        <f t="shared" ca="1" si="53"/>
        <v/>
      </c>
      <c r="HT12" s="760" t="str">
        <f t="shared" ca="1" si="54"/>
        <v/>
      </c>
      <c r="HU12" s="755" t="str">
        <f t="shared" ca="1" si="55"/>
        <v/>
      </c>
      <c r="HV12" s="756" t="str">
        <f ca="1">IF(COUNTIF(HV$10:HV11,OFFSET(A1_原単位2025,29,HL12+2))&gt;=1,"",OFFSET(A1_原単位2025,29,HL12+2)&amp;"")</f>
        <v/>
      </c>
      <c r="HW12" s="759" t="str">
        <f t="shared" ca="1" si="56"/>
        <v/>
      </c>
      <c r="HX12" s="760" t="str">
        <f t="shared" ca="1" si="57"/>
        <v/>
      </c>
      <c r="HY12" s="755" t="str">
        <f t="shared" ca="1" si="58"/>
        <v/>
      </c>
      <c r="HZ12" s="756" t="str">
        <f ca="1">IF(COUNTIF(HZ$10:HZ11,OFFSET(A1_原単位2025,41,HL12+2))&gt;=1,"",OFFSET(A1_原単位2025,41,HL12+2)&amp;"")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19.2"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IF(COUNTIF(HN$10:HN12,OFFSET(A1_原単位2025,5,HL13+2))&gt;=1,"",OFFSET(A1_原単位2025,5,HL13+2)&amp;"")</f>
        <v/>
      </c>
      <c r="HO13" s="757" t="str">
        <f t="shared" ca="1" si="50"/>
        <v/>
      </c>
      <c r="HP13" s="758" t="str">
        <f t="shared" ca="1" si="51"/>
        <v/>
      </c>
      <c r="HQ13" s="755" t="str">
        <f t="shared" ca="1" si="52"/>
        <v/>
      </c>
      <c r="HR13" s="756" t="str">
        <f ca="1">IF(COUNTIF(HR$10:HR12,OFFSET(A1_原単位2025,17,HL13+2))&gt;=1,"",OFFSET(A1_原単位2025,17,HL13+2)&amp;"")</f>
        <v/>
      </c>
      <c r="HS13" s="759" t="str">
        <f t="shared" ca="1" si="53"/>
        <v/>
      </c>
      <c r="HT13" s="760" t="str">
        <f t="shared" ca="1" si="54"/>
        <v/>
      </c>
      <c r="HU13" s="755" t="str">
        <f t="shared" ca="1" si="55"/>
        <v/>
      </c>
      <c r="HV13" s="756" t="str">
        <f ca="1">IF(COUNTIF(HV$10:HV12,OFFSET(A1_原単位2025,29,HL13+2))&gt;=1,"",OFFSET(A1_原単位2025,29,HL13+2)&amp;"")</f>
        <v/>
      </c>
      <c r="HW13" s="759" t="str">
        <f t="shared" ca="1" si="56"/>
        <v/>
      </c>
      <c r="HX13" s="760" t="str">
        <f t="shared" ca="1" si="57"/>
        <v/>
      </c>
      <c r="HY13" s="755" t="str">
        <f t="shared" ca="1" si="58"/>
        <v/>
      </c>
      <c r="HZ13" s="756" t="str">
        <f ca="1">IF(COUNTIF(HZ$10:HZ12,OFFSET(A1_原単位2025,41,HL13+2))&gt;=1,"",OFFSET(A1_原単位2025,41,HL13+2)&amp;"")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19.2"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参考2_エネ使用量経年!M95</f>
        <v>0</v>
      </c>
      <c r="HF14" s="341" t="s">
        <v>4122</v>
      </c>
      <c r="HG14" s="1077" t="s">
        <v>4121</v>
      </c>
      <c r="HH14" s="1078"/>
      <c r="HI14" s="763">
        <f ca="1">参考2_エネ使用量経年!U95</f>
        <v>0</v>
      </c>
      <c r="HJ14" s="341" t="s">
        <v>4122</v>
      </c>
      <c r="HL14" s="291">
        <v>5</v>
      </c>
      <c r="HM14" s="755" t="str">
        <f t="shared" ca="1" si="49"/>
        <v/>
      </c>
      <c r="HN14" s="756" t="str">
        <f ca="1">IF(COUNTIF(HN$10:HN13,OFFSET(A1_原単位2025,5,HL14+2))&gt;=1,"",OFFSET(A1_原単位2025,5,HL14+2)&amp;"")</f>
        <v/>
      </c>
      <c r="HO14" s="757" t="str">
        <f t="shared" ca="1" si="50"/>
        <v/>
      </c>
      <c r="HP14" s="758" t="str">
        <f t="shared" ca="1" si="51"/>
        <v/>
      </c>
      <c r="HQ14" s="755" t="str">
        <f t="shared" ca="1" si="52"/>
        <v/>
      </c>
      <c r="HR14" s="756" t="str">
        <f ca="1">IF(COUNTIF(HR$10:HR13,OFFSET(A1_原単位2025,17,HL14+2))&gt;=1,"",OFFSET(A1_原単位2025,17,HL14+2)&amp;"")</f>
        <v/>
      </c>
      <c r="HS14" s="759" t="str">
        <f t="shared" ca="1" si="53"/>
        <v/>
      </c>
      <c r="HT14" s="760" t="str">
        <f t="shared" ca="1" si="54"/>
        <v/>
      </c>
      <c r="HU14" s="755" t="str">
        <f t="shared" ca="1" si="55"/>
        <v/>
      </c>
      <c r="HV14" s="756" t="str">
        <f ca="1">IF(COUNTIF(HV$10:HV13,OFFSET(A1_原単位2025,29,HL14+2))&gt;=1,"",OFFSET(A1_原単位2025,29,HL14+2)&amp;"")</f>
        <v/>
      </c>
      <c r="HW14" s="759" t="str">
        <f t="shared" ca="1" si="56"/>
        <v/>
      </c>
      <c r="HX14" s="760" t="str">
        <f t="shared" ca="1" si="57"/>
        <v/>
      </c>
      <c r="HY14" s="755" t="str">
        <f t="shared" ca="1" si="58"/>
        <v/>
      </c>
      <c r="HZ14" s="756" t="str">
        <f ca="1">IF(COUNTIF(HZ$10:HZ13,OFFSET(A1_原単位2025,41,HL14+2))&gt;=1,"",OFFSET(A1_原単位2025,41,HL14+2)&amp;"")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19.2"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参考3_排出量経年!M116</f>
        <v>0</v>
      </c>
      <c r="HF15" s="349" t="s">
        <v>4128</v>
      </c>
      <c r="HG15" s="1079" t="s">
        <v>4127</v>
      </c>
      <c r="HH15" s="1080"/>
      <c r="HI15" s="764">
        <f ca="1">参考3_排出量経年!U116</f>
        <v>0</v>
      </c>
      <c r="HJ15" s="349" t="s">
        <v>4128</v>
      </c>
      <c r="HL15" s="302">
        <v>6</v>
      </c>
      <c r="HM15" s="755" t="str">
        <f t="shared" ca="1" si="49"/>
        <v/>
      </c>
      <c r="HN15" s="756" t="str">
        <f ca="1">IF(COUNTIF(HN$10:HN14,OFFSET(A1_原単位2025,5,HL15+2))&gt;=1,"",OFFSET(A1_原単位2025,5,HL15+2)&amp;"")</f>
        <v/>
      </c>
      <c r="HO15" s="757" t="str">
        <f t="shared" ca="1" si="50"/>
        <v/>
      </c>
      <c r="HP15" s="758" t="str">
        <f t="shared" ca="1" si="51"/>
        <v/>
      </c>
      <c r="HQ15" s="755" t="str">
        <f t="shared" ca="1" si="52"/>
        <v/>
      </c>
      <c r="HR15" s="756" t="str">
        <f ca="1">IF(COUNTIF(HR$10:HR14,OFFSET(A1_原単位2025,17,HL15+2))&gt;=1,"",OFFSET(A1_原単位2025,17,HL15+2)&amp;"")</f>
        <v/>
      </c>
      <c r="HS15" s="759" t="str">
        <f t="shared" ca="1" si="53"/>
        <v/>
      </c>
      <c r="HT15" s="760" t="str">
        <f t="shared" ca="1" si="54"/>
        <v/>
      </c>
      <c r="HU15" s="755" t="str">
        <f t="shared" ca="1" si="55"/>
        <v/>
      </c>
      <c r="HV15" s="756" t="str">
        <f ca="1">IF(COUNTIF(HV$10:HV14,OFFSET(A1_原単位2025,29,HL15+2))&gt;=1,"",OFFSET(A1_原単位2025,29,HL15+2)&amp;"")</f>
        <v/>
      </c>
      <c r="HW15" s="759" t="str">
        <f t="shared" ca="1" si="56"/>
        <v/>
      </c>
      <c r="HX15" s="760" t="str">
        <f t="shared" ca="1" si="57"/>
        <v/>
      </c>
      <c r="HY15" s="755" t="str">
        <f t="shared" ca="1" si="58"/>
        <v/>
      </c>
      <c r="HZ15" s="756" t="str">
        <f ca="1">IF(COUNTIF(HZ$10:HZ14,OFFSET(A1_原単位2025,41,HL15+2))&gt;=1,"",OFFSET(A1_原単位2025,41,HL15+2)&amp;"")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19.2"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IF(COUNTIF(HN$10:HN15,OFFSET(A1_原単位2025,5,HL16+2))&gt;=1,"",OFFSET(A1_原単位2025,5,HL16+2)&amp;"")</f>
        <v/>
      </c>
      <c r="HO16" s="757" t="str">
        <f t="shared" ca="1" si="50"/>
        <v/>
      </c>
      <c r="HP16" s="758" t="str">
        <f t="shared" ca="1" si="51"/>
        <v/>
      </c>
      <c r="HQ16" s="755" t="str">
        <f t="shared" ca="1" si="52"/>
        <v/>
      </c>
      <c r="HR16" s="756" t="str">
        <f ca="1">IF(COUNTIF(HR$10:HR15,OFFSET(A1_原単位2025,17,HL16+2))&gt;=1,"",OFFSET(A1_原単位2025,17,HL16+2)&amp;"")</f>
        <v/>
      </c>
      <c r="HS16" s="759" t="str">
        <f t="shared" ca="1" si="53"/>
        <v/>
      </c>
      <c r="HT16" s="760" t="str">
        <f t="shared" ca="1" si="54"/>
        <v/>
      </c>
      <c r="HU16" s="755" t="str">
        <f t="shared" ca="1" si="55"/>
        <v/>
      </c>
      <c r="HV16" s="756" t="str">
        <f ca="1">IF(COUNTIF(HV$10:HV15,OFFSET(A1_原単位2025,29,HL16+2))&gt;=1,"",OFFSET(A1_原単位2025,29,HL16+2)&amp;"")</f>
        <v/>
      </c>
      <c r="HW16" s="759" t="str">
        <f t="shared" ca="1" si="56"/>
        <v/>
      </c>
      <c r="HX16" s="760" t="str">
        <f t="shared" ca="1" si="57"/>
        <v/>
      </c>
      <c r="HY16" s="755" t="str">
        <f t="shared" ca="1" si="58"/>
        <v/>
      </c>
      <c r="HZ16" s="756" t="str">
        <f ca="1">IF(COUNTIF(HZ$10:HZ15,OFFSET(A1_原単位2025,41,HL16+2))&gt;=1,"",OFFSET(A1_原単位2025,41,HL16+2)&amp;"")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19.2"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IF(COUNTIF(HN$10:HN16,OFFSET(A1_原単位2025,5,HL17+2))&gt;=1,"",OFFSET(A1_原単位2025,5,HL17+2)&amp;"")</f>
        <v/>
      </c>
      <c r="HO17" s="757" t="str">
        <f t="shared" ca="1" si="50"/>
        <v/>
      </c>
      <c r="HP17" s="758" t="str">
        <f t="shared" ca="1" si="51"/>
        <v/>
      </c>
      <c r="HQ17" s="755" t="str">
        <f t="shared" ca="1" si="52"/>
        <v/>
      </c>
      <c r="HR17" s="756" t="str">
        <f ca="1">IF(COUNTIF(HR$10:HR16,OFFSET(A1_原単位2025,17,HL17+2))&gt;=1,"",OFFSET(A1_原単位2025,17,HL17+2)&amp;"")</f>
        <v/>
      </c>
      <c r="HS17" s="759" t="str">
        <f t="shared" ca="1" si="53"/>
        <v/>
      </c>
      <c r="HT17" s="760" t="str">
        <f t="shared" ca="1" si="54"/>
        <v/>
      </c>
      <c r="HU17" s="755" t="str">
        <f t="shared" ca="1" si="55"/>
        <v/>
      </c>
      <c r="HV17" s="756" t="str">
        <f ca="1">IF(COUNTIF(HV$10:HV16,OFFSET(A1_原単位2025,29,HL17+2))&gt;=1,"",OFFSET(A1_原単位2025,29,HL17+2)&amp;"")</f>
        <v/>
      </c>
      <c r="HW17" s="759" t="str">
        <f t="shared" ca="1" si="56"/>
        <v/>
      </c>
      <c r="HX17" s="760" t="str">
        <f t="shared" ca="1" si="57"/>
        <v/>
      </c>
      <c r="HY17" s="755" t="str">
        <f t="shared" ca="1" si="58"/>
        <v/>
      </c>
      <c r="HZ17" s="756" t="str">
        <f ca="1">IF(COUNTIF(HZ$10:HZ16,OFFSET(A1_原単位2025,41,HL17+2))&gt;=1,"",OFFSET(A1_原単位2025,41,HL17+2)&amp;"")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19.2"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IF(COUNTIF(HN$10:HN17,OFFSET(A1_原単位2025,5,HL18+2))&gt;=1,"",OFFSET(A1_原単位2025,5,HL18+2)&amp;"")</f>
        <v/>
      </c>
      <c r="HO18" s="757" t="str">
        <f t="shared" ca="1" si="50"/>
        <v/>
      </c>
      <c r="HP18" s="758" t="str">
        <f t="shared" ca="1" si="51"/>
        <v/>
      </c>
      <c r="HQ18" s="755" t="str">
        <f t="shared" ca="1" si="52"/>
        <v/>
      </c>
      <c r="HR18" s="756" t="str">
        <f ca="1">IF(COUNTIF(HR$10:HR17,OFFSET(A1_原単位2025,17,HL18+2))&gt;=1,"",OFFSET(A1_原単位2025,17,HL18+2)&amp;"")</f>
        <v/>
      </c>
      <c r="HS18" s="759" t="str">
        <f t="shared" ca="1" si="53"/>
        <v/>
      </c>
      <c r="HT18" s="760" t="str">
        <f t="shared" ca="1" si="54"/>
        <v/>
      </c>
      <c r="HU18" s="755" t="str">
        <f t="shared" ca="1" si="55"/>
        <v/>
      </c>
      <c r="HV18" s="756" t="str">
        <f ca="1">IF(COUNTIF(HV$10:HV17,OFFSET(A1_原単位2025,29,HL18+2))&gt;=1,"",OFFSET(A1_原単位2025,29,HL18+2)&amp;"")</f>
        <v/>
      </c>
      <c r="HW18" s="759" t="str">
        <f t="shared" ca="1" si="56"/>
        <v/>
      </c>
      <c r="HX18" s="760" t="str">
        <f t="shared" ca="1" si="57"/>
        <v/>
      </c>
      <c r="HY18" s="755" t="str">
        <f t="shared" ca="1" si="58"/>
        <v/>
      </c>
      <c r="HZ18" s="756" t="str">
        <f ca="1">IF(COUNTIF(HZ$10:HZ17,OFFSET(A1_原単位2025,41,HL18+2))&gt;=1,"",OFFSET(A1_原単位2025,41,HL18+2)&amp;"")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19.2"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IF(COUNTIF(HN$10:HN18,OFFSET(A1_原単位2025,5,HL19+2))&gt;=1,"",OFFSET(A1_原単位2025,5,HL19+2)&amp;"")</f>
        <v/>
      </c>
      <c r="HO19" s="757" t="str">
        <f t="shared" ca="1" si="50"/>
        <v/>
      </c>
      <c r="HP19" s="758" t="str">
        <f t="shared" ca="1" si="51"/>
        <v/>
      </c>
      <c r="HQ19" s="755" t="str">
        <f t="shared" ca="1" si="52"/>
        <v/>
      </c>
      <c r="HR19" s="756" t="str">
        <f ca="1">IF(COUNTIF(HR$10:HR18,OFFSET(A1_原単位2025,17,HL19+2))&gt;=1,"",OFFSET(A1_原単位2025,17,HL19+2)&amp;"")</f>
        <v/>
      </c>
      <c r="HS19" s="759" t="str">
        <f t="shared" ca="1" si="53"/>
        <v/>
      </c>
      <c r="HT19" s="760" t="str">
        <f t="shared" ca="1" si="54"/>
        <v/>
      </c>
      <c r="HU19" s="755" t="str">
        <f t="shared" ca="1" si="55"/>
        <v/>
      </c>
      <c r="HV19" s="756" t="str">
        <f ca="1">IF(COUNTIF(HV$10:HV18,OFFSET(A1_原単位2025,29,HL19+2))&gt;=1,"",OFFSET(A1_原単位2025,29,HL19+2)&amp;"")</f>
        <v/>
      </c>
      <c r="HW19" s="759" t="str">
        <f t="shared" ca="1" si="56"/>
        <v/>
      </c>
      <c r="HX19" s="760" t="str">
        <f t="shared" ca="1" si="57"/>
        <v/>
      </c>
      <c r="HY19" s="755" t="str">
        <f t="shared" ca="1" si="58"/>
        <v/>
      </c>
      <c r="HZ19" s="756" t="str">
        <f ca="1">IF(COUNTIF(HZ$10:HZ18,OFFSET(A1_原単位2025,41,HL19+2))&gt;=1,"",OFFSET(A1_原単位2025,41,HL19+2)&amp;"")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19.2"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IF(COUNTIF(HN$10:HN19,OFFSET(A1_原単位2025,5,HL20+2))&gt;=1,"",OFFSET(A1_原単位2025,5,HL20+2)&amp;"")</f>
        <v/>
      </c>
      <c r="HO20" s="757" t="str">
        <f t="shared" ca="1" si="50"/>
        <v/>
      </c>
      <c r="HP20" s="758" t="str">
        <f t="shared" ca="1" si="51"/>
        <v/>
      </c>
      <c r="HQ20" s="755" t="str">
        <f t="shared" ca="1" si="52"/>
        <v/>
      </c>
      <c r="HR20" s="756" t="str">
        <f ca="1">IF(COUNTIF(HR$10:HR19,OFFSET(A1_原単位2025,17,HL20+2))&gt;=1,"",OFFSET(A1_原単位2025,17,HL20+2)&amp;"")</f>
        <v/>
      </c>
      <c r="HS20" s="759" t="str">
        <f t="shared" ca="1" si="53"/>
        <v/>
      </c>
      <c r="HT20" s="760" t="str">
        <f t="shared" ca="1" si="54"/>
        <v/>
      </c>
      <c r="HU20" s="755" t="str">
        <f t="shared" ca="1" si="55"/>
        <v/>
      </c>
      <c r="HV20" s="756" t="str">
        <f ca="1">IF(COUNTIF(HV$10:HV19,OFFSET(A1_原単位2025,29,HL20+2))&gt;=1,"",OFFSET(A1_原単位2025,29,HL20+2)&amp;"")</f>
        <v/>
      </c>
      <c r="HW20" s="759" t="str">
        <f t="shared" ca="1" si="56"/>
        <v/>
      </c>
      <c r="HX20" s="760" t="str">
        <f t="shared" ca="1" si="57"/>
        <v/>
      </c>
      <c r="HY20" s="755" t="str">
        <f t="shared" ca="1" si="58"/>
        <v/>
      </c>
      <c r="HZ20" s="756" t="str">
        <f ca="1">IF(COUNTIF(HZ$10:HZ19,OFFSET(A1_原単位2025,41,HL20+2))&gt;=1,"",OFFSET(A1_原単位2025,41,HL20+2)&amp;"")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19.2"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IF(COUNTIF(HN$10:HN20,OFFSET(A1_原単位2025,5,HL21+2))&gt;=1,"",OFFSET(A1_原単位2025,5,HL21+2)&amp;"")</f>
        <v/>
      </c>
      <c r="HO21" s="757" t="str">
        <f t="shared" ca="1" si="50"/>
        <v/>
      </c>
      <c r="HP21" s="758" t="str">
        <f t="shared" ca="1" si="51"/>
        <v/>
      </c>
      <c r="HQ21" s="755" t="str">
        <f t="shared" ca="1" si="52"/>
        <v/>
      </c>
      <c r="HR21" s="756" t="str">
        <f ca="1">IF(COUNTIF(HR$10:HR20,OFFSET(A1_原単位2025,17,HL21+2))&gt;=1,"",OFFSET(A1_原単位2025,17,HL21+2)&amp;"")</f>
        <v/>
      </c>
      <c r="HS21" s="759" t="str">
        <f t="shared" ca="1" si="53"/>
        <v/>
      </c>
      <c r="HT21" s="760" t="str">
        <f t="shared" ca="1" si="54"/>
        <v/>
      </c>
      <c r="HU21" s="755" t="str">
        <f t="shared" ca="1" si="55"/>
        <v/>
      </c>
      <c r="HV21" s="756" t="str">
        <f ca="1">IF(COUNTIF(HV$10:HV20,OFFSET(A1_原単位2025,29,HL21+2))&gt;=1,"",OFFSET(A1_原単位2025,29,HL21+2)&amp;"")</f>
        <v/>
      </c>
      <c r="HW21" s="759" t="str">
        <f t="shared" ca="1" si="56"/>
        <v/>
      </c>
      <c r="HX21" s="760" t="str">
        <f t="shared" ca="1" si="57"/>
        <v/>
      </c>
      <c r="HY21" s="755" t="str">
        <f t="shared" ca="1" si="58"/>
        <v/>
      </c>
      <c r="HZ21" s="756" t="str">
        <f ca="1">IF(COUNTIF(HZ$10:HZ20,OFFSET(A1_原単位2025,41,HL21+2))&gt;=1,"",OFFSET(A1_原単位2025,41,HL21+2)&amp;"")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19.2"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IF(COUNTIF(HN$10:HN21,OFFSET(A1_原単位2025,5,HL22+2))&gt;=1,"",OFFSET(A1_原単位2025,5,HL22+2)&amp;"")</f>
        <v/>
      </c>
      <c r="HO22" s="757" t="str">
        <f t="shared" ca="1" si="50"/>
        <v/>
      </c>
      <c r="HP22" s="758" t="str">
        <f t="shared" ca="1" si="51"/>
        <v/>
      </c>
      <c r="HQ22" s="755" t="str">
        <f t="shared" ca="1" si="52"/>
        <v/>
      </c>
      <c r="HR22" s="756" t="str">
        <f ca="1">IF(COUNTIF(HR$10:HR21,OFFSET(A1_原単位2025,17,HL22+2))&gt;=1,"",OFFSET(A1_原単位2025,17,HL22+2)&amp;"")</f>
        <v/>
      </c>
      <c r="HS22" s="759" t="str">
        <f t="shared" ca="1" si="53"/>
        <v/>
      </c>
      <c r="HT22" s="760" t="str">
        <f t="shared" ca="1" si="54"/>
        <v/>
      </c>
      <c r="HU22" s="755" t="str">
        <f t="shared" ca="1" si="55"/>
        <v/>
      </c>
      <c r="HV22" s="756" t="str">
        <f ca="1">IF(COUNTIF(HV$10:HV21,OFFSET(A1_原単位2025,29,HL22+2))&gt;=1,"",OFFSET(A1_原単位2025,29,HL22+2)&amp;"")</f>
        <v/>
      </c>
      <c r="HW22" s="759" t="str">
        <f t="shared" ca="1" si="56"/>
        <v/>
      </c>
      <c r="HX22" s="760" t="str">
        <f t="shared" ca="1" si="57"/>
        <v/>
      </c>
      <c r="HY22" s="755" t="str">
        <f t="shared" ca="1" si="58"/>
        <v/>
      </c>
      <c r="HZ22" s="756" t="str">
        <f ca="1">IF(COUNTIF(HZ$10:HZ21,OFFSET(A1_原単位2025,41,HL22+2))&gt;=1,"",OFFSET(A1_原単位2025,41,HL22+2)&amp;"")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19.2"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IF(COUNTIF(HN$10:HN22,OFFSET(A1_原単位2025,5,HL23+2))&gt;=1,"",OFFSET(A1_原単位2025,5,HL23+2)&amp;"")</f>
        <v/>
      </c>
      <c r="HO23" s="757" t="str">
        <f t="shared" ca="1" si="50"/>
        <v/>
      </c>
      <c r="HP23" s="758" t="str">
        <f t="shared" ca="1" si="51"/>
        <v/>
      </c>
      <c r="HQ23" s="755" t="str">
        <f t="shared" ca="1" si="52"/>
        <v/>
      </c>
      <c r="HR23" s="756" t="str">
        <f ca="1">IF(COUNTIF(HR$10:HR22,OFFSET(A1_原単位2025,17,HL23+2))&gt;=1,"",OFFSET(A1_原単位2025,17,HL23+2)&amp;"")</f>
        <v/>
      </c>
      <c r="HS23" s="759" t="str">
        <f t="shared" ca="1" si="53"/>
        <v/>
      </c>
      <c r="HT23" s="760" t="str">
        <f t="shared" ca="1" si="54"/>
        <v/>
      </c>
      <c r="HU23" s="755" t="str">
        <f t="shared" ca="1" si="55"/>
        <v/>
      </c>
      <c r="HV23" s="756" t="str">
        <f ca="1">IF(COUNTIF(HV$10:HV22,OFFSET(A1_原単位2025,29,HL23+2))&gt;=1,"",OFFSET(A1_原単位2025,29,HL23+2)&amp;"")</f>
        <v/>
      </c>
      <c r="HW23" s="759" t="str">
        <f t="shared" ca="1" si="56"/>
        <v/>
      </c>
      <c r="HX23" s="760" t="str">
        <f t="shared" ca="1" si="57"/>
        <v/>
      </c>
      <c r="HY23" s="755" t="str">
        <f t="shared" ca="1" si="58"/>
        <v/>
      </c>
      <c r="HZ23" s="756" t="str">
        <f ca="1">IF(COUNTIF(HZ$10:HZ22,OFFSET(A1_原単位2025,41,HL23+2))&gt;=1,"",OFFSET(A1_原単位2025,41,HL23+2)&amp;"")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19.2"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IF(COUNTIF(HN$10:HN23,OFFSET(A1_原単位2025,5,HL24+2))&gt;=1,"",OFFSET(A1_原単位2025,5,HL24+2)&amp;"")</f>
        <v/>
      </c>
      <c r="HO24" s="757" t="str">
        <f t="shared" ca="1" si="50"/>
        <v/>
      </c>
      <c r="HP24" s="758" t="str">
        <f t="shared" ca="1" si="51"/>
        <v/>
      </c>
      <c r="HQ24" s="755" t="str">
        <f t="shared" ca="1" si="52"/>
        <v/>
      </c>
      <c r="HR24" s="756" t="str">
        <f ca="1">IF(COUNTIF(HR$10:HR23,OFFSET(A1_原単位2025,17,HL24+2))&gt;=1,"",OFFSET(A1_原単位2025,17,HL24+2)&amp;"")</f>
        <v/>
      </c>
      <c r="HS24" s="759" t="str">
        <f t="shared" ca="1" si="53"/>
        <v/>
      </c>
      <c r="HT24" s="760" t="str">
        <f t="shared" ca="1" si="54"/>
        <v/>
      </c>
      <c r="HU24" s="755" t="str">
        <f t="shared" ca="1" si="55"/>
        <v/>
      </c>
      <c r="HV24" s="756" t="str">
        <f ca="1">IF(COUNTIF(HV$10:HV23,OFFSET(A1_原単位2025,29,HL24+2))&gt;=1,"",OFFSET(A1_原単位2025,29,HL24+2)&amp;"")</f>
        <v/>
      </c>
      <c r="HW24" s="759" t="str">
        <f t="shared" ca="1" si="56"/>
        <v/>
      </c>
      <c r="HX24" s="760" t="str">
        <f t="shared" ca="1" si="57"/>
        <v/>
      </c>
      <c r="HY24" s="755" t="str">
        <f t="shared" ca="1" si="58"/>
        <v/>
      </c>
      <c r="HZ24" s="756" t="str">
        <f ca="1">IF(COUNTIF(HZ$10:HZ23,OFFSET(A1_原単位2025,41,HL24+2))&gt;=1,"",OFFSET(A1_原単位2025,41,HL24+2)&amp;"")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19.2"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IF(COUNTIF(HN$10:HN24,OFFSET(A1_原単位2025,5,HL25+2))&gt;=1,"",OFFSET(A1_原単位2025,5,HL25+2)&amp;"")</f>
        <v/>
      </c>
      <c r="HO25" s="757" t="str">
        <f t="shared" ca="1" si="50"/>
        <v/>
      </c>
      <c r="HP25" s="758" t="str">
        <f t="shared" ca="1" si="51"/>
        <v/>
      </c>
      <c r="HQ25" s="755" t="str">
        <f t="shared" ca="1" si="52"/>
        <v/>
      </c>
      <c r="HR25" s="756" t="str">
        <f ca="1">IF(COUNTIF(HR$10:HR24,OFFSET(A1_原単位2025,17,HL25+2))&gt;=1,"",OFFSET(A1_原単位2025,17,HL25+2)&amp;"")</f>
        <v/>
      </c>
      <c r="HS25" s="759" t="str">
        <f t="shared" ca="1" si="53"/>
        <v/>
      </c>
      <c r="HT25" s="760" t="str">
        <f t="shared" ca="1" si="54"/>
        <v/>
      </c>
      <c r="HU25" s="755" t="str">
        <f t="shared" ca="1" si="55"/>
        <v/>
      </c>
      <c r="HV25" s="756" t="str">
        <f ca="1">IF(COUNTIF(HV$10:HV24,OFFSET(A1_原単位2025,29,HL25+2))&gt;=1,"",OFFSET(A1_原単位2025,29,HL25+2)&amp;"")</f>
        <v/>
      </c>
      <c r="HW25" s="759" t="str">
        <f t="shared" ca="1" si="56"/>
        <v/>
      </c>
      <c r="HX25" s="760" t="str">
        <f t="shared" ca="1" si="57"/>
        <v/>
      </c>
      <c r="HY25" s="755" t="str">
        <f t="shared" ca="1" si="58"/>
        <v/>
      </c>
      <c r="HZ25" s="756" t="str">
        <f ca="1">IF(COUNTIF(HZ$10:HZ24,OFFSET(A1_原単位2025,41,HL25+2))&gt;=1,"",OFFSET(A1_原単位2025,41,HL25+2)&amp;"")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19.2"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IF(COUNTIF(HN$10:HN25,OFFSET(A1_原単位2025,5,HL26+2))&gt;=1,"",OFFSET(A1_原単位2025,5,HL26+2)&amp;"")</f>
        <v/>
      </c>
      <c r="HO26" s="757" t="str">
        <f t="shared" ca="1" si="50"/>
        <v/>
      </c>
      <c r="HP26" s="758" t="str">
        <f t="shared" ca="1" si="51"/>
        <v/>
      </c>
      <c r="HQ26" s="755" t="str">
        <f t="shared" ca="1" si="52"/>
        <v/>
      </c>
      <c r="HR26" s="756" t="str">
        <f ca="1">IF(COUNTIF(HR$10:HR25,OFFSET(A1_原単位2025,17,HL26+2))&gt;=1,"",OFFSET(A1_原単位2025,17,HL26+2)&amp;"")</f>
        <v/>
      </c>
      <c r="HS26" s="759" t="str">
        <f t="shared" ca="1" si="53"/>
        <v/>
      </c>
      <c r="HT26" s="760" t="str">
        <f t="shared" ca="1" si="54"/>
        <v/>
      </c>
      <c r="HU26" s="755" t="str">
        <f t="shared" ca="1" si="55"/>
        <v/>
      </c>
      <c r="HV26" s="756" t="str">
        <f ca="1">IF(COUNTIF(HV$10:HV25,OFFSET(A1_原単位2025,29,HL26+2))&gt;=1,"",OFFSET(A1_原単位2025,29,HL26+2)&amp;"")</f>
        <v/>
      </c>
      <c r="HW26" s="759" t="str">
        <f t="shared" ca="1" si="56"/>
        <v/>
      </c>
      <c r="HX26" s="760" t="str">
        <f t="shared" ca="1" si="57"/>
        <v/>
      </c>
      <c r="HY26" s="755" t="str">
        <f t="shared" ca="1" si="58"/>
        <v/>
      </c>
      <c r="HZ26" s="756" t="str">
        <f ca="1">IF(COUNTIF(HZ$10:HZ25,OFFSET(A1_原単位2025,41,HL26+2))&gt;=1,"",OFFSET(A1_原単位2025,41,HL26+2)&amp;"")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19.2"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IF(COUNTIF(HN$10:HN26,OFFSET(A1_原単位2025,5,HL27+2))&gt;=1,"",OFFSET(A1_原単位2025,5,HL27+2)&amp;"")</f>
        <v/>
      </c>
      <c r="HO27" s="757" t="str">
        <f t="shared" ca="1" si="50"/>
        <v/>
      </c>
      <c r="HP27" s="758" t="str">
        <f t="shared" ca="1" si="51"/>
        <v/>
      </c>
      <c r="HQ27" s="755" t="str">
        <f t="shared" ca="1" si="52"/>
        <v/>
      </c>
      <c r="HR27" s="756" t="str">
        <f ca="1">IF(COUNTIF(HR$10:HR26,OFFSET(A1_原単位2025,17,HL27+2))&gt;=1,"",OFFSET(A1_原単位2025,17,HL27+2)&amp;"")</f>
        <v/>
      </c>
      <c r="HS27" s="759" t="str">
        <f t="shared" ca="1" si="53"/>
        <v/>
      </c>
      <c r="HT27" s="760" t="str">
        <f t="shared" ca="1" si="54"/>
        <v/>
      </c>
      <c r="HU27" s="755" t="str">
        <f t="shared" ca="1" si="55"/>
        <v/>
      </c>
      <c r="HV27" s="756" t="str">
        <f ca="1">IF(COUNTIF(HV$10:HV26,OFFSET(A1_原単位2025,29,HL27+2))&gt;=1,"",OFFSET(A1_原単位2025,29,HL27+2)&amp;"")</f>
        <v/>
      </c>
      <c r="HW27" s="759" t="str">
        <f t="shared" ca="1" si="56"/>
        <v/>
      </c>
      <c r="HX27" s="760" t="str">
        <f t="shared" ca="1" si="57"/>
        <v/>
      </c>
      <c r="HY27" s="755" t="str">
        <f t="shared" ca="1" si="58"/>
        <v/>
      </c>
      <c r="HZ27" s="756" t="str">
        <f ca="1">IF(COUNTIF(HZ$10:HZ26,OFFSET(A1_原単位2025,41,HL27+2))&gt;=1,"",OFFSET(A1_原単位2025,41,HL27+2)&amp;"")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19.2"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IF(COUNTIF(HN$10:HN27,OFFSET(A1_原単位2025,5,HL28+2))&gt;=1,"",OFFSET(A1_原単位2025,5,HL28+2)&amp;"")</f>
        <v/>
      </c>
      <c r="HO28" s="757" t="str">
        <f t="shared" ca="1" si="50"/>
        <v/>
      </c>
      <c r="HP28" s="758" t="str">
        <f t="shared" ca="1" si="51"/>
        <v/>
      </c>
      <c r="HQ28" s="755" t="str">
        <f t="shared" ca="1" si="52"/>
        <v/>
      </c>
      <c r="HR28" s="756" t="str">
        <f ca="1">IF(COUNTIF(HR$10:HR27,OFFSET(A1_原単位2025,17,HL28+2))&gt;=1,"",OFFSET(A1_原単位2025,17,HL28+2)&amp;"")</f>
        <v/>
      </c>
      <c r="HS28" s="759" t="str">
        <f t="shared" ca="1" si="53"/>
        <v/>
      </c>
      <c r="HT28" s="760" t="str">
        <f t="shared" ca="1" si="54"/>
        <v/>
      </c>
      <c r="HU28" s="755" t="str">
        <f t="shared" ca="1" si="55"/>
        <v/>
      </c>
      <c r="HV28" s="756" t="str">
        <f ca="1">IF(COUNTIF(HV$10:HV27,OFFSET(A1_原単位2025,29,HL28+2))&gt;=1,"",OFFSET(A1_原単位2025,29,HL28+2)&amp;"")</f>
        <v/>
      </c>
      <c r="HW28" s="759" t="str">
        <f t="shared" ca="1" si="56"/>
        <v/>
      </c>
      <c r="HX28" s="760" t="str">
        <f t="shared" ca="1" si="57"/>
        <v/>
      </c>
      <c r="HY28" s="755" t="str">
        <f t="shared" ca="1" si="58"/>
        <v/>
      </c>
      <c r="HZ28" s="756" t="str">
        <f ca="1">IF(COUNTIF(HZ$10:HZ27,OFFSET(A1_原単位2025,41,HL28+2))&gt;=1,"",OFFSET(A1_原単位2025,41,HL28+2)&amp;"")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19.2"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IF(COUNTIF(HN$10:HN28,OFFSET(A1_原単位2025,5,HL29+2))&gt;=1,"",OFFSET(A1_原単位2025,5,HL29+2)&amp;"")</f>
        <v/>
      </c>
      <c r="HO29" s="757" t="str">
        <f t="shared" ca="1" si="50"/>
        <v/>
      </c>
      <c r="HP29" s="758" t="str">
        <f t="shared" ca="1" si="51"/>
        <v/>
      </c>
      <c r="HQ29" s="755" t="str">
        <f t="shared" ca="1" si="52"/>
        <v/>
      </c>
      <c r="HR29" s="756" t="str">
        <f ca="1">IF(COUNTIF(HR$10:HR28,OFFSET(A1_原単位2025,17,HL29+2))&gt;=1,"",OFFSET(A1_原単位2025,17,HL29+2)&amp;"")</f>
        <v/>
      </c>
      <c r="HS29" s="759" t="str">
        <f t="shared" ca="1" si="53"/>
        <v/>
      </c>
      <c r="HT29" s="760" t="str">
        <f t="shared" ca="1" si="54"/>
        <v/>
      </c>
      <c r="HU29" s="755" t="str">
        <f t="shared" ca="1" si="55"/>
        <v/>
      </c>
      <c r="HV29" s="756" t="str">
        <f ca="1">IF(COUNTIF(HV$10:HV28,OFFSET(A1_原単位2025,29,HL29+2))&gt;=1,"",OFFSET(A1_原単位2025,29,HL29+2)&amp;"")</f>
        <v/>
      </c>
      <c r="HW29" s="759" t="str">
        <f t="shared" ca="1" si="56"/>
        <v/>
      </c>
      <c r="HX29" s="760" t="str">
        <f t="shared" ca="1" si="57"/>
        <v/>
      </c>
      <c r="HY29" s="755" t="str">
        <f t="shared" ca="1" si="58"/>
        <v/>
      </c>
      <c r="HZ29" s="756" t="str">
        <f ca="1">IF(COUNTIF(HZ$10:HZ28,OFFSET(A1_原単位2025,41,HL29+2))&gt;=1,"",OFFSET(A1_原単位2025,41,HL29+2)&amp;"")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IF(COUNTIF(HN$10:HN29,OFFSET(A1_原単位2025,5,HL30+2))&gt;=1,"",OFFSET(A1_原単位2025,5,HL30+2)&amp;"")</f>
        <v/>
      </c>
      <c r="HO30" s="757" t="str">
        <f t="shared" ca="1" si="50"/>
        <v/>
      </c>
      <c r="HP30" s="758" t="str">
        <f t="shared" ca="1" si="51"/>
        <v/>
      </c>
      <c r="HQ30" s="755" t="str">
        <f t="shared" ca="1" si="52"/>
        <v/>
      </c>
      <c r="HR30" s="756" t="str">
        <f ca="1">IF(COUNTIF(HR$10:HR29,OFFSET(A1_原単位2025,17,HL30+2))&gt;=1,"",OFFSET(A1_原単位2025,17,HL30+2)&amp;"")</f>
        <v/>
      </c>
      <c r="HS30" s="759" t="str">
        <f t="shared" ca="1" si="53"/>
        <v/>
      </c>
      <c r="HT30" s="760" t="str">
        <f t="shared" ca="1" si="54"/>
        <v/>
      </c>
      <c r="HU30" s="755" t="str">
        <f t="shared" ca="1" si="55"/>
        <v/>
      </c>
      <c r="HV30" s="756" t="str">
        <f ca="1">IF(COUNTIF(HV$10:HV29,OFFSET(A1_原単位2025,29,HL30+2))&gt;=1,"",OFFSET(A1_原単位2025,29,HL30+2)&amp;"")</f>
        <v/>
      </c>
      <c r="HW30" s="759" t="str">
        <f t="shared" ca="1" si="56"/>
        <v/>
      </c>
      <c r="HX30" s="760" t="str">
        <f t="shared" ca="1" si="57"/>
        <v/>
      </c>
      <c r="HY30" s="755" t="str">
        <f t="shared" ca="1" si="58"/>
        <v/>
      </c>
      <c r="HZ30" s="756" t="str">
        <f ca="1">IF(COUNTIF(HZ$10:HZ29,OFFSET(A1_原単位2025,41,HL30+2))&gt;=1,"",OFFSET(A1_原単位2025,41,HL30+2)&amp;"")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IF(COUNTIF(HN$10:HN30,OFFSET(A1_原単位2025,5,HL31+2))&gt;=1,"",OFFSET(A1_原単位2025,5,HL31+2)&amp;"")</f>
        <v/>
      </c>
      <c r="HO31" s="757" t="str">
        <f t="shared" ca="1" si="50"/>
        <v/>
      </c>
      <c r="HP31" s="758" t="str">
        <f t="shared" ca="1" si="51"/>
        <v/>
      </c>
      <c r="HQ31" s="755" t="str">
        <f t="shared" ca="1" si="52"/>
        <v/>
      </c>
      <c r="HR31" s="756" t="str">
        <f ca="1">IF(COUNTIF(HR$10:HR30,OFFSET(A1_原単位2025,17,HL31+2))&gt;=1,"",OFFSET(A1_原単位2025,17,HL31+2)&amp;"")</f>
        <v/>
      </c>
      <c r="HS31" s="759" t="str">
        <f t="shared" ca="1" si="53"/>
        <v/>
      </c>
      <c r="HT31" s="760" t="str">
        <f t="shared" ca="1" si="54"/>
        <v/>
      </c>
      <c r="HU31" s="755" t="str">
        <f t="shared" ca="1" si="55"/>
        <v/>
      </c>
      <c r="HV31" s="756" t="str">
        <f ca="1">IF(COUNTIF(HV$10:HV30,OFFSET(A1_原単位2025,29,HL31+2))&gt;=1,"",OFFSET(A1_原単位2025,29,HL31+2)&amp;"")</f>
        <v/>
      </c>
      <c r="HW31" s="759" t="str">
        <f t="shared" ca="1" si="56"/>
        <v/>
      </c>
      <c r="HX31" s="760" t="str">
        <f t="shared" ca="1" si="57"/>
        <v/>
      </c>
      <c r="HY31" s="755" t="str">
        <f t="shared" ca="1" si="58"/>
        <v/>
      </c>
      <c r="HZ31" s="756" t="str">
        <f ca="1">IF(COUNTIF(HZ$10:HZ30,OFFSET(A1_原単位2025,41,HL31+2))&gt;=1,"",OFFSET(A1_原単位2025,41,HL31+2)&amp;"")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IF(COUNTIF(HN$10:HN31,OFFSET(A1_原単位2025,5,HL32+2))&gt;=1,"",OFFSET(A1_原単位2025,5,HL32+2)&amp;"")</f>
        <v/>
      </c>
      <c r="HO32" s="757" t="str">
        <f t="shared" ca="1" si="50"/>
        <v/>
      </c>
      <c r="HP32" s="758" t="str">
        <f t="shared" ca="1" si="51"/>
        <v/>
      </c>
      <c r="HQ32" s="755" t="str">
        <f t="shared" ca="1" si="52"/>
        <v/>
      </c>
      <c r="HR32" s="756" t="str">
        <f ca="1">IF(COUNTIF(HR$10:HR31,OFFSET(A1_原単位2025,17,HL32+2))&gt;=1,"",OFFSET(A1_原単位2025,17,HL32+2)&amp;"")</f>
        <v/>
      </c>
      <c r="HS32" s="759" t="str">
        <f t="shared" ca="1" si="53"/>
        <v/>
      </c>
      <c r="HT32" s="760" t="str">
        <f t="shared" ca="1" si="54"/>
        <v/>
      </c>
      <c r="HU32" s="755" t="str">
        <f t="shared" ca="1" si="55"/>
        <v/>
      </c>
      <c r="HV32" s="756" t="str">
        <f ca="1">IF(COUNTIF(HV$10:HV31,OFFSET(A1_原単位2025,29,HL32+2))&gt;=1,"",OFFSET(A1_原単位2025,29,HL32+2)&amp;"")</f>
        <v/>
      </c>
      <c r="HW32" s="759" t="str">
        <f t="shared" ca="1" si="56"/>
        <v/>
      </c>
      <c r="HX32" s="760" t="str">
        <f t="shared" ca="1" si="57"/>
        <v/>
      </c>
      <c r="HY32" s="755" t="str">
        <f t="shared" ca="1" si="58"/>
        <v/>
      </c>
      <c r="HZ32" s="756" t="str">
        <f ca="1">IF(COUNTIF(HZ$10:HZ31,OFFSET(A1_原単位2025,41,HL32+2))&gt;=1,"",OFFSET(A1_原単位2025,41,HL32+2)&amp;"")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IF(COUNTIF(HN$10:HN32,OFFSET(A1_原単位2025,5,HL33+2))&gt;=1,"",OFFSET(A1_原単位2025,5,HL33+2)&amp;"")</f>
        <v/>
      </c>
      <c r="HO33" s="757" t="str">
        <f t="shared" ca="1" si="50"/>
        <v/>
      </c>
      <c r="HP33" s="758" t="str">
        <f t="shared" ca="1" si="51"/>
        <v/>
      </c>
      <c r="HQ33" s="755" t="str">
        <f t="shared" ca="1" si="52"/>
        <v/>
      </c>
      <c r="HR33" s="756" t="str">
        <f ca="1">IF(COUNTIF(HR$10:HR32,OFFSET(A1_原単位2025,17,HL33+2))&gt;=1,"",OFFSET(A1_原単位2025,17,HL33+2)&amp;"")</f>
        <v/>
      </c>
      <c r="HS33" s="759" t="str">
        <f t="shared" ca="1" si="53"/>
        <v/>
      </c>
      <c r="HT33" s="760" t="str">
        <f t="shared" ca="1" si="54"/>
        <v/>
      </c>
      <c r="HU33" s="755" t="str">
        <f t="shared" ca="1" si="55"/>
        <v/>
      </c>
      <c r="HV33" s="756" t="str">
        <f ca="1">IF(COUNTIF(HV$10:HV32,OFFSET(A1_原単位2025,29,HL33+2))&gt;=1,"",OFFSET(A1_原単位2025,29,HL33+2)&amp;"")</f>
        <v/>
      </c>
      <c r="HW33" s="759" t="str">
        <f t="shared" ca="1" si="56"/>
        <v/>
      </c>
      <c r="HX33" s="760" t="str">
        <f t="shared" ca="1" si="57"/>
        <v/>
      </c>
      <c r="HY33" s="755" t="str">
        <f t="shared" ca="1" si="58"/>
        <v/>
      </c>
      <c r="HZ33" s="756" t="str">
        <f ca="1">IF(COUNTIF(HZ$10:HZ32,OFFSET(A1_原単位2025,41,HL33+2))&gt;=1,"",OFFSET(A1_原単位2025,41,HL33+2)&amp;"")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IF(COUNTIF(HN$10:HN33,OFFSET(A1_原単位2025,5,HL34+2))&gt;=1,"",OFFSET(A1_原単位2025,5,HL34+2)&amp;"")</f>
        <v/>
      </c>
      <c r="HO34" s="757" t="str">
        <f t="shared" ca="1" si="50"/>
        <v/>
      </c>
      <c r="HP34" s="758" t="str">
        <f t="shared" ca="1" si="51"/>
        <v/>
      </c>
      <c r="HQ34" s="755" t="str">
        <f t="shared" ca="1" si="52"/>
        <v/>
      </c>
      <c r="HR34" s="756" t="str">
        <f ca="1">IF(COUNTIF(HR$10:HR33,OFFSET(A1_原単位2025,17,HL34+2))&gt;=1,"",OFFSET(A1_原単位2025,17,HL34+2)&amp;"")</f>
        <v/>
      </c>
      <c r="HS34" s="759" t="str">
        <f t="shared" ca="1" si="53"/>
        <v/>
      </c>
      <c r="HT34" s="760" t="str">
        <f t="shared" ca="1" si="54"/>
        <v/>
      </c>
      <c r="HU34" s="755" t="str">
        <f t="shared" ca="1" si="55"/>
        <v/>
      </c>
      <c r="HV34" s="756" t="str">
        <f ca="1">IF(COUNTIF(HV$10:HV33,OFFSET(A1_原単位2025,29,HL34+2))&gt;=1,"",OFFSET(A1_原単位2025,29,HL34+2)&amp;"")</f>
        <v/>
      </c>
      <c r="HW34" s="759" t="str">
        <f t="shared" ca="1" si="56"/>
        <v/>
      </c>
      <c r="HX34" s="760" t="str">
        <f t="shared" ca="1" si="57"/>
        <v/>
      </c>
      <c r="HY34" s="755" t="str">
        <f t="shared" ca="1" si="58"/>
        <v/>
      </c>
      <c r="HZ34" s="756" t="str">
        <f ca="1">IF(COUNTIF(HZ$10:HZ33,OFFSET(A1_原単位2025,41,HL34+2))&gt;=1,"",OFFSET(A1_原単位2025,41,HL34+2)&amp;"")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IF(COUNTIF(HN$10:HN34,OFFSET(A1_原単位2025,5,HL35+2))&gt;=1,"",OFFSET(A1_原単位2025,5,HL35+2)&amp;"")</f>
        <v/>
      </c>
      <c r="HO35" s="757" t="str">
        <f t="shared" ca="1" si="50"/>
        <v/>
      </c>
      <c r="HP35" s="758" t="str">
        <f t="shared" ca="1" si="51"/>
        <v/>
      </c>
      <c r="HQ35" s="755" t="str">
        <f t="shared" ca="1" si="52"/>
        <v/>
      </c>
      <c r="HR35" s="756" t="str">
        <f ca="1">IF(COUNTIF(HR$10:HR34,OFFSET(A1_原単位2025,17,HL35+2))&gt;=1,"",OFFSET(A1_原単位2025,17,HL35+2)&amp;"")</f>
        <v/>
      </c>
      <c r="HS35" s="759" t="str">
        <f t="shared" ca="1" si="53"/>
        <v/>
      </c>
      <c r="HT35" s="760" t="str">
        <f t="shared" ca="1" si="54"/>
        <v/>
      </c>
      <c r="HU35" s="755" t="str">
        <f t="shared" ca="1" si="55"/>
        <v/>
      </c>
      <c r="HV35" s="756" t="str">
        <f ca="1">IF(COUNTIF(HV$10:HV34,OFFSET(A1_原単位2025,29,HL35+2))&gt;=1,"",OFFSET(A1_原単位2025,29,HL35+2)&amp;"")</f>
        <v/>
      </c>
      <c r="HW35" s="759" t="str">
        <f t="shared" ca="1" si="56"/>
        <v/>
      </c>
      <c r="HX35" s="760" t="str">
        <f t="shared" ca="1" si="57"/>
        <v/>
      </c>
      <c r="HY35" s="755" t="str">
        <f t="shared" ca="1" si="58"/>
        <v/>
      </c>
      <c r="HZ35" s="756" t="str">
        <f ca="1">IF(COUNTIF(HZ$10:HZ34,OFFSET(A1_原単位2025,41,HL35+2))&gt;=1,"",OFFSET(A1_原単位2025,41,HL35+2)&amp;"")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IF(COUNTIF(HN$10:HN35,OFFSET(A1_原単位2025,5,HL36+2))&gt;=1,"",OFFSET(A1_原単位2025,5,HL36+2)&amp;"")</f>
        <v/>
      </c>
      <c r="HO36" s="757" t="str">
        <f t="shared" ca="1" si="50"/>
        <v/>
      </c>
      <c r="HP36" s="758" t="str">
        <f t="shared" ca="1" si="51"/>
        <v/>
      </c>
      <c r="HQ36" s="755" t="str">
        <f t="shared" ca="1" si="52"/>
        <v/>
      </c>
      <c r="HR36" s="756" t="str">
        <f ca="1">IF(COUNTIF(HR$10:HR35,OFFSET(A1_原単位2025,17,HL36+2))&gt;=1,"",OFFSET(A1_原単位2025,17,HL36+2)&amp;"")</f>
        <v/>
      </c>
      <c r="HS36" s="759" t="str">
        <f t="shared" ca="1" si="53"/>
        <v/>
      </c>
      <c r="HT36" s="760" t="str">
        <f t="shared" ca="1" si="54"/>
        <v/>
      </c>
      <c r="HU36" s="755" t="str">
        <f t="shared" ca="1" si="55"/>
        <v/>
      </c>
      <c r="HV36" s="756" t="str">
        <f ca="1">IF(COUNTIF(HV$10:HV35,OFFSET(A1_原単位2025,29,HL36+2))&gt;=1,"",OFFSET(A1_原単位2025,29,HL36+2)&amp;"")</f>
        <v/>
      </c>
      <c r="HW36" s="759" t="str">
        <f t="shared" ca="1" si="56"/>
        <v/>
      </c>
      <c r="HX36" s="760" t="str">
        <f t="shared" ca="1" si="57"/>
        <v/>
      </c>
      <c r="HY36" s="755" t="str">
        <f t="shared" ca="1" si="58"/>
        <v/>
      </c>
      <c r="HZ36" s="756" t="str">
        <f ca="1">IF(COUNTIF(HZ$10:HZ35,OFFSET(A1_原単位2025,41,HL36+2))&gt;=1,"",OFFSET(A1_原単位2025,41,HL36+2)&amp;"")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IF(COUNTIF(HN$10:HN36,OFFSET(A1_原単位2025,5,HL37+2))&gt;=1,"",OFFSET(A1_原単位2025,5,HL37+2)&amp;"")</f>
        <v/>
      </c>
      <c r="HO37" s="757" t="str">
        <f t="shared" ca="1" si="50"/>
        <v/>
      </c>
      <c r="HP37" s="758" t="str">
        <f t="shared" ca="1" si="51"/>
        <v/>
      </c>
      <c r="HQ37" s="755" t="str">
        <f t="shared" ca="1" si="52"/>
        <v/>
      </c>
      <c r="HR37" s="756" t="str">
        <f ca="1">IF(COUNTIF(HR$10:HR36,OFFSET(A1_原単位2025,17,HL37+2))&gt;=1,"",OFFSET(A1_原単位2025,17,HL37+2)&amp;"")</f>
        <v/>
      </c>
      <c r="HS37" s="759" t="str">
        <f t="shared" ca="1" si="53"/>
        <v/>
      </c>
      <c r="HT37" s="760" t="str">
        <f t="shared" ca="1" si="54"/>
        <v/>
      </c>
      <c r="HU37" s="755" t="str">
        <f t="shared" ca="1" si="55"/>
        <v/>
      </c>
      <c r="HV37" s="756" t="str">
        <f ca="1">IF(COUNTIF(HV$10:HV36,OFFSET(A1_原単位2025,29,HL37+2))&gt;=1,"",OFFSET(A1_原単位2025,29,HL37+2)&amp;"")</f>
        <v/>
      </c>
      <c r="HW37" s="759" t="str">
        <f t="shared" ca="1" si="56"/>
        <v/>
      </c>
      <c r="HX37" s="760" t="str">
        <f t="shared" ca="1" si="57"/>
        <v/>
      </c>
      <c r="HY37" s="755" t="str">
        <f t="shared" ca="1" si="58"/>
        <v/>
      </c>
      <c r="HZ37" s="756" t="str">
        <f ca="1">IF(COUNTIF(HZ$10:HZ36,OFFSET(A1_原単位2025,41,HL37+2))&gt;=1,"",OFFSET(A1_原単位2025,41,HL37+2)&amp;"")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IF(COUNTIF(HN$10:HN37,OFFSET(A1_原単位2025,5,HL38+2))&gt;=1,"",OFFSET(A1_原単位2025,5,HL38+2)&amp;"")</f>
        <v/>
      </c>
      <c r="HO38" s="757" t="str">
        <f t="shared" ca="1" si="50"/>
        <v/>
      </c>
      <c r="HP38" s="758" t="str">
        <f t="shared" ca="1" si="51"/>
        <v/>
      </c>
      <c r="HQ38" s="755" t="str">
        <f t="shared" ca="1" si="52"/>
        <v/>
      </c>
      <c r="HR38" s="756" t="str">
        <f ca="1">IF(COUNTIF(HR$10:HR37,OFFSET(A1_原単位2025,17,HL38+2))&gt;=1,"",OFFSET(A1_原単位2025,17,HL38+2)&amp;"")</f>
        <v/>
      </c>
      <c r="HS38" s="759" t="str">
        <f t="shared" ca="1" si="53"/>
        <v/>
      </c>
      <c r="HT38" s="760" t="str">
        <f t="shared" ca="1" si="54"/>
        <v/>
      </c>
      <c r="HU38" s="755" t="str">
        <f t="shared" ca="1" si="55"/>
        <v/>
      </c>
      <c r="HV38" s="756" t="str">
        <f ca="1">IF(COUNTIF(HV$10:HV37,OFFSET(A1_原単位2025,29,HL38+2))&gt;=1,"",OFFSET(A1_原単位2025,29,HL38+2)&amp;"")</f>
        <v/>
      </c>
      <c r="HW38" s="759" t="str">
        <f t="shared" ca="1" si="56"/>
        <v/>
      </c>
      <c r="HX38" s="760" t="str">
        <f t="shared" ca="1" si="57"/>
        <v/>
      </c>
      <c r="HY38" s="755" t="str">
        <f t="shared" ca="1" si="58"/>
        <v/>
      </c>
      <c r="HZ38" s="756" t="str">
        <f ca="1">IF(COUNTIF(HZ$10:HZ37,OFFSET(A1_原単位2025,41,HL38+2))&gt;=1,"",OFFSET(A1_原単位2025,41,HL38+2)&amp;"")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IF(COUNTIF(HN$10:HN38,OFFSET(A1_原単位2025,5,HL39+2))&gt;=1,"",OFFSET(A1_原単位2025,5,HL39+2)&amp;"")</f>
        <v/>
      </c>
      <c r="HO39" s="757" t="str">
        <f t="shared" ca="1" si="50"/>
        <v/>
      </c>
      <c r="HP39" s="758" t="str">
        <f t="shared" ca="1" si="51"/>
        <v/>
      </c>
      <c r="HQ39" s="755" t="str">
        <f t="shared" ca="1" si="52"/>
        <v/>
      </c>
      <c r="HR39" s="756" t="str">
        <f ca="1">IF(COUNTIF(HR$10:HR38,OFFSET(A1_原単位2025,17,HL39+2))&gt;=1,"",OFFSET(A1_原単位2025,17,HL39+2)&amp;"")</f>
        <v/>
      </c>
      <c r="HS39" s="759" t="str">
        <f t="shared" ca="1" si="53"/>
        <v/>
      </c>
      <c r="HT39" s="760" t="str">
        <f t="shared" ca="1" si="54"/>
        <v/>
      </c>
      <c r="HU39" s="755" t="str">
        <f t="shared" ca="1" si="55"/>
        <v/>
      </c>
      <c r="HV39" s="756" t="str">
        <f ca="1">IF(COUNTIF(HV$10:HV38,OFFSET(A1_原単位2025,29,HL39+2))&gt;=1,"",OFFSET(A1_原単位2025,29,HL39+2)&amp;"")</f>
        <v/>
      </c>
      <c r="HW39" s="759" t="str">
        <f t="shared" ca="1" si="56"/>
        <v/>
      </c>
      <c r="HX39" s="760" t="str">
        <f t="shared" ca="1" si="57"/>
        <v/>
      </c>
      <c r="HY39" s="755" t="str">
        <f t="shared" ca="1" si="58"/>
        <v/>
      </c>
      <c r="HZ39" s="756" t="str">
        <f ca="1">IF(COUNTIF(HZ$10:HZ38,OFFSET(A1_原単位2025,41,HL39+2))&gt;=1,"",OFFSET(A1_原単位2025,41,HL39+2)&amp;"")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IF(COUNTIF(HN$10:HN39,OFFSET(A1_原単位2025,5,HL40+2))&gt;=1,"",OFFSET(A1_原単位2025,5,HL40+2)&amp;"")</f>
        <v/>
      </c>
      <c r="HO40" s="757" t="str">
        <f t="shared" ca="1" si="50"/>
        <v/>
      </c>
      <c r="HP40" s="758" t="str">
        <f t="shared" ca="1" si="51"/>
        <v/>
      </c>
      <c r="HQ40" s="755" t="str">
        <f t="shared" ca="1" si="52"/>
        <v/>
      </c>
      <c r="HR40" s="756" t="str">
        <f ca="1">IF(COUNTIF(HR$10:HR39,OFFSET(A1_原単位2025,17,HL40+2))&gt;=1,"",OFFSET(A1_原単位2025,17,HL40+2)&amp;"")</f>
        <v/>
      </c>
      <c r="HS40" s="759" t="str">
        <f t="shared" ca="1" si="53"/>
        <v/>
      </c>
      <c r="HT40" s="760" t="str">
        <f t="shared" ca="1" si="54"/>
        <v/>
      </c>
      <c r="HU40" s="755" t="str">
        <f t="shared" ca="1" si="55"/>
        <v/>
      </c>
      <c r="HV40" s="756" t="str">
        <f ca="1">IF(COUNTIF(HV$10:HV39,OFFSET(A1_原単位2025,29,HL40+2))&gt;=1,"",OFFSET(A1_原単位2025,29,HL40+2)&amp;"")</f>
        <v/>
      </c>
      <c r="HW40" s="759" t="str">
        <f t="shared" ca="1" si="56"/>
        <v/>
      </c>
      <c r="HX40" s="760" t="str">
        <f t="shared" ca="1" si="57"/>
        <v/>
      </c>
      <c r="HY40" s="755" t="str">
        <f t="shared" ca="1" si="58"/>
        <v/>
      </c>
      <c r="HZ40" s="756" t="str">
        <f ca="1">IF(COUNTIF(HZ$10:HZ39,OFFSET(A1_原単位2025,41,HL40+2))&gt;=1,"",OFFSET(A1_原単位2025,41,HL40+2)&amp;"")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IF(COUNTIF(HN$10:HN40,OFFSET(A1_原単位2025,5,HL41+2))&gt;=1,"",OFFSET(A1_原単位2025,5,HL41+2)&amp;"")</f>
        <v/>
      </c>
      <c r="HO41" s="757" t="str">
        <f t="shared" ca="1" si="50"/>
        <v/>
      </c>
      <c r="HP41" s="758" t="str">
        <f t="shared" ca="1" si="51"/>
        <v/>
      </c>
      <c r="HQ41" s="755" t="str">
        <f t="shared" ca="1" si="52"/>
        <v/>
      </c>
      <c r="HR41" s="756" t="str">
        <f ca="1">IF(COUNTIF(HR$10:HR40,OFFSET(A1_原単位2025,17,HL41+2))&gt;=1,"",OFFSET(A1_原単位2025,17,HL41+2)&amp;"")</f>
        <v/>
      </c>
      <c r="HS41" s="759" t="str">
        <f t="shared" ca="1" si="53"/>
        <v/>
      </c>
      <c r="HT41" s="760" t="str">
        <f t="shared" ca="1" si="54"/>
        <v/>
      </c>
      <c r="HU41" s="755" t="str">
        <f t="shared" ca="1" si="55"/>
        <v/>
      </c>
      <c r="HV41" s="756" t="str">
        <f ca="1">IF(COUNTIF(HV$10:HV40,OFFSET(A1_原単位2025,29,HL41+2))&gt;=1,"",OFFSET(A1_原単位2025,29,HL41+2)&amp;"")</f>
        <v/>
      </c>
      <c r="HW41" s="759" t="str">
        <f t="shared" ca="1" si="56"/>
        <v/>
      </c>
      <c r="HX41" s="760" t="str">
        <f t="shared" ca="1" si="57"/>
        <v/>
      </c>
      <c r="HY41" s="755" t="str">
        <f t="shared" ca="1" si="58"/>
        <v/>
      </c>
      <c r="HZ41" s="756" t="str">
        <f ca="1">IF(COUNTIF(HZ$10:HZ40,OFFSET(A1_原単位2025,41,HL41+2))&gt;=1,"",OFFSET(A1_原単位2025,41,HL41+2)&amp;"")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OFFSET(A1_原単位2024,6,$HL42+2)</f>
        <v/>
      </c>
      <c r="HN42" s="756" t="str">
        <f ca="1">IF(COUNTIF(HN$10:HN41,OFFSET(A1_原単位2025,5,HL42+2))&gt;=1,"",OFFSET(A1_原単位2025,5,HL42+2)&amp;"")</f>
        <v/>
      </c>
      <c r="HO42" s="757" t="str">
        <f t="shared" ca="1" si="50"/>
        <v/>
      </c>
      <c r="HP42" s="758" t="str">
        <f t="shared" ref="HP42:HP59" ca="1" si="68">IF(HN42="","",HYPERLINK("#"&amp;OFFSET(A1_原単位2025,66,$HL42+2),OFFSET(A1_原単位2025,62,$HL42+2)))</f>
        <v/>
      </c>
      <c r="HQ42" s="755" t="str">
        <f t="shared" ref="HQ42:HQ59" ca="1" si="69">OFFSET(A1_原単位2024,18,$HL42+2)</f>
        <v/>
      </c>
      <c r="HR42" s="756" t="str">
        <f ca="1">IF(COUNTIF(HR$10:HR41,OFFSET(A1_原単位2025,17,HL42+2))&gt;=1,"",OFFSET(A1_原単位2025,17,HL42+2)&amp;"")</f>
        <v/>
      </c>
      <c r="HS42" s="759" t="str">
        <f t="shared" ca="1" si="53"/>
        <v/>
      </c>
      <c r="HT42" s="760" t="str">
        <f t="shared" ref="HT42:HT59" ca="1" si="70">IF(HR42="","",HYPERLINK("#"&amp;OFFSET(A1_原単位2025,67,$HL42+2),OFFSET(A1_原単位2025,63,$HL42+2)))</f>
        <v/>
      </c>
      <c r="HU42" s="755" t="str">
        <f t="shared" ref="HU42:HU59" ca="1" si="71">OFFSET(A1_原単位2024,30,$HL42+2)</f>
        <v/>
      </c>
      <c r="HV42" s="756" t="str">
        <f ca="1">IF(COUNTIF(HV$10:HV41,OFFSET(A1_原単位2025,29,HL42+2))&gt;=1,"",OFFSET(A1_原単位2025,29,HL42+2)&amp;"")</f>
        <v/>
      </c>
      <c r="HW42" s="759" t="str">
        <f t="shared" ca="1" si="56"/>
        <v/>
      </c>
      <c r="HX42" s="760" t="str">
        <f t="shared" ref="HX42:HX59" ca="1" si="72">IF(HV42="","",HYPERLINK("#"&amp;OFFSET(A1_原単位2025,68,$HL42+2),OFFSET(A1_原単位2025,64,$HL42+2)))</f>
        <v/>
      </c>
      <c r="HY42" s="755" t="str">
        <f t="shared" ref="HY42:HY59" ca="1" si="73">OFFSET(A1_原単位2024,42,$HL42+2)</f>
        <v/>
      </c>
      <c r="HZ42" s="756" t="str">
        <f ca="1">IF(COUNTIF(HZ$10:HZ41,OFFSET(A1_原単位2025,41,HL42+2))&gt;=1,"",OFFSET(A1_原単位2025,41,HL42+2)&amp;"")</f>
        <v/>
      </c>
      <c r="IA42" s="761" t="str">
        <f t="shared" ca="1" si="59"/>
        <v/>
      </c>
      <c r="IB42" s="762" t="str">
        <f t="shared" ref="IB42:IB59" ca="1" si="74">IF(HZ42="","",HYPERLINK("#"&amp;OFFSET(A1_原単位2025,69,$HL42+2),OFFSET(A1_原単位2025,65,$HL42+2)))</f>
        <v/>
      </c>
      <c r="IE42" s="244" t="str">
        <f t="shared" ref="IE42:IE59" ca="1" si="75">IF($HN42="","",ADDRESS(ROW(貼付け_2025実績)+5,OFFSET(A1_原単位2025,7,$HL42+2)+COLUMN(貼付け_2025実績)+1,4))</f>
        <v/>
      </c>
      <c r="IF42" s="244" t="str">
        <f t="shared" ref="IF42:IF59" ca="1" si="76">IF($HR42="","",ADDRESS(ROW(貼付け_2025実績)+5,OFFSET(A1_原単位2025,19,$HL42+2)+COLUMN(貼付け_2025実績)+1,4))</f>
        <v/>
      </c>
      <c r="IG42" s="244" t="str">
        <f t="shared" ref="IG42:IG59" ca="1" si="77">IF($HV42="","",ADDRESS(ROW(貼付け_2025実績)+5,OFFSET(A1_原単位2025,31,$HL42+2)+COLUMN(貼付け_2025実績)+1,4))</f>
        <v/>
      </c>
      <c r="IH42" s="244" t="str">
        <f t="shared" ref="IH42:IH59" ca="1" si="78">IF($HZ42="","",ADDRESS(ROW(貼付け_2025実績)+5,OFFSET(A1_原単位2025,43,$HL42+2)+COLUMN(貼付け_2025実績)+1,4))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IF(COUNTIF(HN$10:HN42,OFFSET(A1_原単位2025,5,HL43+2))&gt;=1,"",OFFSET(A1_原単位2025,5,HL43+2)&amp;"")</f>
        <v/>
      </c>
      <c r="HO43" s="757" t="str">
        <f t="shared" ca="1" si="50"/>
        <v/>
      </c>
      <c r="HP43" s="758" t="str">
        <f t="shared" ca="1" si="68"/>
        <v/>
      </c>
      <c r="HQ43" s="755" t="str">
        <f t="shared" ca="1" si="69"/>
        <v/>
      </c>
      <c r="HR43" s="756" t="str">
        <f ca="1">IF(COUNTIF(HR$10:HR42,OFFSET(A1_原単位2025,17,HL43+2))&gt;=1,"",OFFSET(A1_原単位2025,17,HL43+2)&amp;"")</f>
        <v/>
      </c>
      <c r="HS43" s="759" t="str">
        <f t="shared" ca="1" si="53"/>
        <v/>
      </c>
      <c r="HT43" s="760" t="str">
        <f t="shared" ca="1" si="70"/>
        <v/>
      </c>
      <c r="HU43" s="755" t="str">
        <f t="shared" ca="1" si="71"/>
        <v/>
      </c>
      <c r="HV43" s="756" t="str">
        <f ca="1">IF(COUNTIF(HV$10:HV42,OFFSET(A1_原単位2025,29,HL43+2))&gt;=1,"",OFFSET(A1_原単位2025,29,HL43+2)&amp;"")</f>
        <v/>
      </c>
      <c r="HW43" s="759" t="str">
        <f t="shared" ca="1" si="56"/>
        <v/>
      </c>
      <c r="HX43" s="760" t="str">
        <f t="shared" ca="1" si="72"/>
        <v/>
      </c>
      <c r="HY43" s="755" t="str">
        <f t="shared" ca="1" si="73"/>
        <v/>
      </c>
      <c r="HZ43" s="756" t="str">
        <f ca="1">IF(COUNTIF(HZ$10:HZ42,OFFSET(A1_原単位2025,41,HL43+2))&gt;=1,"",OFFSET(A1_原単位2025,41,HL43+2)&amp;"")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IF(COUNTIF(HN$10:HN43,OFFSET(A1_原単位2025,5,HL44+2))&gt;=1,"",OFFSET(A1_原単位2025,5,HL44+2)&amp;"")</f>
        <v/>
      </c>
      <c r="HO44" s="757" t="str">
        <f t="shared" ca="1" si="50"/>
        <v/>
      </c>
      <c r="HP44" s="758" t="str">
        <f t="shared" ca="1" si="68"/>
        <v/>
      </c>
      <c r="HQ44" s="755" t="str">
        <f t="shared" ca="1" si="69"/>
        <v/>
      </c>
      <c r="HR44" s="756" t="str">
        <f ca="1">IF(COUNTIF(HR$10:HR43,OFFSET(A1_原単位2025,17,HL44+2))&gt;=1,"",OFFSET(A1_原単位2025,17,HL44+2)&amp;"")</f>
        <v/>
      </c>
      <c r="HS44" s="759" t="str">
        <f t="shared" ca="1" si="53"/>
        <v/>
      </c>
      <c r="HT44" s="760" t="str">
        <f t="shared" ca="1" si="70"/>
        <v/>
      </c>
      <c r="HU44" s="755" t="str">
        <f t="shared" ca="1" si="71"/>
        <v/>
      </c>
      <c r="HV44" s="756" t="str">
        <f ca="1">IF(COUNTIF(HV$10:HV43,OFFSET(A1_原単位2025,29,HL44+2))&gt;=1,"",OFFSET(A1_原単位2025,29,HL44+2)&amp;"")</f>
        <v/>
      </c>
      <c r="HW44" s="759" t="str">
        <f t="shared" ca="1" si="56"/>
        <v/>
      </c>
      <c r="HX44" s="760" t="str">
        <f t="shared" ca="1" si="72"/>
        <v/>
      </c>
      <c r="HY44" s="755" t="str">
        <f t="shared" ca="1" si="73"/>
        <v/>
      </c>
      <c r="HZ44" s="756" t="str">
        <f ca="1">IF(COUNTIF(HZ$10:HZ43,OFFSET(A1_原単位2025,41,HL44+2))&gt;=1,"",OFFSET(A1_原単位2025,41,HL44+2)&amp;"")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IF(COUNTIF(HN$10:HN44,OFFSET(A1_原単位2025,5,HL45+2))&gt;=1,"",OFFSET(A1_原単位2025,5,HL45+2)&amp;"")</f>
        <v/>
      </c>
      <c r="HO45" s="757" t="str">
        <f t="shared" ca="1" si="50"/>
        <v/>
      </c>
      <c r="HP45" s="758" t="str">
        <f t="shared" ca="1" si="68"/>
        <v/>
      </c>
      <c r="HQ45" s="755" t="str">
        <f t="shared" ca="1" si="69"/>
        <v/>
      </c>
      <c r="HR45" s="756" t="str">
        <f ca="1">IF(COUNTIF(HR$10:HR44,OFFSET(A1_原単位2025,17,HL45+2))&gt;=1,"",OFFSET(A1_原単位2025,17,HL45+2)&amp;"")</f>
        <v/>
      </c>
      <c r="HS45" s="759" t="str">
        <f t="shared" ca="1" si="53"/>
        <v/>
      </c>
      <c r="HT45" s="760" t="str">
        <f t="shared" ca="1" si="70"/>
        <v/>
      </c>
      <c r="HU45" s="755" t="str">
        <f t="shared" ca="1" si="71"/>
        <v/>
      </c>
      <c r="HV45" s="756" t="str">
        <f ca="1">IF(COUNTIF(HV$10:HV44,OFFSET(A1_原単位2025,29,HL45+2))&gt;=1,"",OFFSET(A1_原単位2025,29,HL45+2)&amp;"")</f>
        <v/>
      </c>
      <c r="HW45" s="759" t="str">
        <f t="shared" ca="1" si="56"/>
        <v/>
      </c>
      <c r="HX45" s="760" t="str">
        <f t="shared" ca="1" si="72"/>
        <v/>
      </c>
      <c r="HY45" s="755" t="str">
        <f t="shared" ca="1" si="73"/>
        <v/>
      </c>
      <c r="HZ45" s="756" t="str">
        <f ca="1">IF(COUNTIF(HZ$10:HZ44,OFFSET(A1_原単位2025,41,HL45+2))&gt;=1,"",OFFSET(A1_原単位2025,41,HL45+2)&amp;"")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IF(COUNTIF(HN$10:HN45,OFFSET(A1_原単位2025,5,HL46+2))&gt;=1,"",OFFSET(A1_原単位2025,5,HL46+2)&amp;"")</f>
        <v/>
      </c>
      <c r="HO46" s="757" t="str">
        <f t="shared" ca="1" si="50"/>
        <v/>
      </c>
      <c r="HP46" s="758" t="str">
        <f t="shared" ca="1" si="68"/>
        <v/>
      </c>
      <c r="HQ46" s="755" t="str">
        <f t="shared" ca="1" si="69"/>
        <v/>
      </c>
      <c r="HR46" s="756" t="str">
        <f ca="1">IF(COUNTIF(HR$10:HR45,OFFSET(A1_原単位2025,17,HL46+2))&gt;=1,"",OFFSET(A1_原単位2025,17,HL46+2)&amp;"")</f>
        <v/>
      </c>
      <c r="HS46" s="759" t="str">
        <f t="shared" ca="1" si="53"/>
        <v/>
      </c>
      <c r="HT46" s="760" t="str">
        <f t="shared" ca="1" si="70"/>
        <v/>
      </c>
      <c r="HU46" s="755" t="str">
        <f t="shared" ca="1" si="71"/>
        <v/>
      </c>
      <c r="HV46" s="756" t="str">
        <f ca="1">IF(COUNTIF(HV$10:HV45,OFFSET(A1_原単位2025,29,HL46+2))&gt;=1,"",OFFSET(A1_原単位2025,29,HL46+2)&amp;"")</f>
        <v/>
      </c>
      <c r="HW46" s="759" t="str">
        <f t="shared" ca="1" si="56"/>
        <v/>
      </c>
      <c r="HX46" s="760" t="str">
        <f t="shared" ca="1" si="72"/>
        <v/>
      </c>
      <c r="HY46" s="755" t="str">
        <f t="shared" ca="1" si="73"/>
        <v/>
      </c>
      <c r="HZ46" s="756" t="str">
        <f ca="1">IF(COUNTIF(HZ$10:HZ45,OFFSET(A1_原単位2025,41,HL46+2))&gt;=1,"",OFFSET(A1_原単位2025,41,HL46+2)&amp;"")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IF(COUNTIF(HN$10:HN46,OFFSET(A1_原単位2025,5,HL47+2))&gt;=1,"",OFFSET(A1_原単位2025,5,HL47+2)&amp;"")</f>
        <v/>
      </c>
      <c r="HO47" s="757" t="str">
        <f t="shared" ca="1" si="50"/>
        <v/>
      </c>
      <c r="HP47" s="758" t="str">
        <f t="shared" ca="1" si="68"/>
        <v/>
      </c>
      <c r="HQ47" s="755" t="str">
        <f t="shared" ca="1" si="69"/>
        <v/>
      </c>
      <c r="HR47" s="756" t="str">
        <f ca="1">IF(COUNTIF(HR$10:HR46,OFFSET(A1_原単位2025,17,HL47+2))&gt;=1,"",OFFSET(A1_原単位2025,17,HL47+2)&amp;"")</f>
        <v/>
      </c>
      <c r="HS47" s="759" t="str">
        <f t="shared" ca="1" si="53"/>
        <v/>
      </c>
      <c r="HT47" s="760" t="str">
        <f t="shared" ca="1" si="70"/>
        <v/>
      </c>
      <c r="HU47" s="755" t="str">
        <f t="shared" ca="1" si="71"/>
        <v/>
      </c>
      <c r="HV47" s="756" t="str">
        <f ca="1">IF(COUNTIF(HV$10:HV46,OFFSET(A1_原単位2025,29,HL47+2))&gt;=1,"",OFFSET(A1_原単位2025,29,HL47+2)&amp;"")</f>
        <v/>
      </c>
      <c r="HW47" s="759" t="str">
        <f t="shared" ca="1" si="56"/>
        <v/>
      </c>
      <c r="HX47" s="760" t="str">
        <f t="shared" ca="1" si="72"/>
        <v/>
      </c>
      <c r="HY47" s="755" t="str">
        <f t="shared" ca="1" si="73"/>
        <v/>
      </c>
      <c r="HZ47" s="756" t="str">
        <f ca="1">IF(COUNTIF(HZ$10:HZ46,OFFSET(A1_原単位2025,41,HL47+2))&gt;=1,"",OFFSET(A1_原単位2025,41,HL47+2)&amp;"")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IF(COUNTIF(HN$10:HN47,OFFSET(A1_原単位2025,5,HL48+2))&gt;=1,"",OFFSET(A1_原単位2025,5,HL48+2)&amp;"")</f>
        <v/>
      </c>
      <c r="HO48" s="757" t="str">
        <f t="shared" ca="1" si="50"/>
        <v/>
      </c>
      <c r="HP48" s="758" t="str">
        <f t="shared" ca="1" si="68"/>
        <v/>
      </c>
      <c r="HQ48" s="755" t="str">
        <f t="shared" ca="1" si="69"/>
        <v/>
      </c>
      <c r="HR48" s="756" t="str">
        <f ca="1">IF(COUNTIF(HR$10:HR47,OFFSET(A1_原単位2025,17,HL48+2))&gt;=1,"",OFFSET(A1_原単位2025,17,HL48+2)&amp;"")</f>
        <v/>
      </c>
      <c r="HS48" s="759" t="str">
        <f t="shared" ca="1" si="53"/>
        <v/>
      </c>
      <c r="HT48" s="760" t="str">
        <f t="shared" ca="1" si="70"/>
        <v/>
      </c>
      <c r="HU48" s="755" t="str">
        <f t="shared" ca="1" si="71"/>
        <v/>
      </c>
      <c r="HV48" s="756" t="str">
        <f ca="1">IF(COUNTIF(HV$10:HV47,OFFSET(A1_原単位2025,29,HL48+2))&gt;=1,"",OFFSET(A1_原単位2025,29,HL48+2)&amp;"")</f>
        <v/>
      </c>
      <c r="HW48" s="759" t="str">
        <f t="shared" ca="1" si="56"/>
        <v/>
      </c>
      <c r="HX48" s="760" t="str">
        <f t="shared" ca="1" si="72"/>
        <v/>
      </c>
      <c r="HY48" s="755" t="str">
        <f t="shared" ca="1" si="73"/>
        <v/>
      </c>
      <c r="HZ48" s="756" t="str">
        <f ca="1">IF(COUNTIF(HZ$10:HZ47,OFFSET(A1_原単位2025,41,HL48+2))&gt;=1,"",OFFSET(A1_原単位2025,41,HL48+2)&amp;"")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IF(COUNTIF(HN$10:HN48,OFFSET(A1_原単位2025,5,HL49+2))&gt;=1,"",OFFSET(A1_原単位2025,5,HL49+2)&amp;"")</f>
        <v/>
      </c>
      <c r="HO49" s="757" t="str">
        <f t="shared" ca="1" si="50"/>
        <v/>
      </c>
      <c r="HP49" s="758" t="str">
        <f t="shared" ca="1" si="68"/>
        <v/>
      </c>
      <c r="HQ49" s="755" t="str">
        <f t="shared" ca="1" si="69"/>
        <v/>
      </c>
      <c r="HR49" s="756" t="str">
        <f ca="1">IF(COUNTIF(HR$10:HR48,OFFSET(A1_原単位2025,17,HL49+2))&gt;=1,"",OFFSET(A1_原単位2025,17,HL49+2)&amp;"")</f>
        <v/>
      </c>
      <c r="HS49" s="759" t="str">
        <f t="shared" ca="1" si="53"/>
        <v/>
      </c>
      <c r="HT49" s="760" t="str">
        <f t="shared" ca="1" si="70"/>
        <v/>
      </c>
      <c r="HU49" s="755" t="str">
        <f t="shared" ca="1" si="71"/>
        <v/>
      </c>
      <c r="HV49" s="756" t="str">
        <f ca="1">IF(COUNTIF(HV$10:HV48,OFFSET(A1_原単位2025,29,HL49+2))&gt;=1,"",OFFSET(A1_原単位2025,29,HL49+2)&amp;"")</f>
        <v/>
      </c>
      <c r="HW49" s="759" t="str">
        <f t="shared" ca="1" si="56"/>
        <v/>
      </c>
      <c r="HX49" s="760" t="str">
        <f t="shared" ca="1" si="72"/>
        <v/>
      </c>
      <c r="HY49" s="755" t="str">
        <f t="shared" ca="1" si="73"/>
        <v/>
      </c>
      <c r="HZ49" s="756" t="str">
        <f ca="1">IF(COUNTIF(HZ$10:HZ48,OFFSET(A1_原単位2025,41,HL49+2))&gt;=1,"",OFFSET(A1_原単位2025,41,HL49+2)&amp;"")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IF(COUNTIF(HN$10:HN49,OFFSET(A1_原単位2025,5,HL50+2))&gt;=1,"",OFFSET(A1_原単位2025,5,HL50+2)&amp;"")</f>
        <v/>
      </c>
      <c r="HO50" s="757" t="str">
        <f t="shared" ca="1" si="50"/>
        <v/>
      </c>
      <c r="HP50" s="758" t="str">
        <f t="shared" ca="1" si="68"/>
        <v/>
      </c>
      <c r="HQ50" s="755" t="str">
        <f t="shared" ca="1" si="69"/>
        <v/>
      </c>
      <c r="HR50" s="756" t="str">
        <f ca="1">IF(COUNTIF(HR$10:HR49,OFFSET(A1_原単位2025,17,HL50+2))&gt;=1,"",OFFSET(A1_原単位2025,17,HL50+2)&amp;"")</f>
        <v/>
      </c>
      <c r="HS50" s="759" t="str">
        <f t="shared" ca="1" si="53"/>
        <v/>
      </c>
      <c r="HT50" s="760" t="str">
        <f t="shared" ca="1" si="70"/>
        <v/>
      </c>
      <c r="HU50" s="755" t="str">
        <f t="shared" ca="1" si="71"/>
        <v/>
      </c>
      <c r="HV50" s="756" t="str">
        <f ca="1">IF(COUNTIF(HV$10:HV49,OFFSET(A1_原単位2025,29,HL50+2))&gt;=1,"",OFFSET(A1_原単位2025,29,HL50+2)&amp;"")</f>
        <v/>
      </c>
      <c r="HW50" s="759" t="str">
        <f t="shared" ca="1" si="56"/>
        <v/>
      </c>
      <c r="HX50" s="760" t="str">
        <f t="shared" ca="1" si="72"/>
        <v/>
      </c>
      <c r="HY50" s="755" t="str">
        <f t="shared" ca="1" si="73"/>
        <v/>
      </c>
      <c r="HZ50" s="756" t="str">
        <f ca="1">IF(COUNTIF(HZ$10:HZ49,OFFSET(A1_原単位2025,41,HL50+2))&gt;=1,"",OFFSET(A1_原単位2025,41,HL50+2)&amp;"")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IF(COUNTIF(HN$10:HN50,OFFSET(A1_原単位2025,5,HL51+2))&gt;=1,"",OFFSET(A1_原単位2025,5,HL51+2)&amp;"")</f>
        <v/>
      </c>
      <c r="HO51" s="757" t="str">
        <f t="shared" ca="1" si="50"/>
        <v/>
      </c>
      <c r="HP51" s="758" t="str">
        <f t="shared" ca="1" si="68"/>
        <v/>
      </c>
      <c r="HQ51" s="755" t="str">
        <f t="shared" ca="1" si="69"/>
        <v/>
      </c>
      <c r="HR51" s="756" t="str">
        <f ca="1">IF(COUNTIF(HR$10:HR50,OFFSET(A1_原単位2025,17,HL51+2))&gt;=1,"",OFFSET(A1_原単位2025,17,HL51+2)&amp;"")</f>
        <v/>
      </c>
      <c r="HS51" s="759" t="str">
        <f t="shared" ca="1" si="53"/>
        <v/>
      </c>
      <c r="HT51" s="760" t="str">
        <f t="shared" ca="1" si="70"/>
        <v/>
      </c>
      <c r="HU51" s="755" t="str">
        <f t="shared" ca="1" si="71"/>
        <v/>
      </c>
      <c r="HV51" s="756" t="str">
        <f ca="1">IF(COUNTIF(HV$10:HV50,OFFSET(A1_原単位2025,29,HL51+2))&gt;=1,"",OFFSET(A1_原単位2025,29,HL51+2)&amp;"")</f>
        <v/>
      </c>
      <c r="HW51" s="759" t="str">
        <f t="shared" ca="1" si="56"/>
        <v/>
      </c>
      <c r="HX51" s="760" t="str">
        <f t="shared" ca="1" si="72"/>
        <v/>
      </c>
      <c r="HY51" s="755" t="str">
        <f t="shared" ca="1" si="73"/>
        <v/>
      </c>
      <c r="HZ51" s="756" t="str">
        <f ca="1">IF(COUNTIF(HZ$10:HZ50,OFFSET(A1_原単位2025,41,HL51+2))&gt;=1,"",OFFSET(A1_原単位2025,41,HL51+2)&amp;"")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IF(COUNTIF(HN$10:HN51,OFFSET(A1_原単位2025,5,HL52+2))&gt;=1,"",OFFSET(A1_原単位2025,5,HL52+2)&amp;"")</f>
        <v/>
      </c>
      <c r="HO52" s="757" t="str">
        <f t="shared" ca="1" si="50"/>
        <v/>
      </c>
      <c r="HP52" s="758" t="str">
        <f t="shared" ca="1" si="68"/>
        <v/>
      </c>
      <c r="HQ52" s="755" t="str">
        <f t="shared" ca="1" si="69"/>
        <v/>
      </c>
      <c r="HR52" s="756" t="str">
        <f ca="1">IF(COUNTIF(HR$10:HR51,OFFSET(A1_原単位2025,17,HL52+2))&gt;=1,"",OFFSET(A1_原単位2025,17,HL52+2)&amp;"")</f>
        <v/>
      </c>
      <c r="HS52" s="759" t="str">
        <f t="shared" ca="1" si="53"/>
        <v/>
      </c>
      <c r="HT52" s="760" t="str">
        <f t="shared" ca="1" si="70"/>
        <v/>
      </c>
      <c r="HU52" s="755" t="str">
        <f t="shared" ca="1" si="71"/>
        <v/>
      </c>
      <c r="HV52" s="756" t="str">
        <f ca="1">IF(COUNTIF(HV$10:HV51,OFFSET(A1_原単位2025,29,HL52+2))&gt;=1,"",OFFSET(A1_原単位2025,29,HL52+2)&amp;"")</f>
        <v/>
      </c>
      <c r="HW52" s="759" t="str">
        <f t="shared" ca="1" si="56"/>
        <v/>
      </c>
      <c r="HX52" s="760" t="str">
        <f t="shared" ca="1" si="72"/>
        <v/>
      </c>
      <c r="HY52" s="755" t="str">
        <f t="shared" ca="1" si="73"/>
        <v/>
      </c>
      <c r="HZ52" s="756" t="str">
        <f ca="1">IF(COUNTIF(HZ$10:HZ51,OFFSET(A1_原単位2025,41,HL52+2))&gt;=1,"",OFFSET(A1_原単位2025,41,HL52+2)&amp;"")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IF(COUNTIF(HN$10:HN52,OFFSET(A1_原単位2025,5,HL53+2))&gt;=1,"",OFFSET(A1_原単位2025,5,HL53+2)&amp;"")</f>
        <v/>
      </c>
      <c r="HO53" s="757" t="str">
        <f t="shared" ca="1" si="50"/>
        <v/>
      </c>
      <c r="HP53" s="758" t="str">
        <f t="shared" ca="1" si="68"/>
        <v/>
      </c>
      <c r="HQ53" s="755" t="str">
        <f t="shared" ca="1" si="69"/>
        <v/>
      </c>
      <c r="HR53" s="756" t="str">
        <f ca="1">IF(COUNTIF(HR$10:HR52,OFFSET(A1_原単位2025,17,HL53+2))&gt;=1,"",OFFSET(A1_原単位2025,17,HL53+2)&amp;"")</f>
        <v/>
      </c>
      <c r="HS53" s="759" t="str">
        <f t="shared" ca="1" si="53"/>
        <v/>
      </c>
      <c r="HT53" s="760" t="str">
        <f t="shared" ca="1" si="70"/>
        <v/>
      </c>
      <c r="HU53" s="755" t="str">
        <f t="shared" ca="1" si="71"/>
        <v/>
      </c>
      <c r="HV53" s="756" t="str">
        <f ca="1">IF(COUNTIF(HV$10:HV52,OFFSET(A1_原単位2025,29,HL53+2))&gt;=1,"",OFFSET(A1_原単位2025,29,HL53+2)&amp;"")</f>
        <v/>
      </c>
      <c r="HW53" s="759" t="str">
        <f t="shared" ca="1" si="56"/>
        <v/>
      </c>
      <c r="HX53" s="760" t="str">
        <f t="shared" ca="1" si="72"/>
        <v/>
      </c>
      <c r="HY53" s="755" t="str">
        <f t="shared" ca="1" si="73"/>
        <v/>
      </c>
      <c r="HZ53" s="756" t="str">
        <f ca="1">IF(COUNTIF(HZ$10:HZ52,OFFSET(A1_原単位2025,41,HL53+2))&gt;=1,"",OFFSET(A1_原単位2025,41,HL53+2)&amp;"")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IF(COUNTIF(HN$10:HN53,OFFSET(A1_原単位2025,5,HL54+2))&gt;=1,"",OFFSET(A1_原単位2025,5,HL54+2)&amp;"")</f>
        <v/>
      </c>
      <c r="HO54" s="757" t="str">
        <f t="shared" ca="1" si="50"/>
        <v/>
      </c>
      <c r="HP54" s="758" t="str">
        <f t="shared" ca="1" si="68"/>
        <v/>
      </c>
      <c r="HQ54" s="755" t="str">
        <f t="shared" ca="1" si="69"/>
        <v/>
      </c>
      <c r="HR54" s="756" t="str">
        <f ca="1">IF(COUNTIF(HR$10:HR53,OFFSET(A1_原単位2025,17,HL54+2))&gt;=1,"",OFFSET(A1_原単位2025,17,HL54+2)&amp;"")</f>
        <v/>
      </c>
      <c r="HS54" s="759" t="str">
        <f t="shared" ca="1" si="53"/>
        <v/>
      </c>
      <c r="HT54" s="760" t="str">
        <f t="shared" ca="1" si="70"/>
        <v/>
      </c>
      <c r="HU54" s="755" t="str">
        <f t="shared" ca="1" si="71"/>
        <v/>
      </c>
      <c r="HV54" s="756" t="str">
        <f ca="1">IF(COUNTIF(HV$10:HV53,OFFSET(A1_原単位2025,29,HL54+2))&gt;=1,"",OFFSET(A1_原単位2025,29,HL54+2)&amp;"")</f>
        <v/>
      </c>
      <c r="HW54" s="759" t="str">
        <f t="shared" ca="1" si="56"/>
        <v/>
      </c>
      <c r="HX54" s="760" t="str">
        <f t="shared" ca="1" si="72"/>
        <v/>
      </c>
      <c r="HY54" s="755" t="str">
        <f t="shared" ca="1" si="73"/>
        <v/>
      </c>
      <c r="HZ54" s="756" t="str">
        <f ca="1">IF(COUNTIF(HZ$10:HZ53,OFFSET(A1_原単位2025,41,HL54+2))&gt;=1,"",OFFSET(A1_原単位2025,41,HL54+2)&amp;"")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IF(COUNTIF(HN$10:HN54,OFFSET(A1_原単位2025,5,HL55+2))&gt;=1,"",OFFSET(A1_原単位2025,5,HL55+2)&amp;"")</f>
        <v/>
      </c>
      <c r="HO55" s="757" t="str">
        <f t="shared" ca="1" si="50"/>
        <v/>
      </c>
      <c r="HP55" s="758" t="str">
        <f t="shared" ca="1" si="68"/>
        <v/>
      </c>
      <c r="HQ55" s="755" t="str">
        <f t="shared" ca="1" si="69"/>
        <v/>
      </c>
      <c r="HR55" s="756" t="str">
        <f ca="1">IF(COUNTIF(HR$10:HR54,OFFSET(A1_原単位2025,17,HL55+2))&gt;=1,"",OFFSET(A1_原単位2025,17,HL55+2)&amp;"")</f>
        <v/>
      </c>
      <c r="HS55" s="759" t="str">
        <f t="shared" ca="1" si="53"/>
        <v/>
      </c>
      <c r="HT55" s="760" t="str">
        <f t="shared" ca="1" si="70"/>
        <v/>
      </c>
      <c r="HU55" s="755" t="str">
        <f t="shared" ca="1" si="71"/>
        <v/>
      </c>
      <c r="HV55" s="756" t="str">
        <f ca="1">IF(COUNTIF(HV$10:HV54,OFFSET(A1_原単位2025,29,HL55+2))&gt;=1,"",OFFSET(A1_原単位2025,29,HL55+2)&amp;"")</f>
        <v/>
      </c>
      <c r="HW55" s="759" t="str">
        <f t="shared" ca="1" si="56"/>
        <v/>
      </c>
      <c r="HX55" s="760" t="str">
        <f t="shared" ca="1" si="72"/>
        <v/>
      </c>
      <c r="HY55" s="755" t="str">
        <f t="shared" ca="1" si="73"/>
        <v/>
      </c>
      <c r="HZ55" s="756" t="str">
        <f ca="1">IF(COUNTIF(HZ$10:HZ54,OFFSET(A1_原単位2025,41,HL55+2))&gt;=1,"",OFFSET(A1_原単位2025,41,HL55+2)&amp;"")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IF(COUNTIF(HN$10:HN55,OFFSET(A1_原単位2025,5,HL56+2))&gt;=1,"",OFFSET(A1_原単位2025,5,HL56+2)&amp;"")</f>
        <v/>
      </c>
      <c r="HO56" s="757" t="str">
        <f t="shared" ca="1" si="50"/>
        <v/>
      </c>
      <c r="HP56" s="758" t="str">
        <f t="shared" ca="1" si="68"/>
        <v/>
      </c>
      <c r="HQ56" s="755" t="str">
        <f t="shared" ca="1" si="69"/>
        <v/>
      </c>
      <c r="HR56" s="756" t="str">
        <f ca="1">IF(COUNTIF(HR$10:HR55,OFFSET(A1_原単位2025,17,HL56+2))&gt;=1,"",OFFSET(A1_原単位2025,17,HL56+2)&amp;"")</f>
        <v/>
      </c>
      <c r="HS56" s="759" t="str">
        <f t="shared" ca="1" si="53"/>
        <v/>
      </c>
      <c r="HT56" s="760" t="str">
        <f t="shared" ca="1" si="70"/>
        <v/>
      </c>
      <c r="HU56" s="755" t="str">
        <f t="shared" ca="1" si="71"/>
        <v/>
      </c>
      <c r="HV56" s="756" t="str">
        <f ca="1">IF(COUNTIF(HV$10:HV55,OFFSET(A1_原単位2025,29,HL56+2))&gt;=1,"",OFFSET(A1_原単位2025,29,HL56+2)&amp;"")</f>
        <v/>
      </c>
      <c r="HW56" s="759" t="str">
        <f t="shared" ca="1" si="56"/>
        <v/>
      </c>
      <c r="HX56" s="760" t="str">
        <f t="shared" ca="1" si="72"/>
        <v/>
      </c>
      <c r="HY56" s="755" t="str">
        <f t="shared" ca="1" si="73"/>
        <v/>
      </c>
      <c r="HZ56" s="756" t="str">
        <f ca="1">IF(COUNTIF(HZ$10:HZ55,OFFSET(A1_原単位2025,41,HL56+2))&gt;=1,"",OFFSET(A1_原単位2025,41,HL56+2)&amp;"")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IF(COUNTIF(HN$10:HN56,OFFSET(A1_原単位2025,5,HL57+2))&gt;=1,"",OFFSET(A1_原単位2025,5,HL57+2)&amp;"")</f>
        <v/>
      </c>
      <c r="HO57" s="757" t="str">
        <f t="shared" ca="1" si="50"/>
        <v/>
      </c>
      <c r="HP57" s="758" t="str">
        <f t="shared" ca="1" si="68"/>
        <v/>
      </c>
      <c r="HQ57" s="755" t="str">
        <f t="shared" ca="1" si="69"/>
        <v/>
      </c>
      <c r="HR57" s="756" t="str">
        <f ca="1">IF(COUNTIF(HR$10:HR56,OFFSET(A1_原単位2025,17,HL57+2))&gt;=1,"",OFFSET(A1_原単位2025,17,HL57+2)&amp;"")</f>
        <v/>
      </c>
      <c r="HS57" s="759" t="str">
        <f t="shared" ca="1" si="53"/>
        <v/>
      </c>
      <c r="HT57" s="760" t="str">
        <f t="shared" ca="1" si="70"/>
        <v/>
      </c>
      <c r="HU57" s="755" t="str">
        <f t="shared" ca="1" si="71"/>
        <v/>
      </c>
      <c r="HV57" s="756" t="str">
        <f ca="1">IF(COUNTIF(HV$10:HV56,OFFSET(A1_原単位2025,29,HL57+2))&gt;=1,"",OFFSET(A1_原単位2025,29,HL57+2)&amp;"")</f>
        <v/>
      </c>
      <c r="HW57" s="759" t="str">
        <f t="shared" ca="1" si="56"/>
        <v/>
      </c>
      <c r="HX57" s="760" t="str">
        <f t="shared" ca="1" si="72"/>
        <v/>
      </c>
      <c r="HY57" s="755" t="str">
        <f t="shared" ca="1" si="73"/>
        <v/>
      </c>
      <c r="HZ57" s="756" t="str">
        <f ca="1">IF(COUNTIF(HZ$10:HZ56,OFFSET(A1_原単位2025,41,HL57+2))&gt;=1,"",OFFSET(A1_原単位2025,41,HL57+2)&amp;"")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IF(COUNTIF(HN$10:HN57,OFFSET(A1_原単位2025,5,HL58+2))&gt;=1,"",OFFSET(A1_原単位2025,5,HL58+2)&amp;"")</f>
        <v/>
      </c>
      <c r="HO58" s="757" t="str">
        <f t="shared" ca="1" si="50"/>
        <v/>
      </c>
      <c r="HP58" s="758" t="str">
        <f t="shared" ca="1" si="68"/>
        <v/>
      </c>
      <c r="HQ58" s="755" t="str">
        <f t="shared" ca="1" si="69"/>
        <v/>
      </c>
      <c r="HR58" s="756" t="str">
        <f ca="1">IF(COUNTIF(HR$10:HR57,OFFSET(A1_原単位2025,17,HL58+2))&gt;=1,"",OFFSET(A1_原単位2025,17,HL58+2)&amp;"")</f>
        <v/>
      </c>
      <c r="HS58" s="759" t="str">
        <f t="shared" ca="1" si="53"/>
        <v/>
      </c>
      <c r="HT58" s="760" t="str">
        <f t="shared" ca="1" si="70"/>
        <v/>
      </c>
      <c r="HU58" s="755" t="str">
        <f t="shared" ca="1" si="71"/>
        <v/>
      </c>
      <c r="HV58" s="756" t="str">
        <f ca="1">IF(COUNTIF(HV$10:HV57,OFFSET(A1_原単位2025,29,HL58+2))&gt;=1,"",OFFSET(A1_原単位2025,29,HL58+2)&amp;"")</f>
        <v/>
      </c>
      <c r="HW58" s="759" t="str">
        <f t="shared" ca="1" si="56"/>
        <v/>
      </c>
      <c r="HX58" s="760" t="str">
        <f t="shared" ca="1" si="72"/>
        <v/>
      </c>
      <c r="HY58" s="755" t="str">
        <f t="shared" ca="1" si="73"/>
        <v/>
      </c>
      <c r="HZ58" s="756" t="str">
        <f ca="1">IF(COUNTIF(HZ$10:HZ57,OFFSET(A1_原単位2025,41,HL58+2))&gt;=1,"",OFFSET(A1_原単位2025,41,HL58+2)&amp;"")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IF(COUNTIF(HN$10:HN58,OFFSET(A1_原単位2025,5,HL59+2))&gt;=1,"",OFFSET(A1_原単位2025,5,HL59+2)&amp;"")</f>
        <v/>
      </c>
      <c r="HO59" s="767" t="str">
        <f t="shared" ca="1" si="50"/>
        <v/>
      </c>
      <c r="HP59" s="768" t="str">
        <f t="shared" ca="1" si="68"/>
        <v/>
      </c>
      <c r="HQ59" s="765" t="str">
        <f t="shared" ca="1" si="69"/>
        <v/>
      </c>
      <c r="HR59" s="766" t="str">
        <f ca="1">IF(COUNTIF(HR$10:HR58,OFFSET(A1_原単位2025,17,HL59+2))&gt;=1,"",OFFSET(A1_原単位2025,17,HL59+2)&amp;"")</f>
        <v/>
      </c>
      <c r="HS59" s="769" t="str">
        <f t="shared" ca="1" si="53"/>
        <v/>
      </c>
      <c r="HT59" s="770" t="str">
        <f t="shared" ca="1" si="70"/>
        <v/>
      </c>
      <c r="HU59" s="765" t="str">
        <f t="shared" ca="1" si="71"/>
        <v/>
      </c>
      <c r="HV59" s="766" t="str">
        <f ca="1">IF(COUNTIF(HV$10:HV58,OFFSET(A1_原単位2025,29,HL59+2))&gt;=1,"",OFFSET(A1_原単位2025,29,HL59+2)&amp;"")</f>
        <v/>
      </c>
      <c r="HW59" s="769" t="str">
        <f t="shared" ca="1" si="56"/>
        <v/>
      </c>
      <c r="HX59" s="770" t="str">
        <f t="shared" ca="1" si="72"/>
        <v/>
      </c>
      <c r="HY59" s="765" t="str">
        <f t="shared" ca="1" si="73"/>
        <v/>
      </c>
      <c r="HZ59" s="766" t="str">
        <f ca="1">IF(COUNTIF(HZ$10:HZ58,OFFSET(A1_原単位2025,41,HL59+2))&gt;=1,"",OFFSET(A1_原単位2025,41,HL59+2)&amp;"")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19.8">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20.100000000000001" customHeight="1">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19.8">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20.100000000000001" customHeight="1">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19.8">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44.25" customHeight="1">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19.8">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20.100000000000001" customHeight="1">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t="s">
        <v>4223</v>
      </c>
      <c r="EJ108" s="451"/>
      <c r="EK108" s="452"/>
      <c r="EL108" s="453"/>
      <c r="EM108" s="369" t="s">
        <v>4224</v>
      </c>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t="s">
        <v>4225</v>
      </c>
      <c r="EJ109" s="458"/>
      <c r="EK109" s="459"/>
      <c r="EL109" s="460"/>
      <c r="EM109" s="382" t="s">
        <v>3779</v>
      </c>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v>100</v>
      </c>
      <c r="EJ110" s="467"/>
      <c r="EK110" s="468"/>
      <c r="EL110" s="469"/>
      <c r="EM110" s="438">
        <v>100</v>
      </c>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ht="20.100000000000001" customHeight="1">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HK130" s="197"/>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20.100000000000001" customHeight="1">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20.100000000000001" customHeight="1">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s="197" customFormat="1" ht="20.100000000000001" customHeight="1" thickBot="1">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c r="HC207" s="180"/>
      <c r="HD207" s="180"/>
      <c r="HE207" s="180"/>
      <c r="HF207" s="180"/>
      <c r="HG207" s="180"/>
      <c r="HH207" s="180"/>
      <c r="HI207" s="180"/>
      <c r="HJ207" s="180"/>
      <c r="HK207" s="180"/>
      <c r="IE207" s="219"/>
      <c r="IF207" s="219"/>
      <c r="IG207" s="219"/>
      <c r="IH207" s="219"/>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ht="20.100000000000001" customHeight="1">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197"/>
      <c r="HD212" s="197"/>
      <c r="HE212" s="197"/>
      <c r="HF212" s="197"/>
      <c r="HG212" s="197"/>
      <c r="HH212" s="197"/>
      <c r="HI212" s="197"/>
      <c r="HJ212" s="197"/>
      <c r="HK212" s="197"/>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s="193" customFormat="1" ht="20.100000000000001"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IE224" s="213"/>
      <c r="IF224" s="213"/>
      <c r="IG224" s="213"/>
      <c r="IH224" s="213"/>
    </row>
    <row r="225" spans="1:242" s="197" customFormat="1" ht="20.100000000000001" hidden="1" customHeight="1">
      <c r="A225" s="201" t="s">
        <v>4312</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c r="CK225" s="193"/>
      <c r="CL225" s="193"/>
      <c r="CM225" s="193"/>
      <c r="CN225" s="193"/>
      <c r="CO225" s="193"/>
      <c r="CP225" s="193"/>
      <c r="CQ225" s="193"/>
      <c r="CR225" s="193"/>
      <c r="CS225" s="193"/>
      <c r="CT225" s="193"/>
      <c r="CU225" s="193"/>
      <c r="CV225" s="193"/>
      <c r="CW225" s="193"/>
      <c r="CX225" s="193"/>
      <c r="CY225" s="193"/>
      <c r="CZ225" s="193"/>
      <c r="DA225" s="193"/>
      <c r="DB225" s="193"/>
      <c r="DC225" s="193"/>
      <c r="DD225" s="193"/>
      <c r="DE225" s="193"/>
      <c r="DF225" s="193"/>
      <c r="DG225" s="193"/>
      <c r="DH225" s="193"/>
      <c r="DI225" s="193"/>
      <c r="DJ225" s="193"/>
      <c r="DK225" s="193"/>
      <c r="DL225" s="193"/>
      <c r="DM225" s="193"/>
      <c r="DN225" s="193"/>
      <c r="DO225" s="193"/>
      <c r="DP225" s="193"/>
      <c r="DQ225" s="193"/>
      <c r="DR225" s="193"/>
      <c r="DS225" s="193"/>
      <c r="DT225" s="193"/>
      <c r="DU225" s="193"/>
      <c r="DV225" s="193"/>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IE225" s="219"/>
      <c r="IF225" s="219"/>
      <c r="IG225" s="219"/>
      <c r="IH225" s="219"/>
    </row>
    <row r="226" spans="1:242" s="197" customFormat="1" ht="19.8" hidden="1">
      <c r="A226" s="214">
        <v>0</v>
      </c>
      <c r="B226" s="215" t="s">
        <v>4313</v>
      </c>
      <c r="E226" s="180"/>
      <c r="F226" s="1084" t="s">
        <v>4260</v>
      </c>
      <c r="G226" s="1085" t="s">
        <v>4261</v>
      </c>
      <c r="H226" s="1085"/>
      <c r="I226" s="640" t="s">
        <v>4262</v>
      </c>
      <c r="J226" s="641"/>
      <c r="K226" s="216" t="str">
        <f ca="1">OFFSET(貼付け_2025実績,4,SUM(COLUMN()-COLUMN(貼付け_2025実績)))</f>
        <v>横浜1</v>
      </c>
      <c r="L226" s="217"/>
      <c r="M226" s="217"/>
      <c r="N226" s="218"/>
      <c r="O226" s="216" t="str">
        <f ca="1">OFFSET(貼付け_2025実績,4,SUM(COLUMN()-COLUMN(貼付け_2025実績)))</f>
        <v>横浜2</v>
      </c>
      <c r="P226" s="217"/>
      <c r="Q226" s="217"/>
      <c r="R226" s="218"/>
      <c r="S226" s="216" t="str">
        <f ca="1">OFFSET(貼付け_2025実績,4,SUM(COLUMN()-COLUMN(貼付け_2025実績)))</f>
        <v>横浜3</v>
      </c>
      <c r="T226" s="217"/>
      <c r="U226" s="217"/>
      <c r="V226" s="218"/>
      <c r="W226" s="216" t="str">
        <f ca="1">OFFSET(貼付け_2025実績,4,SUM(COLUMN()-COLUMN(貼付け_2025実績)))</f>
        <v>県域1</v>
      </c>
      <c r="X226" s="217"/>
      <c r="Y226" s="217"/>
      <c r="Z226" s="218"/>
      <c r="AA226" s="216" t="str">
        <f ca="1">OFFSET(貼付け_2025実績,4,SUM(COLUMN()-COLUMN(貼付け_2025実績)))</f>
        <v>県域2</v>
      </c>
      <c r="AB226" s="217"/>
      <c r="AC226" s="217"/>
      <c r="AD226" s="218"/>
      <c r="AE226" s="216" t="str">
        <f ca="1">OFFSET(貼付け_2025実績,4,SUM(COLUMN()-COLUMN(貼付け_2025実績)))</f>
        <v>県域3</v>
      </c>
      <c r="AF226" s="217"/>
      <c r="AG226" s="217"/>
      <c r="AH226" s="218"/>
      <c r="AI226" s="216" t="str">
        <f ca="1">OFFSET(貼付け_2025実績,4,SUM(COLUMN()-COLUMN(貼付け_2025実績)))</f>
        <v>エネルギー管理指定工場等1</v>
      </c>
      <c r="AJ226" s="217"/>
      <c r="AK226" s="217"/>
      <c r="AL226" s="218"/>
      <c r="AM226" s="216" t="str">
        <f ca="1">OFFSET(貼付け_2025実績,4,SUM(COLUMN()-COLUMN(貼付け_2025実績)))</f>
        <v>エネルギー管理指定工場等2</v>
      </c>
      <c r="AN226" s="217"/>
      <c r="AO226" s="217"/>
      <c r="AP226" s="218"/>
      <c r="AQ226" s="216" t="str">
        <f ca="1">OFFSET(貼付け_2025実績,4,SUM(COLUMN()-COLUMN(貼付け_2025実績)))</f>
        <v>エネルギー管理指定工場等3</v>
      </c>
      <c r="AR226" s="217"/>
      <c r="AS226" s="217"/>
      <c r="AT226" s="218"/>
      <c r="AU226" s="216" t="str">
        <f ca="1">OFFSET(貼付け_2025実績,4,SUM(COLUMN()-COLUMN(貼付け_2025実績)))</f>
        <v>エネルギー管理指定工場等4</v>
      </c>
      <c r="AV226" s="217"/>
      <c r="AW226" s="217"/>
      <c r="AX226" s="218"/>
      <c r="AY226" s="216" t="str">
        <f ca="1">OFFSET(貼付け_2025実績,4,SUM(COLUMN()-COLUMN(貼付け_2025実績)))</f>
        <v>エネルギー管理指定工場等5</v>
      </c>
      <c r="AZ226" s="217"/>
      <c r="BA226" s="217"/>
      <c r="BB226" s="218"/>
      <c r="BC226" s="216" t="str">
        <f ca="1">OFFSET(貼付け_2025実績,4,SUM(COLUMN()-COLUMN(貼付け_2025実績)))</f>
        <v>エネルギー管理指定工場等6</v>
      </c>
      <c r="BD226" s="217"/>
      <c r="BE226" s="217"/>
      <c r="BF226" s="218"/>
      <c r="BG226" s="216" t="str">
        <f ca="1">OFFSET(貼付け_2025実績,4,SUM(COLUMN()-COLUMN(貼付け_2025実績)))</f>
        <v>エネルギー管理指定工場等7</v>
      </c>
      <c r="BH226" s="217"/>
      <c r="BI226" s="217"/>
      <c r="BJ226" s="218"/>
      <c r="BK226" s="216" t="str">
        <f ca="1">OFFSET(貼付け_2025実績,4,SUM(COLUMN()-COLUMN(貼付け_2025実績)))</f>
        <v>エネルギー管理指定工場等8</v>
      </c>
      <c r="BL226" s="217"/>
      <c r="BM226" s="217"/>
      <c r="BN226" s="218"/>
      <c r="BO226" s="216" t="str">
        <f ca="1">OFFSET(貼付け_2025実績,4,SUM(COLUMN()-COLUMN(貼付け_2025実績)))</f>
        <v>エネルギー管理指定工場等9</v>
      </c>
      <c r="BP226" s="217"/>
      <c r="BQ226" s="217"/>
      <c r="BR226" s="218"/>
      <c r="BS226" s="216" t="str">
        <f ca="1">OFFSET(貼付け_2025実績,4,SUM(COLUMN()-COLUMN(貼付け_2025実績)))</f>
        <v>エネルギー管理指定工場等10</v>
      </c>
      <c r="BT226" s="217"/>
      <c r="BU226" s="217"/>
      <c r="BV226" s="218"/>
      <c r="BW226" s="216">
        <f ca="1">OFFSET(貼付け_2025実績,4,SUM(COLUMN()-COLUMN(貼付け_2025実績)))</f>
        <v>0</v>
      </c>
      <c r="BX226" s="217"/>
      <c r="BY226" s="217"/>
      <c r="BZ226" s="218"/>
      <c r="CA226" s="216" t="str">
        <f ca="1">OFFSET(貼付け_2025実績,4,SUM(COLUMN()-COLUMN(貼付け_2025実績)))</f>
        <v>県域4</v>
      </c>
      <c r="CB226" s="217"/>
      <c r="CC226" s="217"/>
      <c r="CD226" s="218"/>
      <c r="CE226" s="216" t="str">
        <f ca="1">OFFSET(貼付け_2025実績,4,SUM(COLUMN()-COLUMN(貼付け_2025実績)))</f>
        <v>県域5</v>
      </c>
      <c r="CF226" s="217"/>
      <c r="CG226" s="217"/>
      <c r="CH226" s="218"/>
      <c r="CI226" s="216" t="str">
        <f ca="1">OFFSET(貼付け_2025実績,4,SUM(COLUMN()-COLUMN(貼付け_2025実績)))</f>
        <v>県域6</v>
      </c>
      <c r="CJ226" s="217"/>
      <c r="CK226" s="217"/>
      <c r="CL226" s="218"/>
      <c r="CM226" s="216" t="str">
        <f ca="1">OFFSET(貼付け_2025実績,4,SUM(COLUMN()-COLUMN(貼付け_2025実績)))</f>
        <v>県域7</v>
      </c>
      <c r="CN226" s="217"/>
      <c r="CO226" s="217"/>
      <c r="CP226" s="218"/>
      <c r="CQ226" s="216" t="str">
        <f ca="1">OFFSET(貼付け_2025実績,4,SUM(COLUMN()-COLUMN(貼付け_2025実績)))</f>
        <v>県域8</v>
      </c>
      <c r="CR226" s="217"/>
      <c r="CS226" s="217"/>
      <c r="CT226" s="218"/>
      <c r="CU226" s="216" t="str">
        <f ca="1">OFFSET(貼付け_2025実績,4,SUM(COLUMN()-COLUMN(貼付け_2025実績)))</f>
        <v>県域9</v>
      </c>
      <c r="CV226" s="217"/>
      <c r="CW226" s="217"/>
      <c r="CX226" s="218"/>
      <c r="CY226" s="216" t="str">
        <f ca="1">OFFSET(貼付け_2025実績,4,SUM(COLUMN()-COLUMN(貼付け_2025実績)))</f>
        <v>県域10</v>
      </c>
      <c r="CZ226" s="217"/>
      <c r="DA226" s="217"/>
      <c r="DB226" s="218"/>
      <c r="DC226" s="216" t="str">
        <f ca="1">OFFSET(貼付け_2025実績,4,SUM(COLUMN()-COLUMN(貼付け_2025実績)))</f>
        <v>横浜3</v>
      </c>
      <c r="DD226" s="217"/>
      <c r="DE226" s="217"/>
      <c r="DF226" s="218"/>
      <c r="DG226" s="216" t="str">
        <f ca="1">OFFSET(貼付け_2025実績,4,SUM(COLUMN()-COLUMN(貼付け_2025実績)))</f>
        <v>横浜4</v>
      </c>
      <c r="DH226" s="217"/>
      <c r="DI226" s="217"/>
      <c r="DJ226" s="218"/>
      <c r="DK226" s="216" t="str">
        <f ca="1">OFFSET(貼付け_2025実績,4,SUM(COLUMN()-COLUMN(貼付け_2025実績)))</f>
        <v>横浜5</v>
      </c>
      <c r="DL226" s="217"/>
      <c r="DM226" s="217"/>
      <c r="DN226" s="218"/>
      <c r="DO226" s="216" t="str">
        <f ca="1">OFFSET(貼付け_2025実績,4,SUM(COLUMN()-COLUMN(貼付け_2025実績)))</f>
        <v>横浜6</v>
      </c>
      <c r="DP226" s="217"/>
      <c r="DQ226" s="217"/>
      <c r="DR226" s="218"/>
      <c r="DS226" s="216" t="str">
        <f ca="1">OFFSET(貼付け_2025実績,4,SUM(COLUMN()-COLUMN(貼付け_2025実績)))</f>
        <v>横浜7</v>
      </c>
      <c r="DT226" s="217"/>
      <c r="DU226" s="217"/>
      <c r="DV226" s="218"/>
      <c r="DW226" s="216" t="str">
        <f ca="1">OFFSET(貼付け_2025実績,4,SUM(COLUMN()-COLUMN(貼付け_2025実績)))</f>
        <v>横浜8</v>
      </c>
      <c r="DX226" s="217"/>
      <c r="DY226" s="217"/>
      <c r="DZ226" s="218"/>
      <c r="EA226" s="216" t="str">
        <f ca="1">OFFSET(貼付け_2025実績,4,SUM(COLUMN()-COLUMN(貼付け_2025実績)))</f>
        <v>横浜9</v>
      </c>
      <c r="EB226" s="217"/>
      <c r="EC226" s="217"/>
      <c r="ED226" s="218"/>
      <c r="EE226" s="216" t="str">
        <f ca="1">OFFSET(貼付け_2025実績,4,SUM(COLUMN()-COLUMN(貼付け_2025実績)))</f>
        <v>横浜10</v>
      </c>
      <c r="EF226" s="217"/>
      <c r="EG226" s="217"/>
      <c r="EH226" s="218"/>
      <c r="EI226" s="216" t="str">
        <f ca="1">OFFSET(貼付け_2025実績,4,SUM(COLUMN()-COLUMN(貼付け_2025実績)))</f>
        <v>川崎1</v>
      </c>
      <c r="EJ226" s="217"/>
      <c r="EK226" s="217"/>
      <c r="EL226" s="218"/>
      <c r="EM226" s="216" t="str">
        <f ca="1">OFFSET(貼付け_2025実績,4,SUM(COLUMN()-COLUMN(貼付け_2025実績)))</f>
        <v>川崎2</v>
      </c>
      <c r="EN226" s="217"/>
      <c r="EO226" s="217"/>
      <c r="EP226" s="218"/>
      <c r="EQ226" s="216" t="str">
        <f ca="1">OFFSET(貼付け_2025実績,4,SUM(COLUMN()-COLUMN(貼付け_2025実績)))</f>
        <v>川崎3</v>
      </c>
      <c r="ER226" s="217"/>
      <c r="ES226" s="217"/>
      <c r="ET226" s="218"/>
      <c r="EU226" s="216" t="str">
        <f ca="1">OFFSET(貼付け_2025実績,4,SUM(COLUMN()-COLUMN(貼付け_2025実績)))</f>
        <v>川崎6</v>
      </c>
      <c r="EV226" s="217"/>
      <c r="EW226" s="217"/>
      <c r="EX226" s="218"/>
      <c r="EY226" s="216" t="str">
        <f ca="1">OFFSET(貼付け_2025実績,4,SUM(COLUMN()-COLUMN(貼付け_2025実績)))</f>
        <v>川崎7</v>
      </c>
      <c r="EZ226" s="217"/>
      <c r="FA226" s="217"/>
      <c r="FB226" s="218"/>
      <c r="FC226" s="216" t="str">
        <f ca="1">OFFSET(貼付け_2025実績,4,SUM(COLUMN()-COLUMN(貼付け_2025実績)))</f>
        <v>川崎8</v>
      </c>
      <c r="FD226" s="217"/>
      <c r="FE226" s="217"/>
      <c r="FF226" s="218"/>
      <c r="FG226" s="216" t="str">
        <f ca="1">OFFSET(貼付け_2025実績,4,SUM(COLUMN()-COLUMN(貼付け_2025実績)))</f>
        <v>川崎9</v>
      </c>
      <c r="FH226" s="217"/>
      <c r="FI226" s="217"/>
      <c r="FJ226" s="218"/>
      <c r="FK226" s="216" t="str">
        <f ca="1">OFFSET(貼付け_2025実績,4,SUM(COLUMN()-COLUMN(貼付け_2025実績)))</f>
        <v>川崎10</v>
      </c>
      <c r="FL226" s="217"/>
      <c r="FM226" s="217"/>
      <c r="FN226" s="218"/>
      <c r="FO226" s="216" t="str">
        <f ca="1">OFFSET(貼付け_2025実績,4,SUM(COLUMN()-COLUMN(貼付け_2025実績)))</f>
        <v>川崎11</v>
      </c>
      <c r="FP226" s="217"/>
      <c r="FQ226" s="217"/>
      <c r="FR226" s="218"/>
      <c r="FS226" s="216" t="str">
        <f ca="1">OFFSET(貼付け_2025実績,4,SUM(COLUMN()-COLUMN(貼付け_2025実績)))</f>
        <v>川崎12</v>
      </c>
      <c r="FT226" s="217"/>
      <c r="FU226" s="217"/>
      <c r="FV226" s="218"/>
      <c r="FW226" s="216" t="str">
        <f ca="1">OFFSET(貼付け_2025実績,4,SUM(COLUMN()-COLUMN(貼付け_2025実績)))</f>
        <v>川崎13</v>
      </c>
      <c r="FX226" s="217"/>
      <c r="FY226" s="217"/>
      <c r="FZ226" s="218"/>
      <c r="GA226" s="216" t="str">
        <f ca="1">OFFSET(貼付け_2025実績,4,SUM(COLUMN()-COLUMN(貼付け_2025実績)))</f>
        <v>川崎14</v>
      </c>
      <c r="GB226" s="217"/>
      <c r="GC226" s="217"/>
      <c r="GD226" s="218"/>
      <c r="GE226" s="216" t="str">
        <f ca="1">OFFSET(貼付け_2025実績,4,SUM(COLUMN()-COLUMN(貼付け_2025実績)))</f>
        <v>川崎15</v>
      </c>
      <c r="GF226" s="217"/>
      <c r="GG226" s="217"/>
      <c r="GH226" s="218"/>
      <c r="GI226" s="216" t="str">
        <f ca="1">OFFSET(貼付け_2025実績,4,SUM(COLUMN()-COLUMN(貼付け_2025実績)))</f>
        <v>川崎16</v>
      </c>
      <c r="GJ226" s="217"/>
      <c r="GK226" s="217"/>
      <c r="GL226" s="218"/>
      <c r="GM226" s="216" t="str">
        <f ca="1">OFFSET(貼付け_2025実績,4,SUM(COLUMN()-COLUMN(貼付け_2025実績)))</f>
        <v>川崎17</v>
      </c>
      <c r="GN226" s="217"/>
      <c r="GO226" s="217"/>
      <c r="GP226" s="218"/>
      <c r="GQ226" s="216" t="str">
        <f ca="1">OFFSET(貼付け_2025実績,4,SUM(COLUMN()-COLUMN(貼付け_2025実績)))</f>
        <v>川崎18</v>
      </c>
      <c r="GR226" s="217"/>
      <c r="GS226" s="217"/>
      <c r="GT226" s="218"/>
      <c r="GU226" s="216" t="str">
        <f ca="1">OFFSET(貼付け_2025実績,4,SUM(COLUMN()-COLUMN(貼付け_2025実績)))</f>
        <v>川崎19</v>
      </c>
      <c r="GV226" s="217"/>
      <c r="GW226" s="217"/>
      <c r="GX226" s="218"/>
      <c r="GY226" s="216" t="str">
        <f ca="1">OFFSET(貼付け_2025実績,4,SUM(COLUMN()-COLUMN(貼付け_2025実績)))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SUMPRODUCT(OFFSET(貼付け_2025実績,$F228,6,5,1),OFFSET(貼付け_2025実績,$F228,SUM(COLUMN()-COLUMN(貼付け_2025実績)),5,1))</f>
        <v>0</v>
      </c>
      <c r="J228" s="224">
        <f ca="1">SUMPRODUCT(OFFSET(貼付け_2025実績,$F228,6,5,1),OFFSET(貼付け_2025実績,$F228,SUM(COLUMN()-COLUMN(貼付け_2025実績)),5,1))</f>
        <v>0</v>
      </c>
      <c r="K228" s="224">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24">
        <f t="shared" ca="1" si="85"/>
        <v>0</v>
      </c>
      <c r="M228" s="224">
        <f t="shared" ca="1" si="85"/>
        <v>0</v>
      </c>
      <c r="N228" s="224">
        <f t="shared" ca="1" si="85"/>
        <v>0</v>
      </c>
      <c r="O228" s="224">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SUMPRODUCT(OFFSET(貼付け_2025実績,$G230,5,($H230-$G230+1),1),OFFSET(貼付け_2025実績,$G230,SUM(COLUMN()-COLUMN(貼付け_2025実績)),($H230-$G230+1),1))*0.0258</f>
        <v>0</v>
      </c>
      <c r="L230" s="225"/>
      <c r="M230" s="225"/>
      <c r="N230" s="225"/>
      <c r="O230" s="224">
        <f ca="1">SUMPRODUCT(OFFSET(貼付け_2025実績,$G230,5,($H230-$G230+1),1),OFFSET(貼付け_2025実績,$G230,SUM(COLUMN()-COLUMN(貼付け_2025実績)),($H230-$G230+1),1))*0.0258</f>
        <v>0</v>
      </c>
      <c r="P230" s="225"/>
      <c r="Q230" s="225"/>
      <c r="R230" s="225"/>
      <c r="S230" s="224">
        <f ca="1">SUMPRODUCT(OFFSET(貼付け_2025実績,$G230,5,($H230-$G230+1),1),OFFSET(貼付け_2025実績,$G230,SUM(COLUMN()-COLUMN(貼付け_2025実績)),($H230-$G230+1),1))*0.0258</f>
        <v>0</v>
      </c>
      <c r="T230" s="225"/>
      <c r="U230" s="225"/>
      <c r="V230" s="225"/>
      <c r="W230" s="224">
        <f ca="1">SUMPRODUCT(OFFSET(貼付け_2025実績,$G230,5,($H230-$G230+1),1),OFFSET(貼付け_2025実績,$G230,SUM(COLUMN()-COLUMN(貼付け_2025実績)),($H230-$G230+1),1))*0.0258</f>
        <v>0</v>
      </c>
      <c r="X230" s="225"/>
      <c r="Y230" s="225"/>
      <c r="Z230" s="225"/>
      <c r="AA230" s="224">
        <f ca="1">SUMPRODUCT(OFFSET(貼付け_2025実績,$G230,5,($H230-$G230+1),1),OFFSET(貼付け_2025実績,$G230,SUM(COLUMN()-COLUMN(貼付け_2025実績)),($H230-$G230+1),1))*0.0258</f>
        <v>0</v>
      </c>
      <c r="AB230" s="225"/>
      <c r="AC230" s="225"/>
      <c r="AD230" s="225"/>
      <c r="AE230" s="224">
        <f ca="1">SUMPRODUCT(OFFSET(貼付け_2025実績,$G230,5,($H230-$G230+1),1),OFFSET(貼付け_2025実績,$G230,SUM(COLUMN()-COLUMN(貼付け_2025実績)),($H230-$G230+1),1))*0.0258</f>
        <v>0</v>
      </c>
      <c r="AF230" s="225"/>
      <c r="AG230" s="225"/>
      <c r="AH230" s="225"/>
      <c r="AI230" s="224">
        <f ca="1">SUMPRODUCT(OFFSET(貼付け_2025実績,$G230,5,($H230-$G230+1),1),OFFSET(貼付け_2025実績,$G230,SUM(COLUMN()-COLUMN(貼付け_2025実績)),($H230-$G230+1),1))*0.0258</f>
        <v>0</v>
      </c>
      <c r="AJ230" s="225"/>
      <c r="AK230" s="225"/>
      <c r="AL230" s="225"/>
      <c r="AM230" s="224">
        <f ca="1">SUMPRODUCT(OFFSET(貼付け_2025実績,$G230,5,($H230-$G230+1),1),OFFSET(貼付け_2025実績,$G230,SUM(COLUMN()-COLUMN(貼付け_2025実績)),($H230-$G230+1),1))*0.0258</f>
        <v>0</v>
      </c>
      <c r="AN230" s="225"/>
      <c r="AO230" s="225"/>
      <c r="AP230" s="225"/>
      <c r="AQ230" s="224">
        <f ca="1">SUMPRODUCT(OFFSET(貼付け_2025実績,$G230,5,($H230-$G230+1),1),OFFSET(貼付け_2025実績,$G230,SUM(COLUMN()-COLUMN(貼付け_2025実績)),($H230-$G230+1),1))*0.0258</f>
        <v>0</v>
      </c>
      <c r="AR230" s="225"/>
      <c r="AS230" s="225"/>
      <c r="AT230" s="225"/>
      <c r="AU230" s="224">
        <f ca="1">SUMPRODUCT(OFFSET(貼付け_2025実績,$G230,5,($H230-$G230+1),1),OFFSET(貼付け_2025実績,$G230,SUM(COLUMN()-COLUMN(貼付け_2025実績)),($H230-$G230+1),1))*0.0258</f>
        <v>0</v>
      </c>
      <c r="AV230" s="225"/>
      <c r="AW230" s="225"/>
      <c r="AX230" s="225"/>
      <c r="AY230" s="224">
        <f ca="1">SUMPRODUCT(OFFSET(貼付け_2025実績,$G230,5,($H230-$G230+1),1),OFFSET(貼付け_2025実績,$G230,SUM(COLUMN()-COLUMN(貼付け_2025実績)),($H230-$G230+1),1))*0.0258</f>
        <v>0</v>
      </c>
      <c r="AZ230" s="225"/>
      <c r="BA230" s="225"/>
      <c r="BB230" s="225"/>
      <c r="BC230" s="224">
        <f ca="1">SUMPRODUCT(OFFSET(貼付け_2025実績,$G230,5,($H230-$G230+1),1),OFFSET(貼付け_2025実績,$G230,SUM(COLUMN()-COLUMN(貼付け_2025実績)),($H230-$G230+1),1))*0.0258</f>
        <v>0</v>
      </c>
      <c r="BD230" s="225"/>
      <c r="BE230" s="225"/>
      <c r="BF230" s="225"/>
      <c r="BG230" s="224">
        <f ca="1">SUMPRODUCT(OFFSET(貼付け_2025実績,$G230,5,($H230-$G230+1),1),OFFSET(貼付け_2025実績,$G230,SUM(COLUMN()-COLUMN(貼付け_2025実績)),($H230-$G230+1),1))*0.0258</f>
        <v>0</v>
      </c>
      <c r="BH230" s="225"/>
      <c r="BI230" s="225"/>
      <c r="BJ230" s="225"/>
      <c r="BK230" s="224">
        <f ca="1">SUMPRODUCT(OFFSET(貼付け_2025実績,$G230,5,($H230-$G230+1),1),OFFSET(貼付け_2025実績,$G230,SUM(COLUMN()-COLUMN(貼付け_2025実績)),($H230-$G230+1),1))*0.0258</f>
        <v>0</v>
      </c>
      <c r="BL230" s="225"/>
      <c r="BM230" s="225"/>
      <c r="BN230" s="225"/>
      <c r="BO230" s="224">
        <f ca="1">SUMPRODUCT(OFFSET(貼付け_2025実績,$G230,5,($H230-$G230+1),1),OFFSET(貼付け_2025実績,$G230,SUM(COLUMN()-COLUMN(貼付け_2025実績)),($H230-$G230+1),1))*0.0258</f>
        <v>0</v>
      </c>
      <c r="BP230" s="225"/>
      <c r="BQ230" s="225"/>
      <c r="BR230" s="225"/>
      <c r="BS230" s="224">
        <f ca="1">SUMPRODUCT(OFFSET(貼付け_2025実績,$G230,5,($H230-$G230+1),1),OFFSET(貼付け_2025実績,$G230,SUM(COLUMN()-COLUMN(貼付け_2025実績)),($H230-$G230+1),1))*0.0258</f>
        <v>0</v>
      </c>
      <c r="BT230" s="225"/>
      <c r="BU230" s="225"/>
      <c r="BV230" s="225"/>
      <c r="BW230" s="224">
        <f ca="1">SUMPRODUCT(OFFSET(貼付け_2025実績,$G230,5,($H230-$G230+1),1),OFFSET(貼付け_2025実績,$G230,SUM(COLUMN()-COLUMN(貼付け_2025実績)),($H230-$G230+1),1))*0.0258</f>
        <v>0</v>
      </c>
      <c r="BX230" s="225"/>
      <c r="BY230" s="225"/>
      <c r="BZ230" s="225"/>
      <c r="CA230" s="224">
        <f ca="1">SUMPRODUCT(OFFSET(貼付け_2025実績,$G230,5,($H230-$G230+1),1),OFFSET(貼付け_2025実績,$G230,SUM(COLUMN()-COLUMN(貼付け_2025実績)),($H230-$G230+1),1))*0.0258</f>
        <v>0</v>
      </c>
      <c r="CB230" s="225"/>
      <c r="CC230" s="225"/>
      <c r="CD230" s="225"/>
      <c r="CE230" s="224">
        <f ca="1">SUMPRODUCT(OFFSET(貼付け_2025実績,$G230,5,($H230-$G230+1),1),OFFSET(貼付け_2025実績,$G230,SUM(COLUMN()-COLUMN(貼付け_2025実績)),($H230-$G230+1),1))*0.0258</f>
        <v>0</v>
      </c>
      <c r="CF230" s="225"/>
      <c r="CG230" s="225"/>
      <c r="CH230" s="225"/>
      <c r="CI230" s="224">
        <f ca="1">SUMPRODUCT(OFFSET(貼付け_2025実績,$G230,5,($H230-$G230+1),1),OFFSET(貼付け_2025実績,$G230,SUM(COLUMN()-COLUMN(貼付け_2025実績)),($H230-$G230+1),1))*0.0258</f>
        <v>0</v>
      </c>
      <c r="CJ230" s="225"/>
      <c r="CK230" s="225"/>
      <c r="CL230" s="225"/>
      <c r="CM230" s="224">
        <f ca="1">SUMPRODUCT(OFFSET(貼付け_2025実績,$G230,5,($H230-$G230+1),1),OFFSET(貼付け_2025実績,$G230,SUM(COLUMN()-COLUMN(貼付け_2025実績)),($H230-$G230+1),1))*0.0258</f>
        <v>0</v>
      </c>
      <c r="CN230" s="225"/>
      <c r="CO230" s="225"/>
      <c r="CP230" s="225"/>
      <c r="CQ230" s="224">
        <f ca="1">SUMPRODUCT(OFFSET(貼付け_2025実績,$G230,5,($H230-$G230+1),1),OFFSET(貼付け_2025実績,$G230,SUM(COLUMN()-COLUMN(貼付け_2025実績)),($H230-$G230+1),1))*0.0258</f>
        <v>0</v>
      </c>
      <c r="CR230" s="225"/>
      <c r="CS230" s="225"/>
      <c r="CT230" s="225"/>
      <c r="CU230" s="224">
        <f ca="1">SUMPRODUCT(OFFSET(貼付け_2025実績,$G230,5,($H230-$G230+1),1),OFFSET(貼付け_2025実績,$G230,SUM(COLUMN()-COLUMN(貼付け_2025実績)),($H230-$G230+1),1))*0.0258</f>
        <v>0</v>
      </c>
      <c r="CV230" s="225"/>
      <c r="CW230" s="225"/>
      <c r="CX230" s="225"/>
      <c r="CY230" s="224">
        <f ca="1">SUMPRODUCT(OFFSET(貼付け_2025実績,$G230,5,($H230-$G230+1),1),OFFSET(貼付け_2025実績,$G230,SUM(COLUMN()-COLUMN(貼付け_2025実績)),($H230-$G230+1),1))*0.0258</f>
        <v>0</v>
      </c>
      <c r="CZ230" s="225"/>
      <c r="DA230" s="225"/>
      <c r="DB230" s="225"/>
      <c r="DC230" s="224">
        <f ca="1">SUMPRODUCT(OFFSET(貼付け_2025実績,$G230,5,($H230-$G230+1),1),OFFSET(貼付け_2025実績,$G230,SUM(COLUMN()-COLUMN(貼付け_2025実績)),($H230-$G230+1),1))*0.0258</f>
        <v>0</v>
      </c>
      <c r="DD230" s="225"/>
      <c r="DE230" s="225"/>
      <c r="DF230" s="225"/>
      <c r="DG230" s="224">
        <f ca="1">SUMPRODUCT(OFFSET(貼付け_2025実績,$G230,5,($H230-$G230+1),1),OFFSET(貼付け_2025実績,$G230,SUM(COLUMN()-COLUMN(貼付け_2025実績)),($H230-$G230+1),1))*0.0258</f>
        <v>0</v>
      </c>
      <c r="DH230" s="225"/>
      <c r="DI230" s="225"/>
      <c r="DJ230" s="225"/>
      <c r="DK230" s="224">
        <f ca="1">SUMPRODUCT(OFFSET(貼付け_2025実績,$G230,5,($H230-$G230+1),1),OFFSET(貼付け_2025実績,$G230,SUM(COLUMN()-COLUMN(貼付け_2025実績)),($H230-$G230+1),1))*0.0258</f>
        <v>0</v>
      </c>
      <c r="DL230" s="225"/>
      <c r="DM230" s="225"/>
      <c r="DN230" s="225"/>
      <c r="DO230" s="224">
        <f ca="1">SUMPRODUCT(OFFSET(貼付け_2025実績,$G230,5,($H230-$G230+1),1),OFFSET(貼付け_2025実績,$G230,SUM(COLUMN()-COLUMN(貼付け_2025実績)),($H230-$G230+1),1))*0.0258</f>
        <v>0</v>
      </c>
      <c r="DP230" s="225"/>
      <c r="DQ230" s="225"/>
      <c r="DR230" s="225"/>
      <c r="DS230" s="224">
        <f ca="1">SUMPRODUCT(OFFSET(貼付け_2025実績,$G230,5,($H230-$G230+1),1),OFFSET(貼付け_2025実績,$G230,SUM(COLUMN()-COLUMN(貼付け_2025実績)),($H230-$G230+1),1))*0.0258</f>
        <v>0</v>
      </c>
      <c r="DT230" s="225"/>
      <c r="DU230" s="225"/>
      <c r="DV230" s="225"/>
      <c r="DW230" s="224">
        <f ca="1">SUMPRODUCT(OFFSET(貼付け_2025実績,$G230,5,($H230-$G230+1),1),OFFSET(貼付け_2025実績,$G230,SUM(COLUMN()-COLUMN(貼付け_2025実績)),($H230-$G230+1),1))*0.0258</f>
        <v>0</v>
      </c>
      <c r="DX230" s="225"/>
      <c r="DY230" s="225"/>
      <c r="DZ230" s="225"/>
      <c r="EA230" s="224">
        <f ca="1">SUMPRODUCT(OFFSET(貼付け_2025実績,$G230,5,($H230-$G230+1),1),OFFSET(貼付け_2025実績,$G230,SUM(COLUMN()-COLUMN(貼付け_2025実績)),($H230-$G230+1),1))*0.0258</f>
        <v>0</v>
      </c>
      <c r="EB230" s="225"/>
      <c r="EC230" s="225"/>
      <c r="ED230" s="225"/>
      <c r="EE230" s="224">
        <f ca="1">SUMPRODUCT(OFFSET(貼付け_2025実績,$G230,5,($H230-$G230+1),1),OFFSET(貼付け_2025実績,$G230,SUM(COLUMN()-COLUMN(貼付け_2025実績)),($H230-$G230+1),1))*0.0258</f>
        <v>0</v>
      </c>
      <c r="EF230" s="225"/>
      <c r="EG230" s="225"/>
      <c r="EH230" s="225"/>
      <c r="EI230" s="224">
        <f ca="1">SUMPRODUCT(OFFSET(貼付け_2025実績,$G230,5,($H230-$G230+1),1),OFFSET(貼付け_2025実績,$G230,SUM(COLUMN()-COLUMN(貼付け_2025実績)),($H230-$G230+1),1))*0.0258</f>
        <v>0</v>
      </c>
      <c r="EJ230" s="225"/>
      <c r="EK230" s="225"/>
      <c r="EL230" s="225"/>
      <c r="EM230" s="224">
        <f ca="1">SUMPRODUCT(OFFSET(貼付け_2025実績,$G230,5,($H230-$G230+1),1),OFFSET(貼付け_2025実績,$G230,SUM(COLUMN()-COLUMN(貼付け_2025実績)),($H230-$G230+1),1))*0.0258</f>
        <v>0</v>
      </c>
      <c r="EN230" s="225"/>
      <c r="EO230" s="225"/>
      <c r="EP230" s="225"/>
      <c r="EQ230" s="224">
        <f ca="1">SUMPRODUCT(OFFSET(貼付け_2025実績,$G230,5,($H230-$G230+1),1),OFFSET(貼付け_2025実績,$G230,SUM(COLUMN()-COLUMN(貼付け_2025実績)),($H230-$G230+1),1))*0.0258</f>
        <v>0</v>
      </c>
      <c r="ER230" s="225"/>
      <c r="ES230" s="225"/>
      <c r="ET230" s="225"/>
      <c r="EU230" s="224">
        <f ca="1">SUMPRODUCT(OFFSET(貼付け_2025実績,$G230,5,($H230-$G230+1),1),OFFSET(貼付け_2025実績,$G230,SUM(COLUMN()-COLUMN(貼付け_2025実績)),($H230-$G230+1),1))*0.0258</f>
        <v>0</v>
      </c>
      <c r="EV230" s="225"/>
      <c r="EW230" s="225"/>
      <c r="EX230" s="225"/>
      <c r="EY230" s="224">
        <f ca="1">SUMPRODUCT(OFFSET(貼付け_2025実績,$G230,5,($H230-$G230+1),1),OFFSET(貼付け_2025実績,$G230,SUM(COLUMN()-COLUMN(貼付け_2025実績)),($H230-$G230+1),1))*0.0258</f>
        <v>0</v>
      </c>
      <c r="EZ230" s="225"/>
      <c r="FA230" s="225"/>
      <c r="FB230" s="225"/>
      <c r="FC230" s="224">
        <f ca="1">SUMPRODUCT(OFFSET(貼付け_2025実績,$G230,5,($H230-$G230+1),1),OFFSET(貼付け_2025実績,$G230,SUM(COLUMN()-COLUMN(貼付け_2025実績)),($H230-$G230+1),1))*0.0258</f>
        <v>0</v>
      </c>
      <c r="FD230" s="225"/>
      <c r="FE230" s="225"/>
      <c r="FF230" s="225"/>
      <c r="FG230" s="224">
        <f ca="1">SUMPRODUCT(OFFSET(貼付け_2025実績,$G230,5,($H230-$G230+1),1),OFFSET(貼付け_2025実績,$G230,SUM(COLUMN()-COLUMN(貼付け_2025実績)),($H230-$G230+1),1))*0.0258</f>
        <v>0</v>
      </c>
      <c r="FH230" s="225"/>
      <c r="FI230" s="225"/>
      <c r="FJ230" s="225"/>
      <c r="FK230" s="224">
        <f ca="1">SUMPRODUCT(OFFSET(貼付け_2025実績,$G230,5,($H230-$G230+1),1),OFFSET(貼付け_2025実績,$G230,SUM(COLUMN()-COLUMN(貼付け_2025実績)),($H230-$G230+1),1))*0.0258</f>
        <v>0</v>
      </c>
      <c r="FL230" s="225"/>
      <c r="FM230" s="225"/>
      <c r="FN230" s="225"/>
      <c r="FO230" s="224">
        <f ca="1">SUMPRODUCT(OFFSET(貼付け_2025実績,$G230,5,($H230-$G230+1),1),OFFSET(貼付け_2025実績,$G230,SUM(COLUMN()-COLUMN(貼付け_2025実績)),($H230-$G230+1),1))*0.0258</f>
        <v>0</v>
      </c>
      <c r="FP230" s="225"/>
      <c r="FQ230" s="225"/>
      <c r="FR230" s="225"/>
      <c r="FS230" s="224">
        <f ca="1">SUMPRODUCT(OFFSET(貼付け_2025実績,$G230,5,($H230-$G230+1),1),OFFSET(貼付け_2025実績,$G230,SUM(COLUMN()-COLUMN(貼付け_2025実績)),($H230-$G230+1),1))*0.0258</f>
        <v>0</v>
      </c>
      <c r="FT230" s="225"/>
      <c r="FU230" s="225"/>
      <c r="FV230" s="225"/>
      <c r="FW230" s="224">
        <f ca="1">SUMPRODUCT(OFFSET(貼付け_2025実績,$G230,5,($H230-$G230+1),1),OFFSET(貼付け_2025実績,$G230,SUM(COLUMN()-COLUMN(貼付け_2025実績)),($H230-$G230+1),1))*0.0258</f>
        <v>0</v>
      </c>
      <c r="FX230" s="225"/>
      <c r="FY230" s="225"/>
      <c r="FZ230" s="225"/>
      <c r="GA230" s="224">
        <f ca="1">SUMPRODUCT(OFFSET(貼付け_2025実績,$G230,5,($H230-$G230+1),1),OFFSET(貼付け_2025実績,$G230,SUM(COLUMN()-COLUMN(貼付け_2025実績)),($H230-$G230+1),1))*0.0258</f>
        <v>0</v>
      </c>
      <c r="GB230" s="225"/>
      <c r="GC230" s="225"/>
      <c r="GD230" s="225"/>
      <c r="GE230" s="224">
        <f ca="1">SUMPRODUCT(OFFSET(貼付け_2025実績,$G230,5,($H230-$G230+1),1),OFFSET(貼付け_2025実績,$G230,SUM(COLUMN()-COLUMN(貼付け_2025実績)),($H230-$G230+1),1))*0.0258</f>
        <v>0</v>
      </c>
      <c r="GF230" s="225"/>
      <c r="GG230" s="225"/>
      <c r="GH230" s="225"/>
      <c r="GI230" s="224">
        <f ca="1">SUMPRODUCT(OFFSET(貼付け_2025実績,$G230,5,($H230-$G230+1),1),OFFSET(貼付け_2025実績,$G230,SUM(COLUMN()-COLUMN(貼付け_2025実績)),($H230-$G230+1),1))*0.0258</f>
        <v>0</v>
      </c>
      <c r="GJ230" s="225"/>
      <c r="GK230" s="225"/>
      <c r="GL230" s="225"/>
      <c r="GM230" s="224">
        <f ca="1">SUMPRODUCT(OFFSET(貼付け_2025実績,$G230,5,($H230-$G230+1),1),OFFSET(貼付け_2025実績,$G230,SUM(COLUMN()-COLUMN(貼付け_2025実績)),($H230-$G230+1),1))*0.0258</f>
        <v>0</v>
      </c>
      <c r="GN230" s="225"/>
      <c r="GO230" s="225"/>
      <c r="GP230" s="225"/>
      <c r="GQ230" s="224">
        <f ca="1">SUMPRODUCT(OFFSET(貼付け_2025実績,$G230,5,($H230-$G230+1),1),OFFSET(貼付け_2025実績,$G230,SUM(COLUMN()-COLUMN(貼付け_2025実績)),($H230-$G230+1),1))*0.0258</f>
        <v>0</v>
      </c>
      <c r="GR230" s="225"/>
      <c r="GS230" s="225"/>
      <c r="GT230" s="225"/>
      <c r="GU230" s="224">
        <f ca="1">SUMPRODUCT(OFFSET(貼付け_2025実績,$G230,5,($H230-$G230+1),1),OFFSET(貼付け_2025実績,$G230,SUM(COLUMN()-COLUMN(貼付け_2025実績)),($H230-$G230+1),1))*0.0258</f>
        <v>0</v>
      </c>
      <c r="GV230" s="225"/>
      <c r="GW230" s="225"/>
      <c r="GX230" s="225"/>
      <c r="GY230" s="224">
        <f ca="1">SUMPRODUCT(OFFSET(貼付け_2025実績,$G230,5,($H230-$G230+1),1),OFFSET(貼付け_2025実績,$G230,SUM(COLUMN()-COLUMN(貼付け_2025実績)),($H230-$G230+1),1))*0.0258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OFFSET(貼付け_2025実績,$G232,SUM(COLUMN()-COLUMN(貼付け_2025実績))-1)</f>
        <v>0</v>
      </c>
      <c r="M232" s="224" t="str">
        <f ca="1">IFERROR(K232/L232,"")</f>
        <v/>
      </c>
      <c r="N232" s="226"/>
      <c r="O232" s="224">
        <f ca="1">O231-Q229-R229</f>
        <v>0</v>
      </c>
      <c r="P232" s="224">
        <f ca="1">OFFSET(貼付け_2025実績,$G232,SUM(COLUMN()-COLUMN(貼付け_2025実績))-1)</f>
        <v>0</v>
      </c>
      <c r="Q232" s="224" t="str">
        <f ca="1">IFERROR(O232/P232,"")</f>
        <v/>
      </c>
      <c r="R232" s="226"/>
      <c r="S232" s="224">
        <f ca="1">S231-U229-V229</f>
        <v>0</v>
      </c>
      <c r="T232" s="224">
        <f ca="1">OFFSET(貼付け_2025実績,$G232,SUM(COLUMN()-COLUMN(貼付け_2025実績))-1)</f>
        <v>0</v>
      </c>
      <c r="U232" s="224" t="str">
        <f ca="1">IFERROR(S232/T232,"")</f>
        <v/>
      </c>
      <c r="V232" s="226"/>
      <c r="W232" s="224">
        <f ca="1">W231-Y229-Z229</f>
        <v>0</v>
      </c>
      <c r="X232" s="224">
        <f ca="1">OFFSET(貼付け_2025実績,$G232,SUM(COLUMN()-COLUMN(貼付け_2025実績))-1)</f>
        <v>0</v>
      </c>
      <c r="Y232" s="224" t="str">
        <f ca="1">IFERROR(W232/X232,"")</f>
        <v/>
      </c>
      <c r="Z232" s="226"/>
      <c r="AA232" s="224">
        <f ca="1">AA231-AC229-AD229</f>
        <v>0</v>
      </c>
      <c r="AB232" s="224">
        <f ca="1">OFFSET(貼付け_2025実績,$G232,SUM(COLUMN()-COLUMN(貼付け_2025実績))-1)</f>
        <v>0</v>
      </c>
      <c r="AC232" s="224" t="str">
        <f ca="1">IFERROR(AA232/AB232,"")</f>
        <v/>
      </c>
      <c r="AD232" s="226"/>
      <c r="AE232" s="224">
        <f ca="1">AE231-AG229-AH229</f>
        <v>0</v>
      </c>
      <c r="AF232" s="224">
        <f ca="1">OFFSET(貼付け_2025実績,$G232,SUM(COLUMN()-COLUMN(貼付け_2025実績))-1)</f>
        <v>0</v>
      </c>
      <c r="AG232" s="224" t="str">
        <f ca="1">IFERROR(AE232/AF232,"")</f>
        <v/>
      </c>
      <c r="AH232" s="226"/>
      <c r="AI232" s="224">
        <f ca="1">AI231-AK229-AL229</f>
        <v>0</v>
      </c>
      <c r="AJ232" s="224">
        <f ca="1">OFFSET(貼付け_2025実績,$G232,SUM(COLUMN()-COLUMN(貼付け_2025実績))-1)</f>
        <v>0</v>
      </c>
      <c r="AK232" s="224" t="str">
        <f ca="1">IFERROR(AI232/AJ232,"")</f>
        <v/>
      </c>
      <c r="AL232" s="226"/>
      <c r="AM232" s="224">
        <f ca="1">AM231-AO229-AP229</f>
        <v>0</v>
      </c>
      <c r="AN232" s="224">
        <f ca="1">OFFSET(貼付け_2025実績,$G232,SUM(COLUMN()-COLUMN(貼付け_2025実績))-1)</f>
        <v>0</v>
      </c>
      <c r="AO232" s="224" t="str">
        <f ca="1">IFERROR(AM232/AN232,"")</f>
        <v/>
      </c>
      <c r="AP232" s="226"/>
      <c r="AQ232" s="224">
        <f ca="1">AQ231-AS229-AT229</f>
        <v>0</v>
      </c>
      <c r="AR232" s="224">
        <f ca="1">OFFSET(貼付け_2025実績,$G232,SUM(COLUMN()-COLUMN(貼付け_2025実績))-1)</f>
        <v>0</v>
      </c>
      <c r="AS232" s="224" t="str">
        <f ca="1">IFERROR(AQ232/AR232,"")</f>
        <v/>
      </c>
      <c r="AT232" s="226"/>
      <c r="AU232" s="224">
        <f ca="1">AU231-AW229-AX229</f>
        <v>0</v>
      </c>
      <c r="AV232" s="224">
        <f ca="1">OFFSET(貼付け_2025実績,$G232,SUM(COLUMN()-COLUMN(貼付け_2025実績))-1)</f>
        <v>0</v>
      </c>
      <c r="AW232" s="224" t="str">
        <f ca="1">IFERROR(AU232/AV232,"")</f>
        <v/>
      </c>
      <c r="AX232" s="226"/>
      <c r="AY232" s="224">
        <f ca="1">AY231-BA229-BB229</f>
        <v>0</v>
      </c>
      <c r="AZ232" s="224">
        <f ca="1">OFFSET(貼付け_2025実績,$G232,SUM(COLUMN()-COLUMN(貼付け_2025実績))-1)</f>
        <v>0</v>
      </c>
      <c r="BA232" s="224" t="str">
        <f ca="1">IFERROR(AY232/AZ232,"")</f>
        <v/>
      </c>
      <c r="BB232" s="226"/>
      <c r="BC232" s="224">
        <f ca="1">BC231-BE229-BF229</f>
        <v>0</v>
      </c>
      <c r="BD232" s="224">
        <f ca="1">OFFSET(貼付け_2025実績,$G232,SUM(COLUMN()-COLUMN(貼付け_2025実績))-1)</f>
        <v>0</v>
      </c>
      <c r="BE232" s="224" t="str">
        <f ca="1">IFERROR(BC232/BD232,"")</f>
        <v/>
      </c>
      <c r="BF232" s="226"/>
      <c r="BG232" s="224">
        <f ca="1">BG231-BI229-BJ229</f>
        <v>0</v>
      </c>
      <c r="BH232" s="224">
        <f ca="1">OFFSET(貼付け_2025実績,$G232,SUM(COLUMN()-COLUMN(貼付け_2025実績))-1)</f>
        <v>0</v>
      </c>
      <c r="BI232" s="224" t="str">
        <f ca="1">IFERROR(BG232/BH232,"")</f>
        <v/>
      </c>
      <c r="BJ232" s="226"/>
      <c r="BK232" s="224">
        <f ca="1">BK231-BM229-BN229</f>
        <v>0</v>
      </c>
      <c r="BL232" s="224">
        <f ca="1">OFFSET(貼付け_2025実績,$G232,SUM(COLUMN()-COLUMN(貼付け_2025実績))-1)</f>
        <v>0</v>
      </c>
      <c r="BM232" s="224" t="str">
        <f ca="1">IFERROR(BK232/BL232,"")</f>
        <v/>
      </c>
      <c r="BN232" s="226"/>
      <c r="BO232" s="224">
        <f ca="1">BO231-BQ229-BR229</f>
        <v>0</v>
      </c>
      <c r="BP232" s="224">
        <f ca="1">OFFSET(貼付け_2025実績,$G232,SUM(COLUMN()-COLUMN(貼付け_2025実績))-1)</f>
        <v>0</v>
      </c>
      <c r="BQ232" s="224" t="str">
        <f ca="1">IFERROR(BO232/BP232,"")</f>
        <v/>
      </c>
      <c r="BR232" s="226"/>
      <c r="BS232" s="224">
        <f ca="1">BS231-BU229-BV229</f>
        <v>0</v>
      </c>
      <c r="BT232" s="224">
        <f ca="1">OFFSET(貼付け_2025実績,$G232,SUM(COLUMN()-COLUMN(貼付け_2025実績))-1)</f>
        <v>0</v>
      </c>
      <c r="BU232" s="224" t="str">
        <f ca="1">IFERROR(BS232/BT232,"")</f>
        <v/>
      </c>
      <c r="BV232" s="226"/>
      <c r="BW232" s="224">
        <f ca="1">BW231-BY229-BZ229</f>
        <v>0</v>
      </c>
      <c r="BX232" s="224">
        <f ca="1">OFFSET(貼付け_2025実績,$G232,SUM(COLUMN()-COLUMN(貼付け_2025実績))-1)</f>
        <v>0</v>
      </c>
      <c r="BY232" s="224" t="str">
        <f ca="1">IFERROR(BW232/BX232,"")</f>
        <v/>
      </c>
      <c r="BZ232" s="226"/>
      <c r="CA232" s="224">
        <f ca="1">CA231-CC229-CD229</f>
        <v>0</v>
      </c>
      <c r="CB232" s="224">
        <f ca="1">OFFSET(貼付け_2025実績,$G232,SUM(COLUMN()-COLUMN(貼付け_2025実績))-1)</f>
        <v>0</v>
      </c>
      <c r="CC232" s="224" t="str">
        <f ca="1">IFERROR(CA232/CB232,"")</f>
        <v/>
      </c>
      <c r="CD232" s="226"/>
      <c r="CE232" s="224">
        <f ca="1">CE231-CG229-CH229</f>
        <v>0</v>
      </c>
      <c r="CF232" s="224">
        <f ca="1">OFFSET(貼付け_2025実績,$G232,SUM(COLUMN()-COLUMN(貼付け_2025実績))-1)</f>
        <v>0</v>
      </c>
      <c r="CG232" s="224" t="str">
        <f ca="1">IFERROR(CE232/CF232,"")</f>
        <v/>
      </c>
      <c r="CH232" s="226"/>
      <c r="CI232" s="224">
        <f ca="1">CI231-CK229-CL229</f>
        <v>0</v>
      </c>
      <c r="CJ232" s="224">
        <f ca="1">OFFSET(貼付け_2025実績,$G232,SUM(COLUMN()-COLUMN(貼付け_2025実績))-1)</f>
        <v>0</v>
      </c>
      <c r="CK232" s="224" t="str">
        <f ca="1">IFERROR(CI232/CJ232,"")</f>
        <v/>
      </c>
      <c r="CL232" s="226"/>
      <c r="CM232" s="224">
        <f ca="1">CM231-CO229-CP229</f>
        <v>0</v>
      </c>
      <c r="CN232" s="224">
        <f ca="1">OFFSET(貼付け_2025実績,$G232,SUM(COLUMN()-COLUMN(貼付け_2025実績))-1)</f>
        <v>0</v>
      </c>
      <c r="CO232" s="224" t="str">
        <f ca="1">IFERROR(CM232/CN232,"")</f>
        <v/>
      </c>
      <c r="CP232" s="226"/>
      <c r="CQ232" s="224">
        <f ca="1">CQ231-CS229-CT229</f>
        <v>0</v>
      </c>
      <c r="CR232" s="224">
        <f ca="1">OFFSET(貼付け_2025実績,$G232,SUM(COLUMN()-COLUMN(貼付け_2025実績))-1)</f>
        <v>0</v>
      </c>
      <c r="CS232" s="224" t="str">
        <f ca="1">IFERROR(CQ232/CR232,"")</f>
        <v/>
      </c>
      <c r="CT232" s="226"/>
      <c r="CU232" s="224">
        <f ca="1">CU231-CW229-CX229</f>
        <v>0</v>
      </c>
      <c r="CV232" s="224">
        <f ca="1">OFFSET(貼付け_2025実績,$G232,SUM(COLUMN()-COLUMN(貼付け_2025実績))-1)</f>
        <v>0</v>
      </c>
      <c r="CW232" s="224" t="str">
        <f ca="1">IFERROR(CU232/CV232,"")</f>
        <v/>
      </c>
      <c r="CX232" s="226"/>
      <c r="CY232" s="224">
        <f ca="1">CY231-DA229-DB229</f>
        <v>0</v>
      </c>
      <c r="CZ232" s="224">
        <f ca="1">OFFSET(貼付け_2025実績,$G232,SUM(COLUMN()-COLUMN(貼付け_2025実績))-1)</f>
        <v>0</v>
      </c>
      <c r="DA232" s="224" t="str">
        <f ca="1">IFERROR(CY232/CZ232,"")</f>
        <v/>
      </c>
      <c r="DB232" s="226"/>
      <c r="DC232" s="224">
        <f ca="1">DC231-DE229-DF229</f>
        <v>0</v>
      </c>
      <c r="DD232" s="224">
        <f ca="1">OFFSET(貼付け_2025実績,$G232,SUM(COLUMN()-COLUMN(貼付け_2025実績))-1)</f>
        <v>0</v>
      </c>
      <c r="DE232" s="224" t="str">
        <f ca="1">IFERROR(DC232/DD232,"")</f>
        <v/>
      </c>
      <c r="DF232" s="226"/>
      <c r="DG232" s="224">
        <f ca="1">DG231-DI229-DJ229</f>
        <v>0</v>
      </c>
      <c r="DH232" s="224">
        <f ca="1">OFFSET(貼付け_2025実績,$G232,SUM(COLUMN()-COLUMN(貼付け_2025実績))-1)</f>
        <v>0</v>
      </c>
      <c r="DI232" s="224" t="str">
        <f ca="1">IFERROR(DG232/DH232,"")</f>
        <v/>
      </c>
      <c r="DJ232" s="226"/>
      <c r="DK232" s="224">
        <f ca="1">DK231-DM229-DN229</f>
        <v>0</v>
      </c>
      <c r="DL232" s="224">
        <f ca="1">OFFSET(貼付け_2025実績,$G232,SUM(COLUMN()-COLUMN(貼付け_2025実績))-1)</f>
        <v>0</v>
      </c>
      <c r="DM232" s="224" t="str">
        <f ca="1">IFERROR(DK232/DL232,"")</f>
        <v/>
      </c>
      <c r="DN232" s="226"/>
      <c r="DO232" s="224">
        <f ca="1">DO231-DQ229-DR229</f>
        <v>0</v>
      </c>
      <c r="DP232" s="224">
        <f ca="1">OFFSET(貼付け_2025実績,$G232,SUM(COLUMN()-COLUMN(貼付け_2025実績))-1)</f>
        <v>0</v>
      </c>
      <c r="DQ232" s="224" t="str">
        <f ca="1">IFERROR(DO232/DP232,"")</f>
        <v/>
      </c>
      <c r="DR232" s="226"/>
      <c r="DS232" s="224">
        <f ca="1">DS231-DU229-DV229</f>
        <v>0</v>
      </c>
      <c r="DT232" s="224">
        <f ca="1">OFFSET(貼付け_2025実績,$G232,SUM(COLUMN()-COLUMN(貼付け_2025実績))-1)</f>
        <v>0</v>
      </c>
      <c r="DU232" s="224" t="str">
        <f ca="1">IFERROR(DS232/DT232,"")</f>
        <v/>
      </c>
      <c r="DV232" s="226"/>
      <c r="DW232" s="224">
        <f ca="1">DW231-DY229-DZ229</f>
        <v>0</v>
      </c>
      <c r="DX232" s="224">
        <f ca="1">OFFSET(貼付け_2025実績,$G232,SUM(COLUMN()-COLUMN(貼付け_2025実績))-1)</f>
        <v>0</v>
      </c>
      <c r="DY232" s="224" t="str">
        <f ca="1">IFERROR(DW232/DX232,"")</f>
        <v/>
      </c>
      <c r="DZ232" s="226"/>
      <c r="EA232" s="224">
        <f ca="1">EA231-EC229-ED229</f>
        <v>0</v>
      </c>
      <c r="EB232" s="224">
        <f ca="1">OFFSET(貼付け_2025実績,$G232,SUM(COLUMN()-COLUMN(貼付け_2025実績))-1)</f>
        <v>0</v>
      </c>
      <c r="EC232" s="224" t="str">
        <f ca="1">IFERROR(EA232/EB232,"")</f>
        <v/>
      </c>
      <c r="ED232" s="226"/>
      <c r="EE232" s="224">
        <f ca="1">EE231-EG229-EH229</f>
        <v>0</v>
      </c>
      <c r="EF232" s="224">
        <f ca="1">OFFSET(貼付け_2025実績,$G232,SUM(COLUMN()-COLUMN(貼付け_2025実績))-1)</f>
        <v>0</v>
      </c>
      <c r="EG232" s="224" t="str">
        <f ca="1">IFERROR(EE232/EF232,"")</f>
        <v/>
      </c>
      <c r="EH232" s="226"/>
      <c r="EI232" s="224">
        <f ca="1">EI231-EK229-EL229</f>
        <v>0</v>
      </c>
      <c r="EJ232" s="224">
        <f ca="1">OFFSET(貼付け_2025実績,$G232,SUM(COLUMN()-COLUMN(貼付け_2025実績))-1)</f>
        <v>100</v>
      </c>
      <c r="EK232" s="224">
        <f ca="1">IFERROR(EI232/EJ232,"")</f>
        <v>0</v>
      </c>
      <c r="EL232" s="226"/>
      <c r="EM232" s="224">
        <f ca="1">EM231-EO229-EP229</f>
        <v>0</v>
      </c>
      <c r="EN232" s="224">
        <f ca="1">OFFSET(貼付け_2025実績,$G232,SUM(COLUMN()-COLUMN(貼付け_2025実績))-1)</f>
        <v>100</v>
      </c>
      <c r="EO232" s="224">
        <f ca="1">IFERROR(EM232/EN232,"")</f>
        <v>0</v>
      </c>
      <c r="EP232" s="226"/>
      <c r="EQ232" s="224">
        <f ca="1">EQ231-ES229-ET229</f>
        <v>0</v>
      </c>
      <c r="ER232" s="224">
        <f ca="1">OFFSET(貼付け_2025実績,$G232,SUM(COLUMN()-COLUMN(貼付け_2025実績))-1)</f>
        <v>0</v>
      </c>
      <c r="ES232" s="224" t="str">
        <f ca="1">IFERROR(EQ232/ER232,"")</f>
        <v/>
      </c>
      <c r="ET232" s="226"/>
      <c r="EU232" s="224">
        <f ca="1">EU231-EW229-EX229</f>
        <v>0</v>
      </c>
      <c r="EV232" s="224">
        <f ca="1">OFFSET(貼付け_2025実績,$G232,SUM(COLUMN()-COLUMN(貼付け_2025実績))-1)</f>
        <v>0</v>
      </c>
      <c r="EW232" s="224" t="str">
        <f ca="1">IFERROR(EU232/EV232,"")</f>
        <v/>
      </c>
      <c r="EX232" s="226"/>
      <c r="EY232" s="224">
        <f ca="1">EY231-FA229-FB229</f>
        <v>0</v>
      </c>
      <c r="EZ232" s="224">
        <f ca="1">OFFSET(貼付け_2025実績,$G232,SUM(COLUMN()-COLUMN(貼付け_2025実績))-1)</f>
        <v>0</v>
      </c>
      <c r="FA232" s="224" t="str">
        <f ca="1">IFERROR(EY232/EZ232,"")</f>
        <v/>
      </c>
      <c r="FB232" s="226"/>
      <c r="FC232" s="224">
        <f ca="1">FC231-FE229-FF229</f>
        <v>0</v>
      </c>
      <c r="FD232" s="224">
        <f ca="1">OFFSET(貼付け_2025実績,$G232,SUM(COLUMN()-COLUMN(貼付け_2025実績))-1)</f>
        <v>0</v>
      </c>
      <c r="FE232" s="224" t="str">
        <f ca="1">IFERROR(FC232/FD232,"")</f>
        <v/>
      </c>
      <c r="FF232" s="226"/>
      <c r="FG232" s="224">
        <f ca="1">FG231-FI229-FJ229</f>
        <v>0</v>
      </c>
      <c r="FH232" s="224">
        <f ca="1">OFFSET(貼付け_2025実績,$G232,SUM(COLUMN()-COLUMN(貼付け_2025実績))-1)</f>
        <v>0</v>
      </c>
      <c r="FI232" s="224" t="str">
        <f ca="1">IFERROR(FG232/FH232,"")</f>
        <v/>
      </c>
      <c r="FJ232" s="226"/>
      <c r="FK232" s="224">
        <f ca="1">FK231-FM229-FN229</f>
        <v>0</v>
      </c>
      <c r="FL232" s="224">
        <f ca="1">OFFSET(貼付け_2025実績,$G232,SUM(COLUMN()-COLUMN(貼付け_2025実績))-1)</f>
        <v>0</v>
      </c>
      <c r="FM232" s="224" t="str">
        <f ca="1">IFERROR(FK232/FL232,"")</f>
        <v/>
      </c>
      <c r="FN232" s="226"/>
      <c r="FO232" s="224">
        <f ca="1">FO231-FQ229-FR229</f>
        <v>0</v>
      </c>
      <c r="FP232" s="224">
        <f ca="1">OFFSET(貼付け_2025実績,$G232,SUM(COLUMN()-COLUMN(貼付け_2025実績))-1)</f>
        <v>0</v>
      </c>
      <c r="FQ232" s="224" t="str">
        <f ca="1">IFERROR(FO232/FP232,"")</f>
        <v/>
      </c>
      <c r="FR232" s="226"/>
      <c r="FS232" s="224">
        <f ca="1">FS231-FU229-FV229</f>
        <v>0</v>
      </c>
      <c r="FT232" s="224">
        <f ca="1">OFFSET(貼付け_2025実績,$G232,SUM(COLUMN()-COLUMN(貼付け_2025実績))-1)</f>
        <v>0</v>
      </c>
      <c r="FU232" s="224" t="str">
        <f ca="1">IFERROR(FS232/FT232,"")</f>
        <v/>
      </c>
      <c r="FV232" s="226"/>
      <c r="FW232" s="224">
        <f ca="1">FW231-FY229-FZ229</f>
        <v>0</v>
      </c>
      <c r="FX232" s="224">
        <f ca="1">OFFSET(貼付け_2025実績,$G232,SUM(COLUMN()-COLUMN(貼付け_2025実績))-1)</f>
        <v>0</v>
      </c>
      <c r="FY232" s="224" t="str">
        <f ca="1">IFERROR(FW232/FX232,"")</f>
        <v/>
      </c>
      <c r="FZ232" s="226"/>
      <c r="GA232" s="224">
        <f ca="1">GA231-GC229-GD229</f>
        <v>0</v>
      </c>
      <c r="GB232" s="224">
        <f ca="1">OFFSET(貼付け_2025実績,$G232,SUM(COLUMN()-COLUMN(貼付け_2025実績))-1)</f>
        <v>0</v>
      </c>
      <c r="GC232" s="224" t="str">
        <f ca="1">IFERROR(GA232/GB232,"")</f>
        <v/>
      </c>
      <c r="GD232" s="226"/>
      <c r="GE232" s="224">
        <f ca="1">GE231-GG229-GH229</f>
        <v>0</v>
      </c>
      <c r="GF232" s="224">
        <f ca="1">OFFSET(貼付け_2025実績,$G232,SUM(COLUMN()-COLUMN(貼付け_2025実績))-1)</f>
        <v>0</v>
      </c>
      <c r="GG232" s="224" t="str">
        <f ca="1">IFERROR(GE232/GF232,"")</f>
        <v/>
      </c>
      <c r="GH232" s="226"/>
      <c r="GI232" s="224">
        <f ca="1">GI231-GK229-GL229</f>
        <v>0</v>
      </c>
      <c r="GJ232" s="224">
        <f ca="1">OFFSET(貼付け_2025実績,$G232,SUM(COLUMN()-COLUMN(貼付け_2025実績))-1)</f>
        <v>0</v>
      </c>
      <c r="GK232" s="224" t="str">
        <f ca="1">IFERROR(GI232/GJ232,"")</f>
        <v/>
      </c>
      <c r="GL232" s="226"/>
      <c r="GM232" s="224">
        <f ca="1">GM231-GO229-GP229</f>
        <v>0</v>
      </c>
      <c r="GN232" s="224">
        <f ca="1">OFFSET(貼付け_2025実績,$G232,SUM(COLUMN()-COLUMN(貼付け_2025実績))-1)</f>
        <v>0</v>
      </c>
      <c r="GO232" s="224" t="str">
        <f ca="1">IFERROR(GM232/GN232,"")</f>
        <v/>
      </c>
      <c r="GP232" s="226"/>
      <c r="GQ232" s="224">
        <f ca="1">GQ231-GS229-GT229</f>
        <v>0</v>
      </c>
      <c r="GR232" s="224">
        <f ca="1">OFFSET(貼付け_2025実績,$G232,SUM(COLUMN()-COLUMN(貼付け_2025実績))-1)</f>
        <v>0</v>
      </c>
      <c r="GS232" s="224" t="str">
        <f ca="1">IFERROR(GQ232/GR232,"")</f>
        <v/>
      </c>
      <c r="GT232" s="226"/>
      <c r="GU232" s="224">
        <f ca="1">GU231-GW229-GX229</f>
        <v>0</v>
      </c>
      <c r="GV232" s="224">
        <f ca="1">OFFSET(貼付け_2025実績,$G232,SUM(COLUMN()-COLUMN(貼付け_2025実績))-1)</f>
        <v>0</v>
      </c>
      <c r="GW232" s="224" t="str">
        <f ca="1">IFERROR(GU232/GV232,"")</f>
        <v/>
      </c>
      <c r="GX232" s="226"/>
      <c r="GY232" s="224">
        <f ca="1">GY231-HA229-HB229</f>
        <v>0</v>
      </c>
      <c r="GZ232" s="224">
        <f ca="1">OFFSET(貼付け_2025実績,$G232,SUM(COLUMN()-COLUMN(貼付け_2025実績))-1)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SUMPRODUCT(OFFSET(貼付け_2025実績,$F233,4,5,1),OFFSET(貼付け_2025実績,$F233,SUM(COLUMN()-COLUMN(貼付け_2025実績)),5,1))</f>
        <v>0</v>
      </c>
      <c r="J233" s="224">
        <f ca="1">SUMPRODUCT(OFFSET(貼付け_2025実績,$F233,4,5,1),OFFSET(貼付け_2025実績,$F233,SUM(COLUMN()-COLUMN(貼付け_2025実績)),5,1))</f>
        <v>0</v>
      </c>
      <c r="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26"/>
      <c r="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26"/>
      <c r="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26"/>
      <c r="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26"/>
      <c r="A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26"/>
      <c r="A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26"/>
      <c r="A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26"/>
      <c r="A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26"/>
      <c r="A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26"/>
      <c r="A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26"/>
      <c r="A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26"/>
      <c r="B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26"/>
      <c r="B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26"/>
      <c r="B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26"/>
      <c r="B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26"/>
      <c r="B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26"/>
      <c r="B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26"/>
      <c r="C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26"/>
      <c r="C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26"/>
      <c r="C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26"/>
      <c r="C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26"/>
      <c r="C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26"/>
      <c r="C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26"/>
      <c r="C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26"/>
      <c r="D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26"/>
      <c r="D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26"/>
      <c r="D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26"/>
      <c r="D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26"/>
      <c r="D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26"/>
      <c r="D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26"/>
      <c r="E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26"/>
      <c r="E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26"/>
      <c r="E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26"/>
      <c r="E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26"/>
      <c r="E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26"/>
      <c r="E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26"/>
      <c r="E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26"/>
      <c r="F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26"/>
      <c r="F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26"/>
      <c r="F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26"/>
      <c r="F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26"/>
      <c r="F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26"/>
      <c r="F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26"/>
      <c r="G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26"/>
      <c r="G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26"/>
      <c r="G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26"/>
      <c r="G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26"/>
      <c r="G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26"/>
      <c r="G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26"/>
      <c r="G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SUMPRODUCT(OFFSET(貼付け_2025実績,$F234,5,5,1),OFFSET(貼付け_2025実績,$F234,SUM(COLUMN()-COLUMN(貼付け_2025実績)),5,1))</f>
        <v>0</v>
      </c>
      <c r="J234" s="224">
        <f ca="1">SUMPRODUCT(OFFSET(貼付け_2025実績,$F234,5,5,1),OFFSET(貼付け_2025実績,$F234,SUM(COLUMN()-COLUMN(貼付け_2025実績)),5,1))</f>
        <v>0</v>
      </c>
      <c r="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26"/>
      <c r="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26"/>
      <c r="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26"/>
      <c r="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26"/>
      <c r="A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26"/>
      <c r="A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26"/>
      <c r="A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26"/>
      <c r="A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26"/>
      <c r="A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26"/>
      <c r="A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26"/>
      <c r="A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26"/>
      <c r="B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26"/>
      <c r="B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26"/>
      <c r="B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26"/>
      <c r="B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26"/>
      <c r="B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26"/>
      <c r="B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26"/>
      <c r="C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26"/>
      <c r="C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26"/>
      <c r="C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26"/>
      <c r="C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26"/>
      <c r="C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26"/>
      <c r="C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26"/>
      <c r="C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26"/>
      <c r="D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26"/>
      <c r="D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26"/>
      <c r="D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26"/>
      <c r="D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26"/>
      <c r="D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26"/>
      <c r="D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26"/>
      <c r="E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26"/>
      <c r="E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26"/>
      <c r="E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26"/>
      <c r="E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26"/>
      <c r="E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26"/>
      <c r="E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26"/>
      <c r="E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26"/>
      <c r="F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26"/>
      <c r="F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26"/>
      <c r="F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26"/>
      <c r="F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26"/>
      <c r="F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26"/>
      <c r="F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26"/>
      <c r="G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26"/>
      <c r="G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26"/>
      <c r="G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26"/>
      <c r="G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26"/>
      <c r="G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26"/>
      <c r="G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26"/>
      <c r="G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26"/>
      <c r="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26"/>
      <c r="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26"/>
      <c r="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26"/>
      <c r="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26"/>
      <c r="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26"/>
      <c r="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26"/>
      <c r="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26"/>
      <c r="A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26"/>
      <c r="A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26"/>
      <c r="A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26"/>
      <c r="A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26"/>
      <c r="A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26"/>
      <c r="A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26"/>
      <c r="A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26"/>
      <c r="A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26"/>
      <c r="A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26"/>
      <c r="A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26"/>
      <c r="A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26"/>
      <c r="A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26"/>
      <c r="A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26"/>
      <c r="B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26"/>
      <c r="B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26"/>
      <c r="B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26"/>
      <c r="B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26"/>
      <c r="B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26"/>
      <c r="B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26"/>
      <c r="B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26"/>
      <c r="B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26"/>
      <c r="B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26"/>
      <c r="B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26"/>
      <c r="B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26"/>
      <c r="B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26"/>
      <c r="B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26"/>
      <c r="C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26"/>
      <c r="C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26"/>
      <c r="C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26"/>
      <c r="C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26"/>
      <c r="C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26"/>
      <c r="C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26"/>
      <c r="C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26"/>
      <c r="C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26"/>
      <c r="C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26"/>
      <c r="C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26"/>
      <c r="C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26"/>
      <c r="C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26"/>
      <c r="C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26"/>
      <c r="D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26"/>
      <c r="D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26"/>
      <c r="D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26"/>
      <c r="D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26"/>
      <c r="D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26"/>
      <c r="D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26"/>
      <c r="D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26"/>
      <c r="D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26"/>
      <c r="D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26"/>
      <c r="D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26"/>
      <c r="D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26"/>
      <c r="D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26"/>
      <c r="D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26"/>
      <c r="E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26"/>
      <c r="E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26"/>
      <c r="E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26"/>
      <c r="E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26"/>
      <c r="E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26"/>
      <c r="E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26"/>
      <c r="E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26"/>
      <c r="E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26"/>
      <c r="E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26"/>
      <c r="E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26"/>
      <c r="E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26"/>
      <c r="E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26"/>
      <c r="E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26"/>
      <c r="F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26"/>
      <c r="F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26"/>
      <c r="F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26"/>
      <c r="F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26"/>
      <c r="F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26"/>
      <c r="F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26"/>
      <c r="F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26"/>
      <c r="F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26"/>
      <c r="F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26"/>
      <c r="F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26"/>
      <c r="F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26"/>
      <c r="F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26"/>
      <c r="F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26"/>
      <c r="G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26"/>
      <c r="G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26"/>
      <c r="G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26"/>
      <c r="G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26"/>
      <c r="G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26"/>
      <c r="G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26"/>
      <c r="G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26"/>
      <c r="G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26"/>
      <c r="G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26"/>
      <c r="G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26"/>
      <c r="G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26"/>
      <c r="G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26"/>
      <c r="G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26"/>
      <c r="H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26"/>
      <c r="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26"/>
      <c r="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26"/>
      <c r="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26"/>
      <c r="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26"/>
      <c r="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26"/>
      <c r="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26"/>
      <c r="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26"/>
      <c r="A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26"/>
      <c r="A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26"/>
      <c r="A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26"/>
      <c r="A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26"/>
      <c r="A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26"/>
      <c r="A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26"/>
      <c r="A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26"/>
      <c r="A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26"/>
      <c r="A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26"/>
      <c r="A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26"/>
      <c r="A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26"/>
      <c r="A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26"/>
      <c r="A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26"/>
      <c r="B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26"/>
      <c r="B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26"/>
      <c r="B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26"/>
      <c r="B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26"/>
      <c r="B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26"/>
      <c r="B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26"/>
      <c r="B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26"/>
      <c r="B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26"/>
      <c r="B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26"/>
      <c r="B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26"/>
      <c r="B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26"/>
      <c r="B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26"/>
      <c r="B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26"/>
      <c r="C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26"/>
      <c r="C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26"/>
      <c r="C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26"/>
      <c r="C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26"/>
      <c r="C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26"/>
      <c r="C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26"/>
      <c r="C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26"/>
      <c r="C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26"/>
      <c r="C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26"/>
      <c r="C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26"/>
      <c r="C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26"/>
      <c r="C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26"/>
      <c r="C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26"/>
      <c r="D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26"/>
      <c r="D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26"/>
      <c r="D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26"/>
      <c r="D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26"/>
      <c r="D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26"/>
      <c r="D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26"/>
      <c r="D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26"/>
      <c r="D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26"/>
      <c r="D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26"/>
      <c r="D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26"/>
      <c r="D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26"/>
      <c r="D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26"/>
      <c r="D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26"/>
      <c r="E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26"/>
      <c r="E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26"/>
      <c r="E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26"/>
      <c r="E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26"/>
      <c r="E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26"/>
      <c r="E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26"/>
      <c r="E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26"/>
      <c r="E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26"/>
      <c r="E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26"/>
      <c r="E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26"/>
      <c r="E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26"/>
      <c r="E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26"/>
      <c r="E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26"/>
      <c r="F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26"/>
      <c r="F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26"/>
      <c r="F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26"/>
      <c r="F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26"/>
      <c r="F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26"/>
      <c r="F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26"/>
      <c r="F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26"/>
      <c r="F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26"/>
      <c r="F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26"/>
      <c r="F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26"/>
      <c r="F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26"/>
      <c r="F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26"/>
      <c r="F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26"/>
      <c r="G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26"/>
      <c r="G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26"/>
      <c r="G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26"/>
      <c r="G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26"/>
      <c r="G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26"/>
      <c r="G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26"/>
      <c r="G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26"/>
      <c r="G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26"/>
      <c r="G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26"/>
      <c r="G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26"/>
      <c r="G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26"/>
      <c r="G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26"/>
      <c r="G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26"/>
      <c r="H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26"/>
      <c r="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26"/>
      <c r="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26"/>
      <c r="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26"/>
      <c r="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26"/>
      <c r="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26"/>
      <c r="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26"/>
      <c r="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26"/>
      <c r="A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26"/>
      <c r="A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26"/>
      <c r="A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26"/>
      <c r="A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26"/>
      <c r="A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26"/>
      <c r="A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26"/>
      <c r="A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26"/>
      <c r="A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26"/>
      <c r="A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26"/>
      <c r="A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26"/>
      <c r="A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26"/>
      <c r="A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26"/>
      <c r="A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26"/>
      <c r="B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26"/>
      <c r="B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26"/>
      <c r="B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26"/>
      <c r="B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26"/>
      <c r="B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26"/>
      <c r="B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26"/>
      <c r="B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26"/>
      <c r="B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26"/>
      <c r="B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26"/>
      <c r="B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26"/>
      <c r="B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26"/>
      <c r="B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26"/>
      <c r="B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26"/>
      <c r="C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26"/>
      <c r="C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26"/>
      <c r="C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26"/>
      <c r="C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26"/>
      <c r="C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26"/>
      <c r="C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26"/>
      <c r="C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26"/>
      <c r="C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26"/>
      <c r="C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26"/>
      <c r="C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26"/>
      <c r="C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26"/>
      <c r="C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26"/>
      <c r="C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26"/>
      <c r="D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26"/>
      <c r="D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26"/>
      <c r="D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26"/>
      <c r="D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26"/>
      <c r="D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26"/>
      <c r="D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26"/>
      <c r="D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26"/>
      <c r="D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26"/>
      <c r="D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26"/>
      <c r="D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26"/>
      <c r="D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26"/>
      <c r="D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26"/>
      <c r="D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26"/>
      <c r="E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26"/>
      <c r="E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26"/>
      <c r="E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26"/>
      <c r="E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26"/>
      <c r="E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26"/>
      <c r="E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26"/>
      <c r="E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26"/>
      <c r="E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26"/>
      <c r="E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26"/>
      <c r="E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26"/>
      <c r="E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26"/>
      <c r="E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26"/>
      <c r="E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26"/>
      <c r="F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26"/>
      <c r="F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26"/>
      <c r="F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26"/>
      <c r="F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26"/>
      <c r="F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26"/>
      <c r="F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26"/>
      <c r="F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26"/>
      <c r="F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26"/>
      <c r="F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26"/>
      <c r="F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26"/>
      <c r="F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26"/>
      <c r="F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26"/>
      <c r="F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26"/>
      <c r="G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26"/>
      <c r="G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26"/>
      <c r="G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26"/>
      <c r="G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26"/>
      <c r="G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26"/>
      <c r="G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26"/>
      <c r="G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26"/>
      <c r="G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26"/>
      <c r="G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26"/>
      <c r="G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26"/>
      <c r="G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26"/>
      <c r="G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26"/>
      <c r="G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26"/>
      <c r="H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26"/>
      <c r="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26"/>
      <c r="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26"/>
      <c r="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26"/>
      <c r="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26"/>
      <c r="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26"/>
      <c r="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26"/>
      <c r="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26"/>
      <c r="A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26"/>
      <c r="A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26"/>
      <c r="A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26"/>
      <c r="A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26"/>
      <c r="A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26"/>
      <c r="A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26"/>
      <c r="A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26"/>
      <c r="A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26"/>
      <c r="A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26"/>
      <c r="A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26"/>
      <c r="A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26"/>
      <c r="A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26"/>
      <c r="A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26"/>
      <c r="B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26"/>
      <c r="B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26"/>
      <c r="B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26"/>
      <c r="B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26"/>
      <c r="B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26"/>
      <c r="B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26"/>
      <c r="B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26"/>
      <c r="B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26"/>
      <c r="B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26"/>
      <c r="B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26"/>
      <c r="B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26"/>
      <c r="B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26"/>
      <c r="B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26"/>
      <c r="C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26"/>
      <c r="C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26"/>
      <c r="C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26"/>
      <c r="C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26"/>
      <c r="C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26"/>
      <c r="C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26"/>
      <c r="C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26"/>
      <c r="C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26"/>
      <c r="C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26"/>
      <c r="C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26"/>
      <c r="C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26"/>
      <c r="C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26"/>
      <c r="C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26"/>
      <c r="D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26"/>
      <c r="D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26"/>
      <c r="D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26"/>
      <c r="D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26"/>
      <c r="D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26"/>
      <c r="D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26"/>
      <c r="D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26"/>
      <c r="D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26"/>
      <c r="D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26"/>
      <c r="D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26"/>
      <c r="D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26"/>
      <c r="D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26"/>
      <c r="D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26"/>
      <c r="E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26"/>
      <c r="E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26"/>
      <c r="E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26"/>
      <c r="E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26"/>
      <c r="E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26"/>
      <c r="E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26"/>
      <c r="E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26"/>
      <c r="E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26"/>
      <c r="E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26"/>
      <c r="E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26"/>
      <c r="E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26"/>
      <c r="E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26"/>
      <c r="E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26"/>
      <c r="F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26"/>
      <c r="F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26"/>
      <c r="F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26"/>
      <c r="F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26"/>
      <c r="F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26"/>
      <c r="F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26"/>
      <c r="F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26"/>
      <c r="F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26"/>
      <c r="F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26"/>
      <c r="F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26"/>
      <c r="F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26"/>
      <c r="F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26"/>
      <c r="F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26"/>
      <c r="G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26"/>
      <c r="G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26"/>
      <c r="G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26"/>
      <c r="G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26"/>
      <c r="G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26"/>
      <c r="G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26"/>
      <c r="G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26"/>
      <c r="G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26"/>
      <c r="G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26"/>
      <c r="G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26"/>
      <c r="G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26"/>
      <c r="G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26"/>
      <c r="G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26"/>
      <c r="H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26"/>
      <c r="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26"/>
      <c r="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26"/>
      <c r="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26"/>
      <c r="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26"/>
      <c r="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26"/>
      <c r="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26"/>
      <c r="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26"/>
      <c r="A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26"/>
      <c r="A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26"/>
      <c r="A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26"/>
      <c r="A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26"/>
      <c r="A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26"/>
      <c r="A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26"/>
      <c r="A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26"/>
      <c r="A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26"/>
      <c r="A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26"/>
      <c r="A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26"/>
      <c r="A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26"/>
      <c r="A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26"/>
      <c r="A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26"/>
      <c r="B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26"/>
      <c r="B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26"/>
      <c r="B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26"/>
      <c r="B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26"/>
      <c r="B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26"/>
      <c r="B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26"/>
      <c r="B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26"/>
      <c r="B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26"/>
      <c r="B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26"/>
      <c r="B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26"/>
      <c r="B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26"/>
      <c r="B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26"/>
      <c r="B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26"/>
      <c r="C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26"/>
      <c r="C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26"/>
      <c r="C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26"/>
      <c r="C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26"/>
      <c r="C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26"/>
      <c r="C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26"/>
      <c r="C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26"/>
      <c r="C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26"/>
      <c r="C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26"/>
      <c r="C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26"/>
      <c r="C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26"/>
      <c r="C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26"/>
      <c r="C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26"/>
      <c r="D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26"/>
      <c r="D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26"/>
      <c r="D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26"/>
      <c r="D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26"/>
      <c r="D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26"/>
      <c r="D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26"/>
      <c r="D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26"/>
      <c r="D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26"/>
      <c r="D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26"/>
      <c r="D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26"/>
      <c r="D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26"/>
      <c r="D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26"/>
      <c r="D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26"/>
      <c r="E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26"/>
      <c r="E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26"/>
      <c r="E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26"/>
      <c r="E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26"/>
      <c r="E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26"/>
      <c r="E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26"/>
      <c r="E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26"/>
      <c r="E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26"/>
      <c r="E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26"/>
      <c r="E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26"/>
      <c r="E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26"/>
      <c r="E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26"/>
      <c r="E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26"/>
      <c r="F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26"/>
      <c r="F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26"/>
      <c r="F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26"/>
      <c r="F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26"/>
      <c r="F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26"/>
      <c r="F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26"/>
      <c r="F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26"/>
      <c r="F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26"/>
      <c r="F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26"/>
      <c r="F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26"/>
      <c r="F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26"/>
      <c r="F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26"/>
      <c r="F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26"/>
      <c r="G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26"/>
      <c r="G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26"/>
      <c r="G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26"/>
      <c r="G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26"/>
      <c r="G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26"/>
      <c r="G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26"/>
      <c r="G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26"/>
      <c r="G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26"/>
      <c r="G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26"/>
      <c r="G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26"/>
      <c r="G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26"/>
      <c r="G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26"/>
      <c r="G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26"/>
      <c r="H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26"/>
      <c r="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26"/>
      <c r="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26"/>
      <c r="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26"/>
      <c r="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26"/>
      <c r="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26"/>
      <c r="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26"/>
      <c r="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26"/>
      <c r="A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26"/>
      <c r="A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26"/>
      <c r="A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26"/>
      <c r="A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26"/>
      <c r="A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26"/>
      <c r="A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26"/>
      <c r="A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26"/>
      <c r="A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26"/>
      <c r="A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26"/>
      <c r="A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26"/>
      <c r="A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26"/>
      <c r="A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26"/>
      <c r="A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26"/>
      <c r="B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26"/>
      <c r="B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26"/>
      <c r="B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26"/>
      <c r="B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26"/>
      <c r="B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26"/>
      <c r="B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26"/>
      <c r="B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26"/>
      <c r="B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26"/>
      <c r="B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26"/>
      <c r="B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26"/>
      <c r="B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26"/>
      <c r="B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26"/>
      <c r="B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26"/>
      <c r="C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26"/>
      <c r="C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26"/>
      <c r="C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26"/>
      <c r="C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26"/>
      <c r="C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26"/>
      <c r="C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26"/>
      <c r="C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26"/>
      <c r="C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26"/>
      <c r="C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26"/>
      <c r="C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26"/>
      <c r="C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26"/>
      <c r="C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26"/>
      <c r="C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26"/>
      <c r="D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26"/>
      <c r="D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26"/>
      <c r="D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26"/>
      <c r="D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26"/>
      <c r="D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26"/>
      <c r="D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26"/>
      <c r="D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26"/>
      <c r="D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26"/>
      <c r="D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26"/>
      <c r="D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26"/>
      <c r="D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26"/>
      <c r="D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26"/>
      <c r="D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26"/>
      <c r="E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26"/>
      <c r="E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26"/>
      <c r="E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26"/>
      <c r="E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26"/>
      <c r="E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26"/>
      <c r="E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26"/>
      <c r="E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26"/>
      <c r="E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26"/>
      <c r="E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26"/>
      <c r="E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26"/>
      <c r="E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26"/>
      <c r="E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26"/>
      <c r="E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26"/>
      <c r="F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26"/>
      <c r="F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26"/>
      <c r="F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26"/>
      <c r="F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26"/>
      <c r="F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26"/>
      <c r="F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26"/>
      <c r="F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26"/>
      <c r="F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26"/>
      <c r="F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26"/>
      <c r="F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26"/>
      <c r="F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26"/>
      <c r="F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26"/>
      <c r="F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26"/>
      <c r="G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26"/>
      <c r="G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26"/>
      <c r="G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26"/>
      <c r="G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26"/>
      <c r="G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26"/>
      <c r="G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26"/>
      <c r="G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26"/>
      <c r="G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26"/>
      <c r="G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26"/>
      <c r="G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26"/>
      <c r="G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26"/>
      <c r="G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26"/>
      <c r="G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26"/>
      <c r="H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SUMPRODUCT(OFFSET(貼付け_2025実績,$F241,4,10,1),OFFSET(貼付け_2025実績,$F241,SUM(COLUMN()-COLUMN(貼付け_2025実績)),10,1))*1000</f>
        <v>0</v>
      </c>
      <c r="J241" s="224">
        <f ca="1">SUMPRODUCT(OFFSET(貼付け_2025実績,$F241,4,10,1),OFFSET(貼付け_2025実績,$F241,SUM(COLUMN()-COLUMN(貼付け_2025実績)),10,1))*1000</f>
        <v>0</v>
      </c>
      <c r="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26"/>
      <c r="M241" s="226"/>
      <c r="N241" s="226"/>
      <c r="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26"/>
      <c r="Q241" s="226"/>
      <c r="R241" s="226"/>
      <c r="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26"/>
      <c r="U241" s="226"/>
      <c r="V241" s="226"/>
      <c r="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26"/>
      <c r="Y241" s="226"/>
      <c r="Z241" s="226"/>
      <c r="A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26"/>
      <c r="AC241" s="226"/>
      <c r="AD241" s="226"/>
      <c r="A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26"/>
      <c r="AG241" s="226"/>
      <c r="AH241" s="226"/>
      <c r="A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26"/>
      <c r="AK241" s="226"/>
      <c r="AL241" s="226"/>
      <c r="A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26"/>
      <c r="AO241" s="226"/>
      <c r="AP241" s="226"/>
      <c r="A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26"/>
      <c r="AS241" s="226"/>
      <c r="AT241" s="226"/>
      <c r="A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26"/>
      <c r="AW241" s="226"/>
      <c r="AX241" s="226"/>
      <c r="A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26"/>
      <c r="BA241" s="226"/>
      <c r="BB241" s="226"/>
      <c r="B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26"/>
      <c r="BE241" s="226"/>
      <c r="BF241" s="226"/>
      <c r="B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26"/>
      <c r="BI241" s="226"/>
      <c r="BJ241" s="226"/>
      <c r="B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26"/>
      <c r="BM241" s="226"/>
      <c r="BN241" s="226"/>
      <c r="B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26"/>
      <c r="BQ241" s="226"/>
      <c r="BR241" s="226"/>
      <c r="B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26"/>
      <c r="BU241" s="226"/>
      <c r="BV241" s="226"/>
      <c r="B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26"/>
      <c r="BY241" s="226"/>
      <c r="BZ241" s="226"/>
      <c r="C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26"/>
      <c r="CC241" s="226"/>
      <c r="CD241" s="226"/>
      <c r="C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26"/>
      <c r="CG241" s="226"/>
      <c r="CH241" s="226"/>
      <c r="C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26"/>
      <c r="CK241" s="226"/>
      <c r="CL241" s="226"/>
      <c r="C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26"/>
      <c r="CO241" s="226"/>
      <c r="CP241" s="226"/>
      <c r="C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26"/>
      <c r="CS241" s="226"/>
      <c r="CT241" s="226"/>
      <c r="C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26"/>
      <c r="CW241" s="226"/>
      <c r="CX241" s="226"/>
      <c r="C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26"/>
      <c r="DA241" s="226"/>
      <c r="DB241" s="226"/>
      <c r="D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26"/>
      <c r="DE241" s="226"/>
      <c r="DF241" s="226"/>
      <c r="D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26"/>
      <c r="DI241" s="226"/>
      <c r="DJ241" s="226"/>
      <c r="D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26"/>
      <c r="DM241" s="226"/>
      <c r="DN241" s="226"/>
      <c r="D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26"/>
      <c r="DQ241" s="226"/>
      <c r="DR241" s="226"/>
      <c r="D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26"/>
      <c r="DU241" s="226"/>
      <c r="DV241" s="226"/>
      <c r="D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26"/>
      <c r="DY241" s="226"/>
      <c r="DZ241" s="226"/>
      <c r="E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26"/>
      <c r="EC241" s="226"/>
      <c r="ED241" s="226"/>
      <c r="E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26"/>
      <c r="EG241" s="226"/>
      <c r="EH241" s="226"/>
      <c r="E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26"/>
      <c r="EK241" s="226"/>
      <c r="EL241" s="226"/>
      <c r="E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26"/>
      <c r="EO241" s="226"/>
      <c r="EP241" s="226"/>
      <c r="E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26"/>
      <c r="ES241" s="226"/>
      <c r="ET241" s="226"/>
      <c r="E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26"/>
      <c r="EW241" s="226"/>
      <c r="EX241" s="226"/>
      <c r="E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26"/>
      <c r="FA241" s="226"/>
      <c r="FB241" s="226"/>
      <c r="F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26"/>
      <c r="FE241" s="226"/>
      <c r="FF241" s="226"/>
      <c r="F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26"/>
      <c r="FI241" s="226"/>
      <c r="FJ241" s="226"/>
      <c r="F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26"/>
      <c r="FM241" s="226"/>
      <c r="FN241" s="226"/>
      <c r="F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26"/>
      <c r="FQ241" s="226"/>
      <c r="FR241" s="226"/>
      <c r="F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26"/>
      <c r="FU241" s="226"/>
      <c r="FV241" s="226"/>
      <c r="F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26"/>
      <c r="FY241" s="226"/>
      <c r="FZ241" s="226"/>
      <c r="G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26"/>
      <c r="GC241" s="226"/>
      <c r="GD241" s="226"/>
      <c r="G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26"/>
      <c r="GG241" s="226"/>
      <c r="GH241" s="226"/>
      <c r="G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26"/>
      <c r="GK241" s="226"/>
      <c r="GL241" s="226"/>
      <c r="G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26"/>
      <c r="GO241" s="226"/>
      <c r="GP241" s="226"/>
      <c r="G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26"/>
      <c r="GS241" s="226"/>
      <c r="GT241" s="226"/>
      <c r="G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26"/>
      <c r="GW241" s="226"/>
      <c r="GX241" s="226"/>
      <c r="G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SUMPRODUCT(OFFSET(貼付け_2025実績,$F242,5,10,1),OFFSET(貼付け_2025実績,$F242,SUM(COLUMN()-COLUMN(貼付け_2025実績)),10,1))*1000</f>
        <v>0</v>
      </c>
      <c r="J242" s="224">
        <f ca="1">SUMPRODUCT(OFFSET(貼付け_2025実績,$F242,5,10,1),OFFSET(貼付け_2025実績,$F242,SUM(COLUMN()-COLUMN(貼付け_2025実績)),10,1))*1000</f>
        <v>0</v>
      </c>
      <c r="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226"/>
      <c r="M242" s="226"/>
      <c r="N242" s="226"/>
      <c r="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226"/>
      <c r="Q242" s="226"/>
      <c r="R242" s="226"/>
      <c r="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226"/>
      <c r="U242" s="226"/>
      <c r="V242" s="226"/>
      <c r="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226"/>
      <c r="Y242" s="226"/>
      <c r="Z242" s="226"/>
      <c r="A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226"/>
      <c r="AC242" s="226"/>
      <c r="AD242" s="226"/>
      <c r="A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226"/>
      <c r="AG242" s="226"/>
      <c r="AH242" s="226"/>
      <c r="A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226"/>
      <c r="AK242" s="226"/>
      <c r="AL242" s="226"/>
      <c r="A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226"/>
      <c r="AO242" s="226"/>
      <c r="AP242" s="226"/>
      <c r="A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226"/>
      <c r="AS242" s="226"/>
      <c r="AT242" s="226"/>
      <c r="A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226"/>
      <c r="AW242" s="226"/>
      <c r="AX242" s="226"/>
      <c r="A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226"/>
      <c r="BA242" s="226"/>
      <c r="BB242" s="226"/>
      <c r="B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226"/>
      <c r="BE242" s="226"/>
      <c r="BF242" s="226"/>
      <c r="B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226"/>
      <c r="BI242" s="226"/>
      <c r="BJ242" s="226"/>
      <c r="B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226"/>
      <c r="BM242" s="226"/>
      <c r="BN242" s="226"/>
      <c r="B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226"/>
      <c r="BQ242" s="226"/>
      <c r="BR242" s="226"/>
      <c r="B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226"/>
      <c r="BU242" s="226"/>
      <c r="BV242" s="226"/>
      <c r="B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226"/>
      <c r="BY242" s="226"/>
      <c r="BZ242" s="226"/>
      <c r="C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226"/>
      <c r="CC242" s="226"/>
      <c r="CD242" s="226"/>
      <c r="C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226"/>
      <c r="CG242" s="226"/>
      <c r="CH242" s="226"/>
      <c r="C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226"/>
      <c r="CK242" s="226"/>
      <c r="CL242" s="226"/>
      <c r="C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226"/>
      <c r="CO242" s="226"/>
      <c r="CP242" s="226"/>
      <c r="C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226"/>
      <c r="CS242" s="226"/>
      <c r="CT242" s="226"/>
      <c r="C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226"/>
      <c r="CW242" s="226"/>
      <c r="CX242" s="226"/>
      <c r="C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226"/>
      <c r="DA242" s="226"/>
      <c r="DB242" s="226"/>
      <c r="D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226"/>
      <c r="DE242" s="226"/>
      <c r="DF242" s="226"/>
      <c r="D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226"/>
      <c r="DI242" s="226"/>
      <c r="DJ242" s="226"/>
      <c r="D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226"/>
      <c r="DM242" s="226"/>
      <c r="DN242" s="226"/>
      <c r="D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226"/>
      <c r="DQ242" s="226"/>
      <c r="DR242" s="226"/>
      <c r="D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226"/>
      <c r="DU242" s="226"/>
      <c r="DV242" s="226"/>
      <c r="D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226"/>
      <c r="DY242" s="226"/>
      <c r="DZ242" s="226"/>
      <c r="E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226"/>
      <c r="EC242" s="226"/>
      <c r="ED242" s="226"/>
      <c r="E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226"/>
      <c r="EG242" s="226"/>
      <c r="EH242" s="226"/>
      <c r="E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226"/>
      <c r="EK242" s="226"/>
      <c r="EL242" s="226"/>
      <c r="E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226"/>
      <c r="EO242" s="226"/>
      <c r="EP242" s="226"/>
      <c r="E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226"/>
      <c r="ES242" s="226"/>
      <c r="ET242" s="226"/>
      <c r="E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226"/>
      <c r="EW242" s="226"/>
      <c r="EX242" s="226"/>
      <c r="E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226"/>
      <c r="FA242" s="226"/>
      <c r="FB242" s="226"/>
      <c r="F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226"/>
      <c r="FE242" s="226"/>
      <c r="FF242" s="226"/>
      <c r="F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226"/>
      <c r="FI242" s="226"/>
      <c r="FJ242" s="226"/>
      <c r="F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226"/>
      <c r="FM242" s="226"/>
      <c r="FN242" s="226"/>
      <c r="F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226"/>
      <c r="FQ242" s="226"/>
      <c r="FR242" s="226"/>
      <c r="F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226"/>
      <c r="FU242" s="226"/>
      <c r="FV242" s="226"/>
      <c r="F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226"/>
      <c r="FY242" s="226"/>
      <c r="FZ242" s="226"/>
      <c r="G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226"/>
      <c r="GC242" s="226"/>
      <c r="GD242" s="226"/>
      <c r="G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226"/>
      <c r="GG242" s="226"/>
      <c r="GH242" s="226"/>
      <c r="G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226"/>
      <c r="GK242" s="226"/>
      <c r="GL242" s="226"/>
      <c r="G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226"/>
      <c r="GO242" s="226"/>
      <c r="GP242" s="226"/>
      <c r="G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226"/>
      <c r="GS242" s="226"/>
      <c r="GT242" s="226"/>
      <c r="G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226"/>
      <c r="GW242" s="226"/>
      <c r="GX242" s="226"/>
      <c r="G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26"/>
      <c r="M243" s="226"/>
      <c r="N243" s="226"/>
      <c r="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26"/>
      <c r="Q243" s="226"/>
      <c r="R243" s="226"/>
      <c r="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26"/>
      <c r="U243" s="226"/>
      <c r="V243" s="226"/>
      <c r="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26"/>
      <c r="Y243" s="226"/>
      <c r="Z243" s="226"/>
      <c r="A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26"/>
      <c r="AC243" s="226"/>
      <c r="AD243" s="226"/>
      <c r="A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26"/>
      <c r="AG243" s="226"/>
      <c r="AH243" s="226"/>
      <c r="A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26"/>
      <c r="AK243" s="226"/>
      <c r="AL243" s="226"/>
      <c r="A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26"/>
      <c r="AO243" s="226"/>
      <c r="AP243" s="226"/>
      <c r="A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26"/>
      <c r="AS243" s="226"/>
      <c r="AT243" s="226"/>
      <c r="A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26"/>
      <c r="AW243" s="226"/>
      <c r="AX243" s="226"/>
      <c r="A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26"/>
      <c r="BA243" s="226"/>
      <c r="BB243" s="226"/>
      <c r="B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26"/>
      <c r="BE243" s="226"/>
      <c r="BF243" s="226"/>
      <c r="B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26"/>
      <c r="BI243" s="226"/>
      <c r="BJ243" s="226"/>
      <c r="B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26"/>
      <c r="BM243" s="226"/>
      <c r="BN243" s="226"/>
      <c r="B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26"/>
      <c r="BQ243" s="226"/>
      <c r="BR243" s="226"/>
      <c r="B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26"/>
      <c r="BU243" s="226"/>
      <c r="BV243" s="226"/>
      <c r="B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26"/>
      <c r="BY243" s="226"/>
      <c r="BZ243" s="226"/>
      <c r="C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26"/>
      <c r="CC243" s="226"/>
      <c r="CD243" s="226"/>
      <c r="C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26"/>
      <c r="CG243" s="226"/>
      <c r="CH243" s="226"/>
      <c r="C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26"/>
      <c r="CK243" s="226"/>
      <c r="CL243" s="226"/>
      <c r="C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26"/>
      <c r="CO243" s="226"/>
      <c r="CP243" s="226"/>
      <c r="C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26"/>
      <c r="CS243" s="226"/>
      <c r="CT243" s="226"/>
      <c r="C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26"/>
      <c r="CW243" s="226"/>
      <c r="CX243" s="226"/>
      <c r="C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26"/>
      <c r="DA243" s="226"/>
      <c r="DB243" s="226"/>
      <c r="D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26"/>
      <c r="DE243" s="226"/>
      <c r="DF243" s="226"/>
      <c r="D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26"/>
      <c r="DI243" s="226"/>
      <c r="DJ243" s="226"/>
      <c r="D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26"/>
      <c r="DM243" s="226"/>
      <c r="DN243" s="226"/>
      <c r="D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26"/>
      <c r="DQ243" s="226"/>
      <c r="DR243" s="226"/>
      <c r="D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26"/>
      <c r="DU243" s="226"/>
      <c r="DV243" s="226"/>
      <c r="D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26"/>
      <c r="DY243" s="226"/>
      <c r="DZ243" s="226"/>
      <c r="E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26"/>
      <c r="EC243" s="226"/>
      <c r="ED243" s="226"/>
      <c r="E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26"/>
      <c r="EG243" s="226"/>
      <c r="EH243" s="226"/>
      <c r="E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26"/>
      <c r="EK243" s="226"/>
      <c r="EL243" s="226"/>
      <c r="E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26"/>
      <c r="EO243" s="226"/>
      <c r="EP243" s="226"/>
      <c r="E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26"/>
      <c r="ES243" s="226"/>
      <c r="ET243" s="226"/>
      <c r="E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26"/>
      <c r="EW243" s="226"/>
      <c r="EX243" s="226"/>
      <c r="E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26"/>
      <c r="FA243" s="226"/>
      <c r="FB243" s="226"/>
      <c r="F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26"/>
      <c r="FE243" s="226"/>
      <c r="FF243" s="226"/>
      <c r="F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26"/>
      <c r="FI243" s="226"/>
      <c r="FJ243" s="226"/>
      <c r="F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26"/>
      <c r="FM243" s="226"/>
      <c r="FN243" s="226"/>
      <c r="F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26"/>
      <c r="FQ243" s="226"/>
      <c r="FR243" s="226"/>
      <c r="F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26"/>
      <c r="FU243" s="226"/>
      <c r="FV243" s="226"/>
      <c r="F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26"/>
      <c r="FY243" s="226"/>
      <c r="FZ243" s="226"/>
      <c r="G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26"/>
      <c r="GC243" s="226"/>
      <c r="GD243" s="226"/>
      <c r="G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26"/>
      <c r="GG243" s="226"/>
      <c r="GH243" s="226"/>
      <c r="G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26"/>
      <c r="GK243" s="226"/>
      <c r="GL243" s="226"/>
      <c r="G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26"/>
      <c r="GO243" s="226"/>
      <c r="GP243" s="226"/>
      <c r="G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26"/>
      <c r="GS243" s="226"/>
      <c r="GT243" s="226"/>
      <c r="G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26"/>
      <c r="GW243" s="226"/>
      <c r="GX243" s="226"/>
      <c r="G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26"/>
      <c r="HA243" s="226"/>
      <c r="HB243" s="226"/>
      <c r="IE243" s="219"/>
      <c r="IF243" s="219"/>
      <c r="IG243" s="219"/>
      <c r="IH243" s="219"/>
    </row>
    <row r="244" spans="1:242" s="193" customFormat="1" ht="20.100000000000001" hidden="1" customHeight="1">
      <c r="A244" s="214"/>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c r="GY244" s="197"/>
      <c r="GZ244" s="197"/>
      <c r="HA244" s="197"/>
      <c r="HB244" s="197"/>
      <c r="HC244" s="197"/>
      <c r="HD244" s="197"/>
      <c r="HE244" s="197"/>
      <c r="HF244" s="197"/>
      <c r="HG244" s="197"/>
      <c r="HH244" s="197"/>
      <c r="HI244" s="197"/>
      <c r="HJ244" s="197"/>
      <c r="HK244" s="197"/>
      <c r="IE244" s="213"/>
      <c r="IF244" s="213"/>
      <c r="IG244" s="213"/>
      <c r="IH244" s="213"/>
    </row>
    <row r="245" spans="1:242" ht="20.100000000000001" hidden="1" customHeight="1">
      <c r="A245" s="201" t="s">
        <v>4314</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row>
    <row r="246" spans="1:242" ht="20.100000000000001" hidden="1" customHeight="1" thickBot="1">
      <c r="B246" s="645" t="s">
        <v>4315</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2025</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2025年度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D248-1&amp;"/"&amp;D248</f>
        <v>2024/2025</v>
      </c>
      <c r="D249" s="655" t="str">
        <f>""</f>
        <v/>
      </c>
      <c r="E249" s="775" t="str">
        <f t="shared" ref="E249:AJ249" ca="1" si="97">OFFSET(A1_原単位2024,6,E$247+2)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OFFSET(A1_原単位2024,6,O$247+2)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OFFSET(A1_原単位2024,6,AK$247+2)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IFERROR(OFFSET(貼付け_2025実績,5,E248+1),"")&amp;""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IFERROR(OFFSET(貼付け_2025実績,5,O248+1),"")&amp;""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IFERROR(OFFSET(貼付け_2025実績,5,AK248+1),"")&amp;""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D248-1&amp;"&amp;"&amp;D248</f>
        <v>2024&amp;2025</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IF(OFFSET(貼付け_2025実績,2,12)="■",BD249,IFERROR(INDEX($BD249:$DA249,MATCH(E250,$BD249:$DA249,0)),""))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IF(OFFSET(貼付け_2025実績,2,12)="■",BN249,IFERROR(INDEX($BD249:$DA249,MATCH(O250,$BD249:$DA249,0)),""))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IF(OFFSET(貼付け_2025実績,2,12)="■",CJ249,IFERROR(INDEX($BD249:$DA249,MATCH(AK250,$BD249:$DA249,0)),""))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OFFSET(A1_名称2025,E$247+2,$D252)&amp;""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OFFSET(A1_名称2025,O$247+2,$D252)&amp;""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OFFSET(A1_名称2025,AK$247+2,$D252)&amp;""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IFERROR(OFFSET(貼付け_2025実績,$D254,E253+1)&amp;"","")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IFERROR(OFFSET(貼付け_2025実績,$D254,O253+1)&amp;"","")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IFERROR(OFFSET(貼付け_2025実績,$D254,AK253+1)&amp;"","")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IFERROR(OFFSET(貼付け_2025実績,$D255,E253),"")&amp;""</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IFERROR(OFFSET(貼付け_2025実績,$D255,O253),"")&amp;""</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IFERROR(OFFSET(貼付け_2025実績,$D255,AK253),"")&amp;""</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3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IFERROR(OFFSET(A1_集計2025,$D256,E253),"")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IFERROR(OFFSET(A1_集計2025,$D256,O253),"")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IFERROR(OFFSET(A1_集計2025,$D256,AK253),"")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IFERROR(OFFSET(貼付け_2025実績,$D257,E253),"")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IFERROR(OFFSET(貼付け_2025実績,$D257,O253),"")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IFERROR(OFFSET(貼付け_2025実績,$D257,AK253),"")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IFERROR(1-(E258/OFFSET(A1_原単位2024,$D259,E$247+2)),"")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IFERROR(1-(AK258/OFFSET(A1_原単位2024,$D259,AK$247+2)),"")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2025</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2025年度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D260-1&amp;"/"&amp;D260</f>
        <v>2024/2025</v>
      </c>
      <c r="D261" s="655" t="str">
        <f>""</f>
        <v/>
      </c>
      <c r="E261" s="775" t="str">
        <f t="shared" ref="E261:AJ261" ca="1" si="118">OFFSET(A1_原単位2024,18,E$247+2)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OFFSET(A1_原単位2024,18,O$247+2)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OFFSET(A1_原単位2024,18,AK$247+2)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IFERROR(OFFSET(貼付け_2025実績,5,E260+1),"")&amp;""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IFERROR(OFFSET(貼付け_2025実績,5,O260+1),"")&amp;""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IFERROR(OFFSET(貼付け_2025実績,5,AK260+1),"")&amp;""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D260-1&amp;"&amp;"&amp;D260</f>
        <v>2024&amp;2025</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IF(OFFSET(貼付け_2025実績,2,12)="■",BD261,IFERROR(INDEX($BD261:$DA261,MATCH(E262,$BD261:$DA261,0)),""))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IF(OFFSET(貼付け_2025実績,2,12)="■",BN261,IFERROR(INDEX($BD261:$DA261,MATCH(O262,$BD261:$DA261,0)),""))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IF(OFFSET(貼付け_2025実績,2,12)="■",CJ261,IFERROR(INDEX($BD261:$DA261,MATCH(AK262,$BD261:$DA261,0)),""))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ca="1">OFFSET(A1_名称2025,E$247+2,$D264)&amp;""</f>
        <v/>
      </c>
      <c r="F264" s="662" t="str">
        <f t="shared" ref="F264:AJ264" ca="1" si="124">OFFSET(A1_名称2025,F$247+2,$D264)&amp;""</f>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OFFSET(A1_名称2025,O$247+2,$D264)&amp;""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OFFSET(A1_名称2025,AK$247+2,$D264)&amp;""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IFERROR(OFFSET(貼付け_2025実績,$D266,E265+1)&amp;"","")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IFERROR(OFFSET(貼付け_2025実績,$D266,O265+1)&amp;"","")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IFERROR(OFFSET(貼付け_2025実績,$D266,AK265+1)&amp;"","")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IFERROR(OFFSET(貼付け_2025実績,$D267,E265),"")&amp;""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IFERROR(OFFSET(貼付け_2025実績,$D267,O265),"")&amp;""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IFERROR(OFFSET(貼付け_2025実績,$D267,AK265),"")&amp;""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IFERROR(OFFSET(A1_集計2025,$D268,E265),"")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IFERROR(OFFSET(A1_集計2025,$D268,O265),"")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IFERROR(OFFSET(A1_集計2025,$D268,AK265),"")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IFERROR(OFFSET(貼付け_2025実績,$D269,E265),"")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IFERROR(OFFSET(貼付け_2025実績,$D269,O265),"")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IFERROR(OFFSET(貼付け_2025実績,$D269,AK265),"")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IFERROR(1-(E270/OFFSET(A1_原単位2024,$D271,E$247+2)),"")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IFERROR(1-(AK270/OFFSET(A1_原単位2024,$D271,AK$247+2)),"")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2025</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2025年度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D272-1&amp;"/"&amp;D272</f>
        <v>2024/2025</v>
      </c>
      <c r="D273" s="655" t="str">
        <f>""</f>
        <v/>
      </c>
      <c r="E273" s="775" t="str">
        <f t="shared" ref="E273:AJ273" ca="1" si="139">OFFSET(A1_原単位2024,30,E$247+2)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OFFSET(A1_原単位2024,30,O$247+2)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OFFSET(A1_原単位2024,30,AK$247+2)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IFERROR(OFFSET(貼付け_2025実績,5,E272+1),"")&amp;""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IFERROR(OFFSET(貼付け_2025実績,5,O272+1),"")&amp;""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IFERROR(OFFSET(貼付け_2025実績,5,AK272+1),"")&amp;""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D272-1&amp;"&amp;"&amp;D272</f>
        <v>2024&amp;2025</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IF(OFFSET(貼付け_2025実績,2,12)="■",BD273,IFERROR(INDEX($BD273:$DA273,MATCH(E274,$BD273:$DA273,0)),""))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IF(OFFSET(貼付け_2025実績,2,12)="■",BN273,IFERROR(INDEX($BD273:$DA273,MATCH(O274,$BD273:$DA273,0)),""))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IF(OFFSET(貼付け_2025実績,2,12)="■",CJ273,IFERROR(INDEX($BD273:$DA273,MATCH(AK274,$BD273:$DA273,0)),""))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OFFSET(A1_名称2025,E$247+2,$D276)&amp;""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OFFSET(A1_名称2025,O$247+2,$D276)&amp;""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OFFSET(A1_名称2025,AK$247+2,$D276)&amp;""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IFERROR(OFFSET(貼付け_2025実績,$D278,E277+1)&amp;"","")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IFERROR(OFFSET(貼付け_2025実績,$D278,O277+1)&amp;"","")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IFERROR(OFFSET(貼付け_2025実績,$D278,AK277+1)&amp;"","")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IFERROR(OFFSET(貼付け_2025実績,$D279,E277),"")&amp;""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IFERROR(OFFSET(貼付け_2025実績,$D279,O277),"")&amp;""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IFERROR(OFFSET(貼付け_2025実績,$D279,AK277),"")&amp;""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IFERROR(OFFSET(A1_集計2025,$D280,E277),"")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IFERROR(OFFSET(A1_集計2025,$D280,O277),"")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IFERROR(OFFSET(A1_集計2025,$D280,AK277),"")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IFERROR(OFFSET(貼付け_2025実績,$D281,E277),"")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IFERROR(OFFSET(貼付け_2025実績,$D281,O277),"")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IFERROR(OFFSET(貼付け_2025実績,$D281,AK277),"")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IFERROR(1-(E282/OFFSET(A1_原単位2024,$D283,E$247+2)),"")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IFERROR(1-(AK282/OFFSET(A1_原単位2024,$D283,AK$247+2)),"")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2025</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2025年度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D284-1&amp;"/"&amp;D284</f>
        <v>2024/2025</v>
      </c>
      <c r="D285" s="655" t="str">
        <f>""</f>
        <v/>
      </c>
      <c r="E285" s="775" t="str">
        <f t="shared" ref="E285:AJ285" ca="1" si="160">OFFSET(A1_原単位2024,42,E$247+2)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OFFSET(A1_原単位2024,42,O$247+2)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OFFSET(A1_原単位2024,42,AK$247+2)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IFERROR(OFFSET(貼付け_2025実績,5,E284+1),"")&amp;""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IFERROR(OFFSET(貼付け_2025実績,5,O284+1),"")&amp;""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IFERROR(OFFSET(貼付け_2025実績,5,AK284+1),"")&amp;""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D284-1&amp;"&amp;"&amp;D284</f>
        <v>2024&amp;2025</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IF(OFFSET(貼付け_2025実績,2,12)="■",BD285,IFERROR(INDEX($BD285:$DA285,MATCH(E286,$BD285:$DA285,0)),""))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IF(OFFSET(貼付け_2025実績,2,12)="■",BN285,IFERROR(INDEX($BD285:$DA285,MATCH(O286,$BD285:$DA285,0)),""))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IF(OFFSET(貼付け_2025実績,2,12)="■",CJ285,IFERROR(INDEX($BD285:$DA285,MATCH(AK286,$BD285:$DA285,0)),""))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OFFSET(A1_名称2025,E$247+2,$D288)&amp;""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OFFSET(A1_名称2025,O$247+2,$D288)&amp;""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OFFSET(A1_名称2025,AK$247+2,$D288)&amp;""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IFERROR(OFFSET(貼付け_2025実績,$D290,E289+1)&amp;"","")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IFERROR(OFFSET(貼付け_2025実績,$D290,O289+1)&amp;"","")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IFERROR(OFFSET(貼付け_2025実績,$D290,AK289+1)&amp;"","")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IFERROR(OFFSET(貼付け_2025実績,$D291,E289),"")&amp;""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IFERROR(OFFSET(貼付け_2025実績,$D291,O289),"")&amp;""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IFERROR(OFFSET(貼付け_2025実績,$D291,AK289),"")&amp;""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IFERROR(OFFSET(A1_集計2025,$D292,E289),"")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IFERROR(OFFSET(A1_集計2025,$D292,O289),"")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IFERROR(OFFSET(A1_集計2025,$D292,AK289),"")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IFERROR(OFFSET(貼付け_2025実績,$D293,E289),"")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IFERROR(OFFSET(貼付け_2025実績,$D293,O289),"")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IFERROR(OFFSET(貼付け_2025実績,$D293,AK289),"")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t="str">
        <f ca="1">IFERROR(OFFSET(A1_集計2025,6,#REF!+2),"")</f>
        <v/>
      </c>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IFERROR(1-(E294/OFFSET(A1_原単位2024,$D295,E$247+2)),"")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IFERROR(1-(AK294/OFFSET(A1_原単位2024,$D295,AK$247+2)),"")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3.5" hidden="1" customHeight="1">
      <c r="A296" s="179">
        <v>50</v>
      </c>
      <c r="B296" s="664" t="s">
        <v>4297</v>
      </c>
      <c r="C296" s="1092" t="s">
        <v>4316</v>
      </c>
      <c r="D296" s="1093"/>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9.5" hidden="1" customHeight="1" thickBot="1">
      <c r="A297" s="179">
        <v>51</v>
      </c>
      <c r="B297" s="666" t="s">
        <v>4055</v>
      </c>
      <c r="C297" s="1094"/>
      <c r="D297" s="1095"/>
      <c r="E297" s="667"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idden="1">
      <c r="A298" s="179">
        <v>52</v>
      </c>
    </row>
    <row r="299" spans="1:242" ht="18.600000000000001" hidden="1" thickBot="1">
      <c r="A299" s="179">
        <v>53</v>
      </c>
      <c r="B299" s="1081" t="s">
        <v>4303</v>
      </c>
      <c r="C299" s="1082"/>
      <c r="D299" s="1083"/>
      <c r="E299" s="669" t="str">
        <f t="shared" ref="E299:AJ299" ca="1" si="180">IF(E253="",OFFSET(A1_原単位2024,53,E247+2),IFERROR(OFFSET(貼付け_2025実績,6,E253+1)&amp;"",""))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IF(AK253="",OFFSET(A1_原単位2024,53,AK247+2),IFERROR(OFFSET(貼付け_2025実績,6,AK253+1)&amp;"",""))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98"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99"/>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99"/>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100"/>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98" t="s">
        <v>4305</v>
      </c>
      <c r="C304" s="672" t="s">
        <v>4054</v>
      </c>
      <c r="D304" s="673"/>
      <c r="E304" s="674" t="str">
        <f t="shared" ref="E304:AJ304" ca="1" si="186">OFFSET(A1_原単位2024,9,E247+2)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OFFSET(A1_原単位2024,9,AK247+2)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99"/>
      <c r="C305" s="676" t="s">
        <v>4055</v>
      </c>
      <c r="D305" s="677"/>
      <c r="E305" s="642" t="str">
        <f t="shared" ref="E305:AJ305" ca="1" si="188">OFFSET(A1_原単位2024,9+12,E247+2)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OFFSET(A1_原単位2024,9+12,AK247+2)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99"/>
      <c r="C306" s="676" t="s">
        <v>4056</v>
      </c>
      <c r="D306" s="677"/>
      <c r="E306" s="642" t="str">
        <f t="shared" ref="E306:AJ306" ca="1" si="190">OFFSET(A1_原単位2024,9+24,E247+2)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OFFSET(A1_原単位2024,9+24,AK247+2)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100"/>
      <c r="C307" s="679" t="s">
        <v>4057</v>
      </c>
      <c r="D307" s="682"/>
      <c r="E307" s="680" t="str">
        <f t="shared" ref="E307:AJ307" ca="1" si="192">OFFSET(A1_原単位2024,9+36,E247+2)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OFFSET(A1_原単位2024,9+36,AK247+2)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99"/>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99"/>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98"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99"/>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99"/>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100"/>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conditionalFormatting sqref="HL1:HM6">
    <cfRule type="duplicateValues" dxfId="103"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結果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4317</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4318</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4942</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4585</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698" t="s">
        <v>4319</v>
      </c>
      <c r="C8" s="193"/>
      <c r="D8" s="193"/>
      <c r="E8" s="699"/>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s="197" customFormat="1" ht="69.900000000000006" customHeight="1" thickBot="1">
      <c r="B9" s="257" t="s">
        <v>4320</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OFFSET(A1_原単位2025,6,$HL10+2)</f>
        <v/>
      </c>
      <c r="HN10" s="749" t="str">
        <f ca="1">OFFSET(A1_原単位2026,5,HL10+2)&amp;""</f>
        <v/>
      </c>
      <c r="HO10" s="750" t="str">
        <f t="shared" ref="HO10:HO59" ca="1" si="50">IF(HN10="","",HYPERLINK("#"&amp;IE10,"&lt;"&amp;IE10&amp;"&gt;"))</f>
        <v/>
      </c>
      <c r="HP10" s="751" t="str">
        <f t="shared" ref="HP10:HP41" ca="1" si="51">IF(HN10="","",HYPERLINK("#"&amp;OFFSET(A1_原単位2026,66,$HL10+2),OFFSET(A1_原単位2026,62,$HL10+2)))</f>
        <v/>
      </c>
      <c r="HQ10" s="748" t="str">
        <f t="shared" ref="HQ10:HQ41" ca="1" si="52">OFFSET(A1_原単位2025,18,$HL10+2)</f>
        <v/>
      </c>
      <c r="HR10" s="749" t="str">
        <f ca="1">OFFSET(A1_原単位2026,17,HL10+2)&amp;""</f>
        <v/>
      </c>
      <c r="HS10" s="750" t="str">
        <f t="shared" ref="HS10:HS59" ca="1" si="53">IF(HR10="","",HYPERLINK("#"&amp;IF10,"&lt;"&amp;IF10&amp;"&gt;"))</f>
        <v/>
      </c>
      <c r="HT10" s="752" t="str">
        <f t="shared" ref="HT10:HT41" ca="1" si="54">IF(HR10="","",HYPERLINK("#"&amp;OFFSET(A1_原単位2026,67,$HL10+2),OFFSET(A1_原単位2026,63,$HL10+2)))</f>
        <v/>
      </c>
      <c r="HU10" s="748" t="str">
        <f t="shared" ref="HU10:HU41" ca="1" si="55">OFFSET(A1_原単位2025,30,$HL10+2)</f>
        <v/>
      </c>
      <c r="HV10" s="749" t="str">
        <f ca="1">OFFSET(A1_原単位2026,29,HL10+2)&amp;""</f>
        <v/>
      </c>
      <c r="HW10" s="753" t="str">
        <f t="shared" ref="HW10:HW59" ca="1" si="56">IF(HV10="","",HYPERLINK("#"&amp;IG10,"&lt;"&amp;IG10&amp;"&gt;"))</f>
        <v/>
      </c>
      <c r="HX10" s="752" t="str">
        <f t="shared" ref="HX10:HX41" ca="1" si="57">IF(HV10="","",HYPERLINK("#"&amp;OFFSET(A1_原単位2026,68,$HL10+2),OFFSET(A1_原単位2026,64,$HL10+2)))</f>
        <v/>
      </c>
      <c r="HY10" s="748" t="str">
        <f t="shared" ref="HY10:HY41" ca="1" si="58">OFFSET(A1_原単位2025,42,$HL10+2)</f>
        <v/>
      </c>
      <c r="HZ10" s="749" t="str">
        <f ca="1">OFFSET(A1_原単位2026,41,HL10+2)&amp;""</f>
        <v/>
      </c>
      <c r="IA10" s="753" t="str">
        <f t="shared" ref="IA10:IA59" ca="1" si="59">IF(HZ10="","",HYPERLINK("#"&amp;IH10,"&lt;"&amp;IH10&amp;"&gt;"))</f>
        <v/>
      </c>
      <c r="IB10" s="754" t="str">
        <f t="shared" ref="IB10:IB41" ca="1" si="60">IF(HZ10="","",HYPERLINK("#"&amp;OFFSET(A1_原単位2026,69,$HL10+2),OFFSET(A1_原単位2026,65,$HL10+2)))</f>
        <v/>
      </c>
      <c r="IE10" s="244" t="str">
        <f t="shared" ref="IE10:IE41" ca="1" si="61">IF($HN10="","",ADDRESS(ROW(貼付け_2026実績)+5,OFFSET(A1_原単位2026,7,$HL10+2)+COLUMN(貼付け_2026実績)+1,4))</f>
        <v/>
      </c>
      <c r="IF10" s="244" t="str">
        <f t="shared" ref="IF10:IF41" ca="1" si="62">IF($HR10="","",ADDRESS(ROW(貼付け_2026実績)+5,OFFSET(A1_原単位2026,19,$HL10+2)+COLUMN(貼付け_2026実績)+1,4))</f>
        <v/>
      </c>
      <c r="IG10" s="244" t="str">
        <f t="shared" ref="IG10:IG41" ca="1" si="63">IF($HV10="","",ADDRESS(ROW(貼付け_2026実績)+5,OFFSET(A1_原単位2026,31,$HL10+2)+COLUMN(貼付け_2026実績)+1,4))</f>
        <v/>
      </c>
      <c r="IH10" s="244" t="str">
        <f t="shared" ref="IH10:IH41" ca="1" si="64">IF($HZ10="","",ADDRESS(ROW(貼付け_2026実績)+5,OFFSET(A1_原単位2026,43,$HL10+2)+COLUMN(貼付け_2026実績)+1,4))</f>
        <v/>
      </c>
    </row>
    <row r="11" spans="1:242" s="197" customFormat="1" ht="19.8">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IF(COUNTIF(HN$10:HN10,OFFSET(A1_原単位2026,5,HL11+2))&gt;=1,"",OFFSET(A1_原単位2026,5,HL11+2)&amp;"")</f>
        <v/>
      </c>
      <c r="HO11" s="757" t="str">
        <f t="shared" ca="1" si="50"/>
        <v/>
      </c>
      <c r="HP11" s="758" t="str">
        <f t="shared" ca="1" si="51"/>
        <v/>
      </c>
      <c r="HQ11" s="755" t="str">
        <f t="shared" ca="1" si="52"/>
        <v/>
      </c>
      <c r="HR11" s="756" t="str">
        <f ca="1">IF(COUNTIF(HR$10:HR10,OFFSET(A1_原単位2026,17,HL11+2))&gt;=1,"",OFFSET(A1_原単位2026,17,HL11+2)&amp;"")</f>
        <v/>
      </c>
      <c r="HS11" s="759" t="str">
        <f t="shared" ca="1" si="53"/>
        <v/>
      </c>
      <c r="HT11" s="760" t="str">
        <f t="shared" ca="1" si="54"/>
        <v/>
      </c>
      <c r="HU11" s="755" t="str">
        <f t="shared" ca="1" si="55"/>
        <v/>
      </c>
      <c r="HV11" s="756" t="str">
        <f ca="1">IF(COUNTIF(HV$10:HV10,OFFSET(A1_原単位2026,29,HL11+2))&gt;=1,"",OFFSET(A1_原単位2026,29,HL11+2)&amp;"")</f>
        <v/>
      </c>
      <c r="HW11" s="759" t="str">
        <f t="shared" ca="1" si="56"/>
        <v/>
      </c>
      <c r="HX11" s="760" t="str">
        <f t="shared" ca="1" si="57"/>
        <v/>
      </c>
      <c r="HY11" s="755" t="str">
        <f t="shared" ca="1" si="58"/>
        <v/>
      </c>
      <c r="HZ11" s="756" t="str">
        <f ca="1">IF(COUNTIF(HZ$10:HZ10,OFFSET(A1_原単位2026,41,HL11+2))&gt;=1,"",OFFSET(A1_原単位2026,41,HL11+2)&amp;"")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IF(COUNTIF(HN$10:HN11,OFFSET(A1_原単位2026,5,HL12+2))&gt;=1,"",OFFSET(A1_原単位2026,5,HL12+2)&amp;"")</f>
        <v/>
      </c>
      <c r="HO12" s="757" t="str">
        <f t="shared" ca="1" si="50"/>
        <v/>
      </c>
      <c r="HP12" s="758" t="str">
        <f t="shared" ca="1" si="51"/>
        <v/>
      </c>
      <c r="HQ12" s="755" t="str">
        <f t="shared" ca="1" si="52"/>
        <v/>
      </c>
      <c r="HR12" s="756" t="str">
        <f ca="1">IF(COUNTIF(HR$10:HR11,OFFSET(A1_原単位2026,17,HL12+2))&gt;=1,"",OFFSET(A1_原単位2026,17,HL12+2)&amp;"")</f>
        <v/>
      </c>
      <c r="HS12" s="759" t="str">
        <f t="shared" ca="1" si="53"/>
        <v/>
      </c>
      <c r="HT12" s="760" t="str">
        <f t="shared" ca="1" si="54"/>
        <v/>
      </c>
      <c r="HU12" s="755" t="str">
        <f t="shared" ca="1" si="55"/>
        <v/>
      </c>
      <c r="HV12" s="756" t="str">
        <f ca="1">IF(COUNTIF(HV$10:HV11,OFFSET(A1_原単位2026,29,HL12+2))&gt;=1,"",OFFSET(A1_原単位2026,29,HL12+2)&amp;"")</f>
        <v/>
      </c>
      <c r="HW12" s="759" t="str">
        <f t="shared" ca="1" si="56"/>
        <v/>
      </c>
      <c r="HX12" s="760" t="str">
        <f t="shared" ca="1" si="57"/>
        <v/>
      </c>
      <c r="HY12" s="755" t="str">
        <f t="shared" ca="1" si="58"/>
        <v/>
      </c>
      <c r="HZ12" s="756" t="str">
        <f ca="1">IF(COUNTIF(HZ$10:HZ11,OFFSET(A1_原単位2026,41,HL12+2))&gt;=1,"",OFFSET(A1_原単位2026,41,HL12+2)&amp;"")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IF(COUNTIF(HN$10:HN12,OFFSET(A1_原単位2026,5,HL13+2))&gt;=1,"",OFFSET(A1_原単位2026,5,HL13+2)&amp;"")</f>
        <v/>
      </c>
      <c r="HO13" s="757" t="str">
        <f t="shared" ca="1" si="50"/>
        <v/>
      </c>
      <c r="HP13" s="758" t="str">
        <f t="shared" ca="1" si="51"/>
        <v/>
      </c>
      <c r="HQ13" s="755" t="str">
        <f t="shared" ca="1" si="52"/>
        <v/>
      </c>
      <c r="HR13" s="756" t="str">
        <f ca="1">IF(COUNTIF(HR$10:HR12,OFFSET(A1_原単位2026,17,HL13+2))&gt;=1,"",OFFSET(A1_原単位2026,17,HL13+2)&amp;"")</f>
        <v/>
      </c>
      <c r="HS13" s="759" t="str">
        <f t="shared" ca="1" si="53"/>
        <v/>
      </c>
      <c r="HT13" s="760" t="str">
        <f t="shared" ca="1" si="54"/>
        <v/>
      </c>
      <c r="HU13" s="755" t="str">
        <f t="shared" ca="1" si="55"/>
        <v/>
      </c>
      <c r="HV13" s="756" t="str">
        <f ca="1">IF(COUNTIF(HV$10:HV12,OFFSET(A1_原単位2026,29,HL13+2))&gt;=1,"",OFFSET(A1_原単位2026,29,HL13+2)&amp;"")</f>
        <v/>
      </c>
      <c r="HW13" s="759" t="str">
        <f t="shared" ca="1" si="56"/>
        <v/>
      </c>
      <c r="HX13" s="760" t="str">
        <f t="shared" ca="1" si="57"/>
        <v/>
      </c>
      <c r="HY13" s="755" t="str">
        <f t="shared" ca="1" si="58"/>
        <v/>
      </c>
      <c r="HZ13" s="756" t="str">
        <f ca="1">IF(COUNTIF(HZ$10:HZ12,OFFSET(A1_原単位2026,41,HL13+2))&gt;=1,"",OFFSET(A1_原単位2026,41,HL13+2)&amp;"")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参考2_エネ使用量経年!N95</f>
        <v>0</v>
      </c>
      <c r="HF14" s="341" t="s">
        <v>4122</v>
      </c>
      <c r="HG14" s="1077" t="s">
        <v>4121</v>
      </c>
      <c r="HH14" s="1078"/>
      <c r="HI14" s="763">
        <f ca="1">参考2_エネ使用量経年!V95</f>
        <v>0</v>
      </c>
      <c r="HJ14" s="341" t="s">
        <v>4122</v>
      </c>
      <c r="HL14" s="291">
        <v>5</v>
      </c>
      <c r="HM14" s="755" t="str">
        <f t="shared" ca="1" si="49"/>
        <v/>
      </c>
      <c r="HN14" s="756" t="str">
        <f ca="1">IF(COUNTIF(HN$10:HN13,OFFSET(A1_原単位2026,5,HL14+2))&gt;=1,"",OFFSET(A1_原単位2026,5,HL14+2)&amp;"")</f>
        <v/>
      </c>
      <c r="HO14" s="757" t="str">
        <f t="shared" ca="1" si="50"/>
        <v/>
      </c>
      <c r="HP14" s="758" t="str">
        <f t="shared" ca="1" si="51"/>
        <v/>
      </c>
      <c r="HQ14" s="755" t="str">
        <f t="shared" ca="1" si="52"/>
        <v/>
      </c>
      <c r="HR14" s="756" t="str">
        <f ca="1">IF(COUNTIF(HR$10:HR13,OFFSET(A1_原単位2026,17,HL14+2))&gt;=1,"",OFFSET(A1_原単位2026,17,HL14+2)&amp;"")</f>
        <v/>
      </c>
      <c r="HS14" s="759" t="str">
        <f t="shared" ca="1" si="53"/>
        <v/>
      </c>
      <c r="HT14" s="760" t="str">
        <f t="shared" ca="1" si="54"/>
        <v/>
      </c>
      <c r="HU14" s="755" t="str">
        <f t="shared" ca="1" si="55"/>
        <v/>
      </c>
      <c r="HV14" s="756" t="str">
        <f ca="1">IF(COUNTIF(HV$10:HV13,OFFSET(A1_原単位2026,29,HL14+2))&gt;=1,"",OFFSET(A1_原単位2026,29,HL14+2)&amp;"")</f>
        <v/>
      </c>
      <c r="HW14" s="759" t="str">
        <f t="shared" ca="1" si="56"/>
        <v/>
      </c>
      <c r="HX14" s="760" t="str">
        <f t="shared" ca="1" si="57"/>
        <v/>
      </c>
      <c r="HY14" s="755" t="str">
        <f t="shared" ca="1" si="58"/>
        <v/>
      </c>
      <c r="HZ14" s="756" t="str">
        <f ca="1">IF(COUNTIF(HZ$10:HZ13,OFFSET(A1_原単位2026,41,HL14+2))&gt;=1,"",OFFSET(A1_原単位2026,41,HL14+2)&amp;"")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参考3_排出量経年!N116</f>
        <v>0</v>
      </c>
      <c r="HF15" s="349" t="s">
        <v>4128</v>
      </c>
      <c r="HG15" s="1079" t="s">
        <v>4127</v>
      </c>
      <c r="HH15" s="1080"/>
      <c r="HI15" s="764">
        <f ca="1">参考3_排出量経年!V116</f>
        <v>0</v>
      </c>
      <c r="HJ15" s="349" t="s">
        <v>4128</v>
      </c>
      <c r="HL15" s="302">
        <v>6</v>
      </c>
      <c r="HM15" s="755" t="str">
        <f t="shared" ca="1" si="49"/>
        <v/>
      </c>
      <c r="HN15" s="756" t="str">
        <f ca="1">IF(COUNTIF(HN$10:HN14,OFFSET(A1_原単位2026,5,HL15+2))&gt;=1,"",OFFSET(A1_原単位2026,5,HL15+2)&amp;"")</f>
        <v/>
      </c>
      <c r="HO15" s="757" t="str">
        <f t="shared" ca="1" si="50"/>
        <v/>
      </c>
      <c r="HP15" s="758" t="str">
        <f t="shared" ca="1" si="51"/>
        <v/>
      </c>
      <c r="HQ15" s="755" t="str">
        <f t="shared" ca="1" si="52"/>
        <v/>
      </c>
      <c r="HR15" s="756" t="str">
        <f ca="1">IF(COUNTIF(HR$10:HR14,OFFSET(A1_原単位2026,17,HL15+2))&gt;=1,"",OFFSET(A1_原単位2026,17,HL15+2)&amp;"")</f>
        <v/>
      </c>
      <c r="HS15" s="759" t="str">
        <f t="shared" ca="1" si="53"/>
        <v/>
      </c>
      <c r="HT15" s="760" t="str">
        <f t="shared" ca="1" si="54"/>
        <v/>
      </c>
      <c r="HU15" s="755" t="str">
        <f t="shared" ca="1" si="55"/>
        <v/>
      </c>
      <c r="HV15" s="756" t="str">
        <f ca="1">IF(COUNTIF(HV$10:HV14,OFFSET(A1_原単位2026,29,HL15+2))&gt;=1,"",OFFSET(A1_原単位2026,29,HL15+2)&amp;"")</f>
        <v/>
      </c>
      <c r="HW15" s="759" t="str">
        <f t="shared" ca="1" si="56"/>
        <v/>
      </c>
      <c r="HX15" s="760" t="str">
        <f t="shared" ca="1" si="57"/>
        <v/>
      </c>
      <c r="HY15" s="755" t="str">
        <f t="shared" ca="1" si="58"/>
        <v/>
      </c>
      <c r="HZ15" s="756" t="str">
        <f ca="1">IF(COUNTIF(HZ$10:HZ14,OFFSET(A1_原単位2026,41,HL15+2))&gt;=1,"",OFFSET(A1_原単位2026,41,HL15+2)&amp;"")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IF(COUNTIF(HN$10:HN15,OFFSET(A1_原単位2026,5,HL16+2))&gt;=1,"",OFFSET(A1_原単位2026,5,HL16+2)&amp;"")</f>
        <v/>
      </c>
      <c r="HO16" s="757" t="str">
        <f t="shared" ca="1" si="50"/>
        <v/>
      </c>
      <c r="HP16" s="758" t="str">
        <f t="shared" ca="1" si="51"/>
        <v/>
      </c>
      <c r="HQ16" s="755" t="str">
        <f t="shared" ca="1" si="52"/>
        <v/>
      </c>
      <c r="HR16" s="756" t="str">
        <f ca="1">IF(COUNTIF(HR$10:HR15,OFFSET(A1_原単位2026,17,HL16+2))&gt;=1,"",OFFSET(A1_原単位2026,17,HL16+2)&amp;"")</f>
        <v/>
      </c>
      <c r="HS16" s="759" t="str">
        <f t="shared" ca="1" si="53"/>
        <v/>
      </c>
      <c r="HT16" s="760" t="str">
        <f t="shared" ca="1" si="54"/>
        <v/>
      </c>
      <c r="HU16" s="755" t="str">
        <f t="shared" ca="1" si="55"/>
        <v/>
      </c>
      <c r="HV16" s="756" t="str">
        <f ca="1">IF(COUNTIF(HV$10:HV15,OFFSET(A1_原単位2026,29,HL16+2))&gt;=1,"",OFFSET(A1_原単位2026,29,HL16+2)&amp;"")</f>
        <v/>
      </c>
      <c r="HW16" s="759" t="str">
        <f t="shared" ca="1" si="56"/>
        <v/>
      </c>
      <c r="HX16" s="760" t="str">
        <f t="shared" ca="1" si="57"/>
        <v/>
      </c>
      <c r="HY16" s="755" t="str">
        <f t="shared" ca="1" si="58"/>
        <v/>
      </c>
      <c r="HZ16" s="756" t="str">
        <f ca="1">IF(COUNTIF(HZ$10:HZ15,OFFSET(A1_原単位2026,41,HL16+2))&gt;=1,"",OFFSET(A1_原単位2026,41,HL16+2)&amp;"")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IF(COUNTIF(HN$10:HN16,OFFSET(A1_原単位2026,5,HL17+2))&gt;=1,"",OFFSET(A1_原単位2026,5,HL17+2)&amp;"")</f>
        <v/>
      </c>
      <c r="HO17" s="757" t="str">
        <f t="shared" ca="1" si="50"/>
        <v/>
      </c>
      <c r="HP17" s="758" t="str">
        <f t="shared" ca="1" si="51"/>
        <v/>
      </c>
      <c r="HQ17" s="755" t="str">
        <f t="shared" ca="1" si="52"/>
        <v/>
      </c>
      <c r="HR17" s="756" t="str">
        <f ca="1">IF(COUNTIF(HR$10:HR16,OFFSET(A1_原単位2026,17,HL17+2))&gt;=1,"",OFFSET(A1_原単位2026,17,HL17+2)&amp;"")</f>
        <v/>
      </c>
      <c r="HS17" s="759" t="str">
        <f t="shared" ca="1" si="53"/>
        <v/>
      </c>
      <c r="HT17" s="760" t="str">
        <f t="shared" ca="1" si="54"/>
        <v/>
      </c>
      <c r="HU17" s="755" t="str">
        <f t="shared" ca="1" si="55"/>
        <v/>
      </c>
      <c r="HV17" s="756" t="str">
        <f ca="1">IF(COUNTIF(HV$10:HV16,OFFSET(A1_原単位2026,29,HL17+2))&gt;=1,"",OFFSET(A1_原単位2026,29,HL17+2)&amp;"")</f>
        <v/>
      </c>
      <c r="HW17" s="759" t="str">
        <f t="shared" ca="1" si="56"/>
        <v/>
      </c>
      <c r="HX17" s="760" t="str">
        <f t="shared" ca="1" si="57"/>
        <v/>
      </c>
      <c r="HY17" s="755" t="str">
        <f t="shared" ca="1" si="58"/>
        <v/>
      </c>
      <c r="HZ17" s="756" t="str">
        <f ca="1">IF(COUNTIF(HZ$10:HZ16,OFFSET(A1_原単位2026,41,HL17+2))&gt;=1,"",OFFSET(A1_原単位2026,41,HL17+2)&amp;"")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IF(COUNTIF(HN$10:HN17,OFFSET(A1_原単位2026,5,HL18+2))&gt;=1,"",OFFSET(A1_原単位2026,5,HL18+2)&amp;"")</f>
        <v/>
      </c>
      <c r="HO18" s="757" t="str">
        <f t="shared" ca="1" si="50"/>
        <v/>
      </c>
      <c r="HP18" s="758" t="str">
        <f t="shared" ca="1" si="51"/>
        <v/>
      </c>
      <c r="HQ18" s="755" t="str">
        <f t="shared" ca="1" si="52"/>
        <v/>
      </c>
      <c r="HR18" s="756" t="str">
        <f ca="1">IF(COUNTIF(HR$10:HR17,OFFSET(A1_原単位2026,17,HL18+2))&gt;=1,"",OFFSET(A1_原単位2026,17,HL18+2)&amp;"")</f>
        <v/>
      </c>
      <c r="HS18" s="759" t="str">
        <f t="shared" ca="1" si="53"/>
        <v/>
      </c>
      <c r="HT18" s="760" t="str">
        <f t="shared" ca="1" si="54"/>
        <v/>
      </c>
      <c r="HU18" s="755" t="str">
        <f t="shared" ca="1" si="55"/>
        <v/>
      </c>
      <c r="HV18" s="756" t="str">
        <f ca="1">IF(COUNTIF(HV$10:HV17,OFFSET(A1_原単位2026,29,HL18+2))&gt;=1,"",OFFSET(A1_原単位2026,29,HL18+2)&amp;"")</f>
        <v/>
      </c>
      <c r="HW18" s="759" t="str">
        <f t="shared" ca="1" si="56"/>
        <v/>
      </c>
      <c r="HX18" s="760" t="str">
        <f t="shared" ca="1" si="57"/>
        <v/>
      </c>
      <c r="HY18" s="755" t="str">
        <f t="shared" ca="1" si="58"/>
        <v/>
      </c>
      <c r="HZ18" s="756" t="str">
        <f ca="1">IF(COUNTIF(HZ$10:HZ17,OFFSET(A1_原単位2026,41,HL18+2))&gt;=1,"",OFFSET(A1_原単位2026,41,HL18+2)&amp;"")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IF(COUNTIF(HN$10:HN18,OFFSET(A1_原単位2026,5,HL19+2))&gt;=1,"",OFFSET(A1_原単位2026,5,HL19+2)&amp;"")</f>
        <v/>
      </c>
      <c r="HO19" s="757" t="str">
        <f t="shared" ca="1" si="50"/>
        <v/>
      </c>
      <c r="HP19" s="758" t="str">
        <f t="shared" ca="1" si="51"/>
        <v/>
      </c>
      <c r="HQ19" s="755" t="str">
        <f t="shared" ca="1" si="52"/>
        <v/>
      </c>
      <c r="HR19" s="756" t="str">
        <f ca="1">IF(COUNTIF(HR$10:HR18,OFFSET(A1_原単位2026,17,HL19+2))&gt;=1,"",OFFSET(A1_原単位2026,17,HL19+2)&amp;"")</f>
        <v/>
      </c>
      <c r="HS19" s="759" t="str">
        <f t="shared" ca="1" si="53"/>
        <v/>
      </c>
      <c r="HT19" s="760" t="str">
        <f t="shared" ca="1" si="54"/>
        <v/>
      </c>
      <c r="HU19" s="755" t="str">
        <f t="shared" ca="1" si="55"/>
        <v/>
      </c>
      <c r="HV19" s="756" t="str">
        <f ca="1">IF(COUNTIF(HV$10:HV18,OFFSET(A1_原単位2026,29,HL19+2))&gt;=1,"",OFFSET(A1_原単位2026,29,HL19+2)&amp;"")</f>
        <v/>
      </c>
      <c r="HW19" s="759" t="str">
        <f t="shared" ca="1" si="56"/>
        <v/>
      </c>
      <c r="HX19" s="760" t="str">
        <f t="shared" ca="1" si="57"/>
        <v/>
      </c>
      <c r="HY19" s="755" t="str">
        <f t="shared" ca="1" si="58"/>
        <v/>
      </c>
      <c r="HZ19" s="756" t="str">
        <f ca="1">IF(COUNTIF(HZ$10:HZ18,OFFSET(A1_原単位2026,41,HL19+2))&gt;=1,"",OFFSET(A1_原単位2026,41,HL19+2)&amp;"")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IF(COUNTIF(HN$10:HN19,OFFSET(A1_原単位2026,5,HL20+2))&gt;=1,"",OFFSET(A1_原単位2026,5,HL20+2)&amp;"")</f>
        <v/>
      </c>
      <c r="HO20" s="757" t="str">
        <f t="shared" ca="1" si="50"/>
        <v/>
      </c>
      <c r="HP20" s="758" t="str">
        <f t="shared" ca="1" si="51"/>
        <v/>
      </c>
      <c r="HQ20" s="755" t="str">
        <f t="shared" ca="1" si="52"/>
        <v/>
      </c>
      <c r="HR20" s="756" t="str">
        <f ca="1">IF(COUNTIF(HR$10:HR19,OFFSET(A1_原単位2026,17,HL20+2))&gt;=1,"",OFFSET(A1_原単位2026,17,HL20+2)&amp;"")</f>
        <v/>
      </c>
      <c r="HS20" s="759" t="str">
        <f t="shared" ca="1" si="53"/>
        <v/>
      </c>
      <c r="HT20" s="760" t="str">
        <f t="shared" ca="1" si="54"/>
        <v/>
      </c>
      <c r="HU20" s="755" t="str">
        <f t="shared" ca="1" si="55"/>
        <v/>
      </c>
      <c r="HV20" s="756" t="str">
        <f ca="1">IF(COUNTIF(HV$10:HV19,OFFSET(A1_原単位2026,29,HL20+2))&gt;=1,"",OFFSET(A1_原単位2026,29,HL20+2)&amp;"")</f>
        <v/>
      </c>
      <c r="HW20" s="759" t="str">
        <f t="shared" ca="1" si="56"/>
        <v/>
      </c>
      <c r="HX20" s="760" t="str">
        <f t="shared" ca="1" si="57"/>
        <v/>
      </c>
      <c r="HY20" s="755" t="str">
        <f t="shared" ca="1" si="58"/>
        <v/>
      </c>
      <c r="HZ20" s="756" t="str">
        <f ca="1">IF(COUNTIF(HZ$10:HZ19,OFFSET(A1_原単位2026,41,HL20+2))&gt;=1,"",OFFSET(A1_原単位2026,41,HL20+2)&amp;"")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IF(COUNTIF(HN$10:HN20,OFFSET(A1_原単位2026,5,HL21+2))&gt;=1,"",OFFSET(A1_原単位2026,5,HL21+2)&amp;"")</f>
        <v/>
      </c>
      <c r="HO21" s="757" t="str">
        <f t="shared" ca="1" si="50"/>
        <v/>
      </c>
      <c r="HP21" s="758" t="str">
        <f t="shared" ca="1" si="51"/>
        <v/>
      </c>
      <c r="HQ21" s="755" t="str">
        <f t="shared" ca="1" si="52"/>
        <v/>
      </c>
      <c r="HR21" s="756" t="str">
        <f ca="1">IF(COUNTIF(HR$10:HR20,OFFSET(A1_原単位2026,17,HL21+2))&gt;=1,"",OFFSET(A1_原単位2026,17,HL21+2)&amp;"")</f>
        <v/>
      </c>
      <c r="HS21" s="759" t="str">
        <f t="shared" ca="1" si="53"/>
        <v/>
      </c>
      <c r="HT21" s="760" t="str">
        <f t="shared" ca="1" si="54"/>
        <v/>
      </c>
      <c r="HU21" s="755" t="str">
        <f t="shared" ca="1" si="55"/>
        <v/>
      </c>
      <c r="HV21" s="756" t="str">
        <f ca="1">IF(COUNTIF(HV$10:HV20,OFFSET(A1_原単位2026,29,HL21+2))&gt;=1,"",OFFSET(A1_原単位2026,29,HL21+2)&amp;"")</f>
        <v/>
      </c>
      <c r="HW21" s="759" t="str">
        <f t="shared" ca="1" si="56"/>
        <v/>
      </c>
      <c r="HX21" s="760" t="str">
        <f t="shared" ca="1" si="57"/>
        <v/>
      </c>
      <c r="HY21" s="755" t="str">
        <f t="shared" ca="1" si="58"/>
        <v/>
      </c>
      <c r="HZ21" s="756" t="str">
        <f ca="1">IF(COUNTIF(HZ$10:HZ20,OFFSET(A1_原単位2026,41,HL21+2))&gt;=1,"",OFFSET(A1_原単位2026,41,HL21+2)&amp;"")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IF(COUNTIF(HN$10:HN21,OFFSET(A1_原単位2026,5,HL22+2))&gt;=1,"",OFFSET(A1_原単位2026,5,HL22+2)&amp;"")</f>
        <v/>
      </c>
      <c r="HO22" s="757" t="str">
        <f t="shared" ca="1" si="50"/>
        <v/>
      </c>
      <c r="HP22" s="758" t="str">
        <f t="shared" ca="1" si="51"/>
        <v/>
      </c>
      <c r="HQ22" s="755" t="str">
        <f t="shared" ca="1" si="52"/>
        <v/>
      </c>
      <c r="HR22" s="756" t="str">
        <f ca="1">IF(COUNTIF(HR$10:HR21,OFFSET(A1_原単位2026,17,HL22+2))&gt;=1,"",OFFSET(A1_原単位2026,17,HL22+2)&amp;"")</f>
        <v/>
      </c>
      <c r="HS22" s="759" t="str">
        <f t="shared" ca="1" si="53"/>
        <v/>
      </c>
      <c r="HT22" s="760" t="str">
        <f t="shared" ca="1" si="54"/>
        <v/>
      </c>
      <c r="HU22" s="755" t="str">
        <f t="shared" ca="1" si="55"/>
        <v/>
      </c>
      <c r="HV22" s="756" t="str">
        <f ca="1">IF(COUNTIF(HV$10:HV21,OFFSET(A1_原単位2026,29,HL22+2))&gt;=1,"",OFFSET(A1_原単位2026,29,HL22+2)&amp;"")</f>
        <v/>
      </c>
      <c r="HW22" s="759" t="str">
        <f t="shared" ca="1" si="56"/>
        <v/>
      </c>
      <c r="HX22" s="760" t="str">
        <f t="shared" ca="1" si="57"/>
        <v/>
      </c>
      <c r="HY22" s="755" t="str">
        <f t="shared" ca="1" si="58"/>
        <v/>
      </c>
      <c r="HZ22" s="756" t="str">
        <f ca="1">IF(COUNTIF(HZ$10:HZ21,OFFSET(A1_原単位2026,41,HL22+2))&gt;=1,"",OFFSET(A1_原単位2026,41,HL22+2)&amp;"")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IF(COUNTIF(HN$10:HN22,OFFSET(A1_原単位2026,5,HL23+2))&gt;=1,"",OFFSET(A1_原単位2026,5,HL23+2)&amp;"")</f>
        <v/>
      </c>
      <c r="HO23" s="757" t="str">
        <f t="shared" ca="1" si="50"/>
        <v/>
      </c>
      <c r="HP23" s="758" t="str">
        <f t="shared" ca="1" si="51"/>
        <v/>
      </c>
      <c r="HQ23" s="755" t="str">
        <f t="shared" ca="1" si="52"/>
        <v/>
      </c>
      <c r="HR23" s="756" t="str">
        <f ca="1">IF(COUNTIF(HR$10:HR22,OFFSET(A1_原単位2026,17,HL23+2))&gt;=1,"",OFFSET(A1_原単位2026,17,HL23+2)&amp;"")</f>
        <v/>
      </c>
      <c r="HS23" s="759" t="str">
        <f t="shared" ca="1" si="53"/>
        <v/>
      </c>
      <c r="HT23" s="760" t="str">
        <f t="shared" ca="1" si="54"/>
        <v/>
      </c>
      <c r="HU23" s="755" t="str">
        <f t="shared" ca="1" si="55"/>
        <v/>
      </c>
      <c r="HV23" s="756" t="str">
        <f ca="1">IF(COUNTIF(HV$10:HV22,OFFSET(A1_原単位2026,29,HL23+2))&gt;=1,"",OFFSET(A1_原単位2026,29,HL23+2)&amp;"")</f>
        <v/>
      </c>
      <c r="HW23" s="759" t="str">
        <f t="shared" ca="1" si="56"/>
        <v/>
      </c>
      <c r="HX23" s="760" t="str">
        <f t="shared" ca="1" si="57"/>
        <v/>
      </c>
      <c r="HY23" s="755" t="str">
        <f t="shared" ca="1" si="58"/>
        <v/>
      </c>
      <c r="HZ23" s="756" t="str">
        <f ca="1">IF(COUNTIF(HZ$10:HZ22,OFFSET(A1_原単位2026,41,HL23+2))&gt;=1,"",OFFSET(A1_原単位2026,41,HL23+2)&amp;"")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IF(COUNTIF(HN$10:HN23,OFFSET(A1_原単位2026,5,HL24+2))&gt;=1,"",OFFSET(A1_原単位2026,5,HL24+2)&amp;"")</f>
        <v/>
      </c>
      <c r="HO24" s="757" t="str">
        <f t="shared" ca="1" si="50"/>
        <v/>
      </c>
      <c r="HP24" s="758" t="str">
        <f t="shared" ca="1" si="51"/>
        <v/>
      </c>
      <c r="HQ24" s="755" t="str">
        <f t="shared" ca="1" si="52"/>
        <v/>
      </c>
      <c r="HR24" s="756" t="str">
        <f ca="1">IF(COUNTIF(HR$10:HR23,OFFSET(A1_原単位2026,17,HL24+2))&gt;=1,"",OFFSET(A1_原単位2026,17,HL24+2)&amp;"")</f>
        <v/>
      </c>
      <c r="HS24" s="759" t="str">
        <f t="shared" ca="1" si="53"/>
        <v/>
      </c>
      <c r="HT24" s="760" t="str">
        <f t="shared" ca="1" si="54"/>
        <v/>
      </c>
      <c r="HU24" s="755" t="str">
        <f t="shared" ca="1" si="55"/>
        <v/>
      </c>
      <c r="HV24" s="756" t="str">
        <f ca="1">IF(COUNTIF(HV$10:HV23,OFFSET(A1_原単位2026,29,HL24+2))&gt;=1,"",OFFSET(A1_原単位2026,29,HL24+2)&amp;"")</f>
        <v/>
      </c>
      <c r="HW24" s="759" t="str">
        <f t="shared" ca="1" si="56"/>
        <v/>
      </c>
      <c r="HX24" s="760" t="str">
        <f t="shared" ca="1" si="57"/>
        <v/>
      </c>
      <c r="HY24" s="755" t="str">
        <f t="shared" ca="1" si="58"/>
        <v/>
      </c>
      <c r="HZ24" s="756" t="str">
        <f ca="1">IF(COUNTIF(HZ$10:HZ23,OFFSET(A1_原単位2026,41,HL24+2))&gt;=1,"",OFFSET(A1_原単位2026,41,HL24+2)&amp;"")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IF(COUNTIF(HN$10:HN24,OFFSET(A1_原単位2026,5,HL25+2))&gt;=1,"",OFFSET(A1_原単位2026,5,HL25+2)&amp;"")</f>
        <v/>
      </c>
      <c r="HO25" s="757" t="str">
        <f t="shared" ca="1" si="50"/>
        <v/>
      </c>
      <c r="HP25" s="758" t="str">
        <f t="shared" ca="1" si="51"/>
        <v/>
      </c>
      <c r="HQ25" s="755" t="str">
        <f t="shared" ca="1" si="52"/>
        <v/>
      </c>
      <c r="HR25" s="756" t="str">
        <f ca="1">IF(COUNTIF(HR$10:HR24,OFFSET(A1_原単位2026,17,HL25+2))&gt;=1,"",OFFSET(A1_原単位2026,17,HL25+2)&amp;"")</f>
        <v/>
      </c>
      <c r="HS25" s="759" t="str">
        <f t="shared" ca="1" si="53"/>
        <v/>
      </c>
      <c r="HT25" s="760" t="str">
        <f t="shared" ca="1" si="54"/>
        <v/>
      </c>
      <c r="HU25" s="755" t="str">
        <f t="shared" ca="1" si="55"/>
        <v/>
      </c>
      <c r="HV25" s="756" t="str">
        <f ca="1">IF(COUNTIF(HV$10:HV24,OFFSET(A1_原単位2026,29,HL25+2))&gt;=1,"",OFFSET(A1_原単位2026,29,HL25+2)&amp;"")</f>
        <v/>
      </c>
      <c r="HW25" s="759" t="str">
        <f t="shared" ca="1" si="56"/>
        <v/>
      </c>
      <c r="HX25" s="760" t="str">
        <f t="shared" ca="1" si="57"/>
        <v/>
      </c>
      <c r="HY25" s="755" t="str">
        <f t="shared" ca="1" si="58"/>
        <v/>
      </c>
      <c r="HZ25" s="756" t="str">
        <f ca="1">IF(COUNTIF(HZ$10:HZ24,OFFSET(A1_原単位2026,41,HL25+2))&gt;=1,"",OFFSET(A1_原単位2026,41,HL25+2)&amp;"")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IF(COUNTIF(HN$10:HN25,OFFSET(A1_原単位2026,5,HL26+2))&gt;=1,"",OFFSET(A1_原単位2026,5,HL26+2)&amp;"")</f>
        <v/>
      </c>
      <c r="HO26" s="757" t="str">
        <f t="shared" ca="1" si="50"/>
        <v/>
      </c>
      <c r="HP26" s="758" t="str">
        <f t="shared" ca="1" si="51"/>
        <v/>
      </c>
      <c r="HQ26" s="755" t="str">
        <f t="shared" ca="1" si="52"/>
        <v/>
      </c>
      <c r="HR26" s="756" t="str">
        <f ca="1">IF(COUNTIF(HR$10:HR25,OFFSET(A1_原単位2026,17,HL26+2))&gt;=1,"",OFFSET(A1_原単位2026,17,HL26+2)&amp;"")</f>
        <v/>
      </c>
      <c r="HS26" s="759" t="str">
        <f t="shared" ca="1" si="53"/>
        <v/>
      </c>
      <c r="HT26" s="760" t="str">
        <f t="shared" ca="1" si="54"/>
        <v/>
      </c>
      <c r="HU26" s="755" t="str">
        <f t="shared" ca="1" si="55"/>
        <v/>
      </c>
      <c r="HV26" s="756" t="str">
        <f ca="1">IF(COUNTIF(HV$10:HV25,OFFSET(A1_原単位2026,29,HL26+2))&gt;=1,"",OFFSET(A1_原単位2026,29,HL26+2)&amp;"")</f>
        <v/>
      </c>
      <c r="HW26" s="759" t="str">
        <f t="shared" ca="1" si="56"/>
        <v/>
      </c>
      <c r="HX26" s="760" t="str">
        <f t="shared" ca="1" si="57"/>
        <v/>
      </c>
      <c r="HY26" s="755" t="str">
        <f t="shared" ca="1" si="58"/>
        <v/>
      </c>
      <c r="HZ26" s="756" t="str">
        <f ca="1">IF(COUNTIF(HZ$10:HZ25,OFFSET(A1_原単位2026,41,HL26+2))&gt;=1,"",OFFSET(A1_原単位2026,41,HL26+2)&amp;"")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IF(COUNTIF(HN$10:HN26,OFFSET(A1_原単位2026,5,HL27+2))&gt;=1,"",OFFSET(A1_原単位2026,5,HL27+2)&amp;"")</f>
        <v/>
      </c>
      <c r="HO27" s="757" t="str">
        <f t="shared" ca="1" si="50"/>
        <v/>
      </c>
      <c r="HP27" s="758" t="str">
        <f t="shared" ca="1" si="51"/>
        <v/>
      </c>
      <c r="HQ27" s="755" t="str">
        <f t="shared" ca="1" si="52"/>
        <v/>
      </c>
      <c r="HR27" s="756" t="str">
        <f ca="1">IF(COUNTIF(HR$10:HR26,OFFSET(A1_原単位2026,17,HL27+2))&gt;=1,"",OFFSET(A1_原単位2026,17,HL27+2)&amp;"")</f>
        <v/>
      </c>
      <c r="HS27" s="759" t="str">
        <f t="shared" ca="1" si="53"/>
        <v/>
      </c>
      <c r="HT27" s="760" t="str">
        <f t="shared" ca="1" si="54"/>
        <v/>
      </c>
      <c r="HU27" s="755" t="str">
        <f t="shared" ca="1" si="55"/>
        <v/>
      </c>
      <c r="HV27" s="756" t="str">
        <f ca="1">IF(COUNTIF(HV$10:HV26,OFFSET(A1_原単位2026,29,HL27+2))&gt;=1,"",OFFSET(A1_原単位2026,29,HL27+2)&amp;"")</f>
        <v/>
      </c>
      <c r="HW27" s="759" t="str">
        <f t="shared" ca="1" si="56"/>
        <v/>
      </c>
      <c r="HX27" s="760" t="str">
        <f t="shared" ca="1" si="57"/>
        <v/>
      </c>
      <c r="HY27" s="755" t="str">
        <f t="shared" ca="1" si="58"/>
        <v/>
      </c>
      <c r="HZ27" s="756" t="str">
        <f ca="1">IF(COUNTIF(HZ$10:HZ26,OFFSET(A1_原単位2026,41,HL27+2))&gt;=1,"",OFFSET(A1_原単位2026,41,HL27+2)&amp;"")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IF(COUNTIF(HN$10:HN27,OFFSET(A1_原単位2026,5,HL28+2))&gt;=1,"",OFFSET(A1_原単位2026,5,HL28+2)&amp;"")</f>
        <v/>
      </c>
      <c r="HO28" s="757" t="str">
        <f t="shared" ca="1" si="50"/>
        <v/>
      </c>
      <c r="HP28" s="758" t="str">
        <f t="shared" ca="1" si="51"/>
        <v/>
      </c>
      <c r="HQ28" s="755" t="str">
        <f t="shared" ca="1" si="52"/>
        <v/>
      </c>
      <c r="HR28" s="756" t="str">
        <f ca="1">IF(COUNTIF(HR$10:HR27,OFFSET(A1_原単位2026,17,HL28+2))&gt;=1,"",OFFSET(A1_原単位2026,17,HL28+2)&amp;"")</f>
        <v/>
      </c>
      <c r="HS28" s="759" t="str">
        <f t="shared" ca="1" si="53"/>
        <v/>
      </c>
      <c r="HT28" s="760" t="str">
        <f t="shared" ca="1" si="54"/>
        <v/>
      </c>
      <c r="HU28" s="755" t="str">
        <f t="shared" ca="1" si="55"/>
        <v/>
      </c>
      <c r="HV28" s="756" t="str">
        <f ca="1">IF(COUNTIF(HV$10:HV27,OFFSET(A1_原単位2026,29,HL28+2))&gt;=1,"",OFFSET(A1_原単位2026,29,HL28+2)&amp;"")</f>
        <v/>
      </c>
      <c r="HW28" s="759" t="str">
        <f t="shared" ca="1" si="56"/>
        <v/>
      </c>
      <c r="HX28" s="760" t="str">
        <f t="shared" ca="1" si="57"/>
        <v/>
      </c>
      <c r="HY28" s="755" t="str">
        <f t="shared" ca="1" si="58"/>
        <v/>
      </c>
      <c r="HZ28" s="756" t="str">
        <f ca="1">IF(COUNTIF(HZ$10:HZ27,OFFSET(A1_原単位2026,41,HL28+2))&gt;=1,"",OFFSET(A1_原単位2026,41,HL28+2)&amp;"")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IF(COUNTIF(HN$10:HN28,OFFSET(A1_原単位2026,5,HL29+2))&gt;=1,"",OFFSET(A1_原単位2026,5,HL29+2)&amp;"")</f>
        <v/>
      </c>
      <c r="HO29" s="757" t="str">
        <f t="shared" ca="1" si="50"/>
        <v/>
      </c>
      <c r="HP29" s="758" t="str">
        <f t="shared" ca="1" si="51"/>
        <v/>
      </c>
      <c r="HQ29" s="755" t="str">
        <f t="shared" ca="1" si="52"/>
        <v/>
      </c>
      <c r="HR29" s="756" t="str">
        <f ca="1">IF(COUNTIF(HR$10:HR28,OFFSET(A1_原単位2026,17,HL29+2))&gt;=1,"",OFFSET(A1_原単位2026,17,HL29+2)&amp;"")</f>
        <v/>
      </c>
      <c r="HS29" s="759" t="str">
        <f t="shared" ca="1" si="53"/>
        <v/>
      </c>
      <c r="HT29" s="760" t="str">
        <f t="shared" ca="1" si="54"/>
        <v/>
      </c>
      <c r="HU29" s="755" t="str">
        <f t="shared" ca="1" si="55"/>
        <v/>
      </c>
      <c r="HV29" s="756" t="str">
        <f ca="1">IF(COUNTIF(HV$10:HV28,OFFSET(A1_原単位2026,29,HL29+2))&gt;=1,"",OFFSET(A1_原単位2026,29,HL29+2)&amp;"")</f>
        <v/>
      </c>
      <c r="HW29" s="759" t="str">
        <f t="shared" ca="1" si="56"/>
        <v/>
      </c>
      <c r="HX29" s="760" t="str">
        <f t="shared" ca="1" si="57"/>
        <v/>
      </c>
      <c r="HY29" s="755" t="str">
        <f t="shared" ca="1" si="58"/>
        <v/>
      </c>
      <c r="HZ29" s="756" t="str">
        <f ca="1">IF(COUNTIF(HZ$10:HZ28,OFFSET(A1_原単位2026,41,HL29+2))&gt;=1,"",OFFSET(A1_原単位2026,41,HL29+2)&amp;"")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IF(COUNTIF(HN$10:HN29,OFFSET(A1_原単位2026,5,HL30+2))&gt;=1,"",OFFSET(A1_原単位2026,5,HL30+2)&amp;"")</f>
        <v/>
      </c>
      <c r="HO30" s="757" t="str">
        <f t="shared" ca="1" si="50"/>
        <v/>
      </c>
      <c r="HP30" s="758" t="str">
        <f t="shared" ca="1" si="51"/>
        <v/>
      </c>
      <c r="HQ30" s="755" t="str">
        <f t="shared" ca="1" si="52"/>
        <v/>
      </c>
      <c r="HR30" s="756" t="str">
        <f ca="1">IF(COUNTIF(HR$10:HR29,OFFSET(A1_原単位2026,17,HL30+2))&gt;=1,"",OFFSET(A1_原単位2026,17,HL30+2)&amp;"")</f>
        <v/>
      </c>
      <c r="HS30" s="759" t="str">
        <f t="shared" ca="1" si="53"/>
        <v/>
      </c>
      <c r="HT30" s="760" t="str">
        <f t="shared" ca="1" si="54"/>
        <v/>
      </c>
      <c r="HU30" s="755" t="str">
        <f t="shared" ca="1" si="55"/>
        <v/>
      </c>
      <c r="HV30" s="756" t="str">
        <f ca="1">IF(COUNTIF(HV$10:HV29,OFFSET(A1_原単位2026,29,HL30+2))&gt;=1,"",OFFSET(A1_原単位2026,29,HL30+2)&amp;"")</f>
        <v/>
      </c>
      <c r="HW30" s="759" t="str">
        <f t="shared" ca="1" si="56"/>
        <v/>
      </c>
      <c r="HX30" s="760" t="str">
        <f t="shared" ca="1" si="57"/>
        <v/>
      </c>
      <c r="HY30" s="755" t="str">
        <f t="shared" ca="1" si="58"/>
        <v/>
      </c>
      <c r="HZ30" s="756" t="str">
        <f ca="1">IF(COUNTIF(HZ$10:HZ29,OFFSET(A1_原単位2026,41,HL30+2))&gt;=1,"",OFFSET(A1_原単位2026,41,HL30+2)&amp;"")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IF(COUNTIF(HN$10:HN30,OFFSET(A1_原単位2026,5,HL31+2))&gt;=1,"",OFFSET(A1_原単位2026,5,HL31+2)&amp;"")</f>
        <v/>
      </c>
      <c r="HO31" s="757" t="str">
        <f t="shared" ca="1" si="50"/>
        <v/>
      </c>
      <c r="HP31" s="758" t="str">
        <f t="shared" ca="1" si="51"/>
        <v/>
      </c>
      <c r="HQ31" s="755" t="str">
        <f t="shared" ca="1" si="52"/>
        <v/>
      </c>
      <c r="HR31" s="756" t="str">
        <f ca="1">IF(COUNTIF(HR$10:HR30,OFFSET(A1_原単位2026,17,HL31+2))&gt;=1,"",OFFSET(A1_原単位2026,17,HL31+2)&amp;"")</f>
        <v/>
      </c>
      <c r="HS31" s="759" t="str">
        <f t="shared" ca="1" si="53"/>
        <v/>
      </c>
      <c r="HT31" s="760" t="str">
        <f t="shared" ca="1" si="54"/>
        <v/>
      </c>
      <c r="HU31" s="755" t="str">
        <f t="shared" ca="1" si="55"/>
        <v/>
      </c>
      <c r="HV31" s="756" t="str">
        <f ca="1">IF(COUNTIF(HV$10:HV30,OFFSET(A1_原単位2026,29,HL31+2))&gt;=1,"",OFFSET(A1_原単位2026,29,HL31+2)&amp;"")</f>
        <v/>
      </c>
      <c r="HW31" s="759" t="str">
        <f t="shared" ca="1" si="56"/>
        <v/>
      </c>
      <c r="HX31" s="760" t="str">
        <f t="shared" ca="1" si="57"/>
        <v/>
      </c>
      <c r="HY31" s="755" t="str">
        <f t="shared" ca="1" si="58"/>
        <v/>
      </c>
      <c r="HZ31" s="756" t="str">
        <f ca="1">IF(COUNTIF(HZ$10:HZ30,OFFSET(A1_原単位2026,41,HL31+2))&gt;=1,"",OFFSET(A1_原単位2026,41,HL31+2)&amp;"")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IF(COUNTIF(HN$10:HN31,OFFSET(A1_原単位2026,5,HL32+2))&gt;=1,"",OFFSET(A1_原単位2026,5,HL32+2)&amp;"")</f>
        <v/>
      </c>
      <c r="HO32" s="757" t="str">
        <f t="shared" ca="1" si="50"/>
        <v/>
      </c>
      <c r="HP32" s="758" t="str">
        <f t="shared" ca="1" si="51"/>
        <v/>
      </c>
      <c r="HQ32" s="755" t="str">
        <f t="shared" ca="1" si="52"/>
        <v/>
      </c>
      <c r="HR32" s="756" t="str">
        <f ca="1">IF(COUNTIF(HR$10:HR31,OFFSET(A1_原単位2026,17,HL32+2))&gt;=1,"",OFFSET(A1_原単位2026,17,HL32+2)&amp;"")</f>
        <v/>
      </c>
      <c r="HS32" s="759" t="str">
        <f t="shared" ca="1" si="53"/>
        <v/>
      </c>
      <c r="HT32" s="760" t="str">
        <f t="shared" ca="1" si="54"/>
        <v/>
      </c>
      <c r="HU32" s="755" t="str">
        <f t="shared" ca="1" si="55"/>
        <v/>
      </c>
      <c r="HV32" s="756" t="str">
        <f ca="1">IF(COUNTIF(HV$10:HV31,OFFSET(A1_原単位2026,29,HL32+2))&gt;=1,"",OFFSET(A1_原単位2026,29,HL32+2)&amp;"")</f>
        <v/>
      </c>
      <c r="HW32" s="759" t="str">
        <f t="shared" ca="1" si="56"/>
        <v/>
      </c>
      <c r="HX32" s="760" t="str">
        <f t="shared" ca="1" si="57"/>
        <v/>
      </c>
      <c r="HY32" s="755" t="str">
        <f t="shared" ca="1" si="58"/>
        <v/>
      </c>
      <c r="HZ32" s="756" t="str">
        <f ca="1">IF(COUNTIF(HZ$10:HZ31,OFFSET(A1_原単位2026,41,HL32+2))&gt;=1,"",OFFSET(A1_原単位2026,41,HL32+2)&amp;"")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IF(COUNTIF(HN$10:HN32,OFFSET(A1_原単位2026,5,HL33+2))&gt;=1,"",OFFSET(A1_原単位2026,5,HL33+2)&amp;"")</f>
        <v/>
      </c>
      <c r="HO33" s="757" t="str">
        <f t="shared" ca="1" si="50"/>
        <v/>
      </c>
      <c r="HP33" s="758" t="str">
        <f t="shared" ca="1" si="51"/>
        <v/>
      </c>
      <c r="HQ33" s="755" t="str">
        <f t="shared" ca="1" si="52"/>
        <v/>
      </c>
      <c r="HR33" s="756" t="str">
        <f ca="1">IF(COUNTIF(HR$10:HR32,OFFSET(A1_原単位2026,17,HL33+2))&gt;=1,"",OFFSET(A1_原単位2026,17,HL33+2)&amp;"")</f>
        <v/>
      </c>
      <c r="HS33" s="759" t="str">
        <f t="shared" ca="1" si="53"/>
        <v/>
      </c>
      <c r="HT33" s="760" t="str">
        <f t="shared" ca="1" si="54"/>
        <v/>
      </c>
      <c r="HU33" s="755" t="str">
        <f t="shared" ca="1" si="55"/>
        <v/>
      </c>
      <c r="HV33" s="756" t="str">
        <f ca="1">IF(COUNTIF(HV$10:HV32,OFFSET(A1_原単位2026,29,HL33+2))&gt;=1,"",OFFSET(A1_原単位2026,29,HL33+2)&amp;"")</f>
        <v/>
      </c>
      <c r="HW33" s="759" t="str">
        <f t="shared" ca="1" si="56"/>
        <v/>
      </c>
      <c r="HX33" s="760" t="str">
        <f t="shared" ca="1" si="57"/>
        <v/>
      </c>
      <c r="HY33" s="755" t="str">
        <f t="shared" ca="1" si="58"/>
        <v/>
      </c>
      <c r="HZ33" s="756" t="str">
        <f ca="1">IF(COUNTIF(HZ$10:HZ32,OFFSET(A1_原単位2026,41,HL33+2))&gt;=1,"",OFFSET(A1_原単位2026,41,HL33+2)&amp;"")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IF(COUNTIF(HN$10:HN33,OFFSET(A1_原単位2026,5,HL34+2))&gt;=1,"",OFFSET(A1_原単位2026,5,HL34+2)&amp;"")</f>
        <v/>
      </c>
      <c r="HO34" s="757" t="str">
        <f t="shared" ca="1" si="50"/>
        <v/>
      </c>
      <c r="HP34" s="758" t="str">
        <f t="shared" ca="1" si="51"/>
        <v/>
      </c>
      <c r="HQ34" s="755" t="str">
        <f t="shared" ca="1" si="52"/>
        <v/>
      </c>
      <c r="HR34" s="756" t="str">
        <f ca="1">IF(COUNTIF(HR$10:HR33,OFFSET(A1_原単位2026,17,HL34+2))&gt;=1,"",OFFSET(A1_原単位2026,17,HL34+2)&amp;"")</f>
        <v/>
      </c>
      <c r="HS34" s="759" t="str">
        <f t="shared" ca="1" si="53"/>
        <v/>
      </c>
      <c r="HT34" s="760" t="str">
        <f t="shared" ca="1" si="54"/>
        <v/>
      </c>
      <c r="HU34" s="755" t="str">
        <f t="shared" ca="1" si="55"/>
        <v/>
      </c>
      <c r="HV34" s="756" t="str">
        <f ca="1">IF(COUNTIF(HV$10:HV33,OFFSET(A1_原単位2026,29,HL34+2))&gt;=1,"",OFFSET(A1_原単位2026,29,HL34+2)&amp;"")</f>
        <v/>
      </c>
      <c r="HW34" s="759" t="str">
        <f t="shared" ca="1" si="56"/>
        <v/>
      </c>
      <c r="HX34" s="760" t="str">
        <f t="shared" ca="1" si="57"/>
        <v/>
      </c>
      <c r="HY34" s="755" t="str">
        <f t="shared" ca="1" si="58"/>
        <v/>
      </c>
      <c r="HZ34" s="756" t="str">
        <f ca="1">IF(COUNTIF(HZ$10:HZ33,OFFSET(A1_原単位2026,41,HL34+2))&gt;=1,"",OFFSET(A1_原単位2026,41,HL34+2)&amp;"")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IF(COUNTIF(HN$10:HN34,OFFSET(A1_原単位2026,5,HL35+2))&gt;=1,"",OFFSET(A1_原単位2026,5,HL35+2)&amp;"")</f>
        <v/>
      </c>
      <c r="HO35" s="757" t="str">
        <f t="shared" ca="1" si="50"/>
        <v/>
      </c>
      <c r="HP35" s="758" t="str">
        <f t="shared" ca="1" si="51"/>
        <v/>
      </c>
      <c r="HQ35" s="755" t="str">
        <f t="shared" ca="1" si="52"/>
        <v/>
      </c>
      <c r="HR35" s="756" t="str">
        <f ca="1">IF(COUNTIF(HR$10:HR34,OFFSET(A1_原単位2026,17,HL35+2))&gt;=1,"",OFFSET(A1_原単位2026,17,HL35+2)&amp;"")</f>
        <v/>
      </c>
      <c r="HS35" s="759" t="str">
        <f t="shared" ca="1" si="53"/>
        <v/>
      </c>
      <c r="HT35" s="760" t="str">
        <f t="shared" ca="1" si="54"/>
        <v/>
      </c>
      <c r="HU35" s="755" t="str">
        <f t="shared" ca="1" si="55"/>
        <v/>
      </c>
      <c r="HV35" s="756" t="str">
        <f ca="1">IF(COUNTIF(HV$10:HV34,OFFSET(A1_原単位2026,29,HL35+2))&gt;=1,"",OFFSET(A1_原単位2026,29,HL35+2)&amp;"")</f>
        <v/>
      </c>
      <c r="HW35" s="759" t="str">
        <f t="shared" ca="1" si="56"/>
        <v/>
      </c>
      <c r="HX35" s="760" t="str">
        <f t="shared" ca="1" si="57"/>
        <v/>
      </c>
      <c r="HY35" s="755" t="str">
        <f t="shared" ca="1" si="58"/>
        <v/>
      </c>
      <c r="HZ35" s="756" t="str">
        <f ca="1">IF(COUNTIF(HZ$10:HZ34,OFFSET(A1_原単位2026,41,HL35+2))&gt;=1,"",OFFSET(A1_原単位2026,41,HL35+2)&amp;"")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IF(COUNTIF(HN$10:HN35,OFFSET(A1_原単位2026,5,HL36+2))&gt;=1,"",OFFSET(A1_原単位2026,5,HL36+2)&amp;"")</f>
        <v/>
      </c>
      <c r="HO36" s="757" t="str">
        <f t="shared" ca="1" si="50"/>
        <v/>
      </c>
      <c r="HP36" s="758" t="str">
        <f t="shared" ca="1" si="51"/>
        <v/>
      </c>
      <c r="HQ36" s="755" t="str">
        <f t="shared" ca="1" si="52"/>
        <v/>
      </c>
      <c r="HR36" s="756" t="str">
        <f ca="1">IF(COUNTIF(HR$10:HR35,OFFSET(A1_原単位2026,17,HL36+2))&gt;=1,"",OFFSET(A1_原単位2026,17,HL36+2)&amp;"")</f>
        <v/>
      </c>
      <c r="HS36" s="759" t="str">
        <f t="shared" ca="1" si="53"/>
        <v/>
      </c>
      <c r="HT36" s="760" t="str">
        <f t="shared" ca="1" si="54"/>
        <v/>
      </c>
      <c r="HU36" s="755" t="str">
        <f t="shared" ca="1" si="55"/>
        <v/>
      </c>
      <c r="HV36" s="756" t="str">
        <f ca="1">IF(COUNTIF(HV$10:HV35,OFFSET(A1_原単位2026,29,HL36+2))&gt;=1,"",OFFSET(A1_原単位2026,29,HL36+2)&amp;"")</f>
        <v/>
      </c>
      <c r="HW36" s="759" t="str">
        <f t="shared" ca="1" si="56"/>
        <v/>
      </c>
      <c r="HX36" s="760" t="str">
        <f t="shared" ca="1" si="57"/>
        <v/>
      </c>
      <c r="HY36" s="755" t="str">
        <f t="shared" ca="1" si="58"/>
        <v/>
      </c>
      <c r="HZ36" s="756" t="str">
        <f ca="1">IF(COUNTIF(HZ$10:HZ35,OFFSET(A1_原単位2026,41,HL36+2))&gt;=1,"",OFFSET(A1_原単位2026,41,HL36+2)&amp;"")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IF(COUNTIF(HN$10:HN36,OFFSET(A1_原単位2026,5,HL37+2))&gt;=1,"",OFFSET(A1_原単位2026,5,HL37+2)&amp;"")</f>
        <v/>
      </c>
      <c r="HO37" s="757" t="str">
        <f t="shared" ca="1" si="50"/>
        <v/>
      </c>
      <c r="HP37" s="758" t="str">
        <f t="shared" ca="1" si="51"/>
        <v/>
      </c>
      <c r="HQ37" s="755" t="str">
        <f t="shared" ca="1" si="52"/>
        <v/>
      </c>
      <c r="HR37" s="756" t="str">
        <f ca="1">IF(COUNTIF(HR$10:HR36,OFFSET(A1_原単位2026,17,HL37+2))&gt;=1,"",OFFSET(A1_原単位2026,17,HL37+2)&amp;"")</f>
        <v/>
      </c>
      <c r="HS37" s="759" t="str">
        <f t="shared" ca="1" si="53"/>
        <v/>
      </c>
      <c r="HT37" s="760" t="str">
        <f t="shared" ca="1" si="54"/>
        <v/>
      </c>
      <c r="HU37" s="755" t="str">
        <f t="shared" ca="1" si="55"/>
        <v/>
      </c>
      <c r="HV37" s="756" t="str">
        <f ca="1">IF(COUNTIF(HV$10:HV36,OFFSET(A1_原単位2026,29,HL37+2))&gt;=1,"",OFFSET(A1_原単位2026,29,HL37+2)&amp;"")</f>
        <v/>
      </c>
      <c r="HW37" s="759" t="str">
        <f t="shared" ca="1" si="56"/>
        <v/>
      </c>
      <c r="HX37" s="760" t="str">
        <f t="shared" ca="1" si="57"/>
        <v/>
      </c>
      <c r="HY37" s="755" t="str">
        <f t="shared" ca="1" si="58"/>
        <v/>
      </c>
      <c r="HZ37" s="756" t="str">
        <f ca="1">IF(COUNTIF(HZ$10:HZ36,OFFSET(A1_原単位2026,41,HL37+2))&gt;=1,"",OFFSET(A1_原単位2026,41,HL37+2)&amp;"")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IF(COUNTIF(HN$10:HN37,OFFSET(A1_原単位2026,5,HL38+2))&gt;=1,"",OFFSET(A1_原単位2026,5,HL38+2)&amp;"")</f>
        <v/>
      </c>
      <c r="HO38" s="757" t="str">
        <f t="shared" ca="1" si="50"/>
        <v/>
      </c>
      <c r="HP38" s="758" t="str">
        <f t="shared" ca="1" si="51"/>
        <v/>
      </c>
      <c r="HQ38" s="755" t="str">
        <f t="shared" ca="1" si="52"/>
        <v/>
      </c>
      <c r="HR38" s="756" t="str">
        <f ca="1">IF(COUNTIF(HR$10:HR37,OFFSET(A1_原単位2026,17,HL38+2))&gt;=1,"",OFFSET(A1_原単位2026,17,HL38+2)&amp;"")</f>
        <v/>
      </c>
      <c r="HS38" s="759" t="str">
        <f t="shared" ca="1" si="53"/>
        <v/>
      </c>
      <c r="HT38" s="760" t="str">
        <f t="shared" ca="1" si="54"/>
        <v/>
      </c>
      <c r="HU38" s="755" t="str">
        <f t="shared" ca="1" si="55"/>
        <v/>
      </c>
      <c r="HV38" s="756" t="str">
        <f ca="1">IF(COUNTIF(HV$10:HV37,OFFSET(A1_原単位2026,29,HL38+2))&gt;=1,"",OFFSET(A1_原単位2026,29,HL38+2)&amp;"")</f>
        <v/>
      </c>
      <c r="HW38" s="759" t="str">
        <f t="shared" ca="1" si="56"/>
        <v/>
      </c>
      <c r="HX38" s="760" t="str">
        <f t="shared" ca="1" si="57"/>
        <v/>
      </c>
      <c r="HY38" s="755" t="str">
        <f t="shared" ca="1" si="58"/>
        <v/>
      </c>
      <c r="HZ38" s="756" t="str">
        <f ca="1">IF(COUNTIF(HZ$10:HZ37,OFFSET(A1_原単位2026,41,HL38+2))&gt;=1,"",OFFSET(A1_原単位2026,41,HL38+2)&amp;"")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IF(COUNTIF(HN$10:HN38,OFFSET(A1_原単位2026,5,HL39+2))&gt;=1,"",OFFSET(A1_原単位2026,5,HL39+2)&amp;"")</f>
        <v/>
      </c>
      <c r="HO39" s="757" t="str">
        <f t="shared" ca="1" si="50"/>
        <v/>
      </c>
      <c r="HP39" s="758" t="str">
        <f t="shared" ca="1" si="51"/>
        <v/>
      </c>
      <c r="HQ39" s="755" t="str">
        <f t="shared" ca="1" si="52"/>
        <v/>
      </c>
      <c r="HR39" s="756" t="str">
        <f ca="1">IF(COUNTIF(HR$10:HR38,OFFSET(A1_原単位2026,17,HL39+2))&gt;=1,"",OFFSET(A1_原単位2026,17,HL39+2)&amp;"")</f>
        <v/>
      </c>
      <c r="HS39" s="759" t="str">
        <f t="shared" ca="1" si="53"/>
        <v/>
      </c>
      <c r="HT39" s="760" t="str">
        <f t="shared" ca="1" si="54"/>
        <v/>
      </c>
      <c r="HU39" s="755" t="str">
        <f t="shared" ca="1" si="55"/>
        <v/>
      </c>
      <c r="HV39" s="756" t="str">
        <f ca="1">IF(COUNTIF(HV$10:HV38,OFFSET(A1_原単位2026,29,HL39+2))&gt;=1,"",OFFSET(A1_原単位2026,29,HL39+2)&amp;"")</f>
        <v/>
      </c>
      <c r="HW39" s="759" t="str">
        <f t="shared" ca="1" si="56"/>
        <v/>
      </c>
      <c r="HX39" s="760" t="str">
        <f t="shared" ca="1" si="57"/>
        <v/>
      </c>
      <c r="HY39" s="755" t="str">
        <f t="shared" ca="1" si="58"/>
        <v/>
      </c>
      <c r="HZ39" s="756" t="str">
        <f ca="1">IF(COUNTIF(HZ$10:HZ38,OFFSET(A1_原単位2026,41,HL39+2))&gt;=1,"",OFFSET(A1_原単位2026,41,HL39+2)&amp;"")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IF(COUNTIF(HN$10:HN39,OFFSET(A1_原単位2026,5,HL40+2))&gt;=1,"",OFFSET(A1_原単位2026,5,HL40+2)&amp;"")</f>
        <v/>
      </c>
      <c r="HO40" s="757" t="str">
        <f t="shared" ca="1" si="50"/>
        <v/>
      </c>
      <c r="HP40" s="758" t="str">
        <f t="shared" ca="1" si="51"/>
        <v/>
      </c>
      <c r="HQ40" s="755" t="str">
        <f t="shared" ca="1" si="52"/>
        <v/>
      </c>
      <c r="HR40" s="756" t="str">
        <f ca="1">IF(COUNTIF(HR$10:HR39,OFFSET(A1_原単位2026,17,HL40+2))&gt;=1,"",OFFSET(A1_原単位2026,17,HL40+2)&amp;"")</f>
        <v/>
      </c>
      <c r="HS40" s="759" t="str">
        <f t="shared" ca="1" si="53"/>
        <v/>
      </c>
      <c r="HT40" s="760" t="str">
        <f t="shared" ca="1" si="54"/>
        <v/>
      </c>
      <c r="HU40" s="755" t="str">
        <f t="shared" ca="1" si="55"/>
        <v/>
      </c>
      <c r="HV40" s="756" t="str">
        <f ca="1">IF(COUNTIF(HV$10:HV39,OFFSET(A1_原単位2026,29,HL40+2))&gt;=1,"",OFFSET(A1_原単位2026,29,HL40+2)&amp;"")</f>
        <v/>
      </c>
      <c r="HW40" s="759" t="str">
        <f t="shared" ca="1" si="56"/>
        <v/>
      </c>
      <c r="HX40" s="760" t="str">
        <f t="shared" ca="1" si="57"/>
        <v/>
      </c>
      <c r="HY40" s="755" t="str">
        <f t="shared" ca="1" si="58"/>
        <v/>
      </c>
      <c r="HZ40" s="756" t="str">
        <f ca="1">IF(COUNTIF(HZ$10:HZ39,OFFSET(A1_原単位2026,41,HL40+2))&gt;=1,"",OFFSET(A1_原単位2026,41,HL40+2)&amp;"")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IF(COUNTIF(HN$10:HN40,OFFSET(A1_原単位2026,5,HL41+2))&gt;=1,"",OFFSET(A1_原単位2026,5,HL41+2)&amp;"")</f>
        <v/>
      </c>
      <c r="HO41" s="757" t="str">
        <f t="shared" ca="1" si="50"/>
        <v/>
      </c>
      <c r="HP41" s="758" t="str">
        <f t="shared" ca="1" si="51"/>
        <v/>
      </c>
      <c r="HQ41" s="755" t="str">
        <f t="shared" ca="1" si="52"/>
        <v/>
      </c>
      <c r="HR41" s="756" t="str">
        <f ca="1">IF(COUNTIF(HR$10:HR40,OFFSET(A1_原単位2026,17,HL41+2))&gt;=1,"",OFFSET(A1_原単位2026,17,HL41+2)&amp;"")</f>
        <v/>
      </c>
      <c r="HS41" s="759" t="str">
        <f t="shared" ca="1" si="53"/>
        <v/>
      </c>
      <c r="HT41" s="760" t="str">
        <f t="shared" ca="1" si="54"/>
        <v/>
      </c>
      <c r="HU41" s="755" t="str">
        <f t="shared" ca="1" si="55"/>
        <v/>
      </c>
      <c r="HV41" s="756" t="str">
        <f ca="1">IF(COUNTIF(HV$10:HV40,OFFSET(A1_原単位2026,29,HL41+2))&gt;=1,"",OFFSET(A1_原単位2026,29,HL41+2)&amp;"")</f>
        <v/>
      </c>
      <c r="HW41" s="759" t="str">
        <f t="shared" ca="1" si="56"/>
        <v/>
      </c>
      <c r="HX41" s="760" t="str">
        <f t="shared" ca="1" si="57"/>
        <v/>
      </c>
      <c r="HY41" s="755" t="str">
        <f t="shared" ca="1" si="58"/>
        <v/>
      </c>
      <c r="HZ41" s="756" t="str">
        <f ca="1">IF(COUNTIF(HZ$10:HZ40,OFFSET(A1_原単位2026,41,HL41+2))&gt;=1,"",OFFSET(A1_原単位2026,41,HL41+2)&amp;"")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OFFSET(A1_原単位2025,6,$HL42+2)</f>
        <v/>
      </c>
      <c r="HN42" s="756" t="str">
        <f ca="1">IF(COUNTIF(HN$10:HN41,OFFSET(A1_原単位2026,5,HL42+2))&gt;=1,"",OFFSET(A1_原単位2026,5,HL42+2)&amp;"")</f>
        <v/>
      </c>
      <c r="HO42" s="757" t="str">
        <f t="shared" ca="1" si="50"/>
        <v/>
      </c>
      <c r="HP42" s="758" t="str">
        <f t="shared" ref="HP42:HP59" ca="1" si="68">IF(HN42="","",HYPERLINK("#"&amp;OFFSET(A1_原単位2026,66,$HL42+2),OFFSET(A1_原単位2026,62,$HL42+2)))</f>
        <v/>
      </c>
      <c r="HQ42" s="755" t="str">
        <f t="shared" ref="HQ42:HQ59" ca="1" si="69">OFFSET(A1_原単位2025,18,$HL42+2)</f>
        <v/>
      </c>
      <c r="HR42" s="756" t="str">
        <f ca="1">IF(COUNTIF(HR$10:HR41,OFFSET(A1_原単位2026,17,HL42+2))&gt;=1,"",OFFSET(A1_原単位2026,17,HL42+2)&amp;"")</f>
        <v/>
      </c>
      <c r="HS42" s="759" t="str">
        <f t="shared" ca="1" si="53"/>
        <v/>
      </c>
      <c r="HT42" s="760" t="str">
        <f t="shared" ref="HT42:HT59" ca="1" si="70">IF(HR42="","",HYPERLINK("#"&amp;OFFSET(A1_原単位2026,67,$HL42+2),OFFSET(A1_原単位2026,63,$HL42+2)))</f>
        <v/>
      </c>
      <c r="HU42" s="755" t="str">
        <f t="shared" ref="HU42:HU59" ca="1" si="71">OFFSET(A1_原単位2025,30,$HL42+2)</f>
        <v/>
      </c>
      <c r="HV42" s="756" t="str">
        <f ca="1">IF(COUNTIF(HV$10:HV41,OFFSET(A1_原単位2026,29,HL42+2))&gt;=1,"",OFFSET(A1_原単位2026,29,HL42+2)&amp;"")</f>
        <v/>
      </c>
      <c r="HW42" s="759" t="str">
        <f t="shared" ca="1" si="56"/>
        <v/>
      </c>
      <c r="HX42" s="760" t="str">
        <f t="shared" ref="HX42:HX59" ca="1" si="72">IF(HV42="","",HYPERLINK("#"&amp;OFFSET(A1_原単位2026,68,$HL42+2),OFFSET(A1_原単位2026,64,$HL42+2)))</f>
        <v/>
      </c>
      <c r="HY42" s="755" t="str">
        <f t="shared" ref="HY42:HY59" ca="1" si="73">OFFSET(A1_原単位2025,42,$HL42+2)</f>
        <v/>
      </c>
      <c r="HZ42" s="756" t="str">
        <f ca="1">IF(COUNTIF(HZ$10:HZ41,OFFSET(A1_原単位2026,41,HL42+2))&gt;=1,"",OFFSET(A1_原単位2026,41,HL42+2)&amp;"")</f>
        <v/>
      </c>
      <c r="IA42" s="761" t="str">
        <f t="shared" ca="1" si="59"/>
        <v/>
      </c>
      <c r="IB42" s="762" t="str">
        <f t="shared" ref="IB42:IB59" ca="1" si="74">IF(HZ42="","",HYPERLINK("#"&amp;OFFSET(A1_原単位2026,69,$HL42+2),OFFSET(A1_原単位2026,65,$HL42+2)))</f>
        <v/>
      </c>
      <c r="IE42" s="244" t="str">
        <f t="shared" ref="IE42:IE59" ca="1" si="75">IF($HN42="","",ADDRESS(ROW(貼付け_2026実績)+5,OFFSET(A1_原単位2026,7,$HL42+2)+COLUMN(貼付け_2026実績)+1,4))</f>
        <v/>
      </c>
      <c r="IF42" s="244" t="str">
        <f t="shared" ref="IF42:IF59" ca="1" si="76">IF($HR42="","",ADDRESS(ROW(貼付け_2026実績)+5,OFFSET(A1_原単位2026,19,$HL42+2)+COLUMN(貼付け_2026実績)+1,4))</f>
        <v/>
      </c>
      <c r="IG42" s="244" t="str">
        <f t="shared" ref="IG42:IG59" ca="1" si="77">IF($HV42="","",ADDRESS(ROW(貼付け_2026実績)+5,OFFSET(A1_原単位2026,31,$HL42+2)+COLUMN(貼付け_2026実績)+1,4))</f>
        <v/>
      </c>
      <c r="IH42" s="244" t="str">
        <f t="shared" ref="IH42:IH59" ca="1" si="78">IF($HZ42="","",ADDRESS(ROW(貼付け_2026実績)+5,OFFSET(A1_原単位2026,43,$HL42+2)+COLUMN(貼付け_2026実績)+1,4))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IF(COUNTIF(HN$10:HN42,OFFSET(A1_原単位2026,5,HL43+2))&gt;=1,"",OFFSET(A1_原単位2026,5,HL43+2)&amp;"")</f>
        <v/>
      </c>
      <c r="HO43" s="757" t="str">
        <f t="shared" ca="1" si="50"/>
        <v/>
      </c>
      <c r="HP43" s="758" t="str">
        <f t="shared" ca="1" si="68"/>
        <v/>
      </c>
      <c r="HQ43" s="755" t="str">
        <f t="shared" ca="1" si="69"/>
        <v/>
      </c>
      <c r="HR43" s="756" t="str">
        <f ca="1">IF(COUNTIF(HR$10:HR42,OFFSET(A1_原単位2026,17,HL43+2))&gt;=1,"",OFFSET(A1_原単位2026,17,HL43+2)&amp;"")</f>
        <v/>
      </c>
      <c r="HS43" s="759" t="str">
        <f t="shared" ca="1" si="53"/>
        <v/>
      </c>
      <c r="HT43" s="760" t="str">
        <f t="shared" ca="1" si="70"/>
        <v/>
      </c>
      <c r="HU43" s="755" t="str">
        <f t="shared" ca="1" si="71"/>
        <v/>
      </c>
      <c r="HV43" s="756" t="str">
        <f ca="1">IF(COUNTIF(HV$10:HV42,OFFSET(A1_原単位2026,29,HL43+2))&gt;=1,"",OFFSET(A1_原単位2026,29,HL43+2)&amp;"")</f>
        <v/>
      </c>
      <c r="HW43" s="759" t="str">
        <f t="shared" ca="1" si="56"/>
        <v/>
      </c>
      <c r="HX43" s="760" t="str">
        <f t="shared" ca="1" si="72"/>
        <v/>
      </c>
      <c r="HY43" s="755" t="str">
        <f t="shared" ca="1" si="73"/>
        <v/>
      </c>
      <c r="HZ43" s="756" t="str">
        <f ca="1">IF(COUNTIF(HZ$10:HZ42,OFFSET(A1_原単位2026,41,HL43+2))&gt;=1,"",OFFSET(A1_原単位2026,41,HL43+2)&amp;"")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IF(COUNTIF(HN$10:HN43,OFFSET(A1_原単位2026,5,HL44+2))&gt;=1,"",OFFSET(A1_原単位2026,5,HL44+2)&amp;"")</f>
        <v/>
      </c>
      <c r="HO44" s="757" t="str">
        <f t="shared" ca="1" si="50"/>
        <v/>
      </c>
      <c r="HP44" s="758" t="str">
        <f t="shared" ca="1" si="68"/>
        <v/>
      </c>
      <c r="HQ44" s="755" t="str">
        <f t="shared" ca="1" si="69"/>
        <v/>
      </c>
      <c r="HR44" s="756" t="str">
        <f ca="1">IF(COUNTIF(HR$10:HR43,OFFSET(A1_原単位2026,17,HL44+2))&gt;=1,"",OFFSET(A1_原単位2026,17,HL44+2)&amp;"")</f>
        <v/>
      </c>
      <c r="HS44" s="759" t="str">
        <f t="shared" ca="1" si="53"/>
        <v/>
      </c>
      <c r="HT44" s="760" t="str">
        <f t="shared" ca="1" si="70"/>
        <v/>
      </c>
      <c r="HU44" s="755" t="str">
        <f t="shared" ca="1" si="71"/>
        <v/>
      </c>
      <c r="HV44" s="756" t="str">
        <f ca="1">IF(COUNTIF(HV$10:HV43,OFFSET(A1_原単位2026,29,HL44+2))&gt;=1,"",OFFSET(A1_原単位2026,29,HL44+2)&amp;"")</f>
        <v/>
      </c>
      <c r="HW44" s="759" t="str">
        <f t="shared" ca="1" si="56"/>
        <v/>
      </c>
      <c r="HX44" s="760" t="str">
        <f t="shared" ca="1" si="72"/>
        <v/>
      </c>
      <c r="HY44" s="755" t="str">
        <f t="shared" ca="1" si="73"/>
        <v/>
      </c>
      <c r="HZ44" s="756" t="str">
        <f ca="1">IF(COUNTIF(HZ$10:HZ43,OFFSET(A1_原単位2026,41,HL44+2))&gt;=1,"",OFFSET(A1_原単位2026,41,HL44+2)&amp;"")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IF(COUNTIF(HN$10:HN44,OFFSET(A1_原単位2026,5,HL45+2))&gt;=1,"",OFFSET(A1_原単位2026,5,HL45+2)&amp;"")</f>
        <v/>
      </c>
      <c r="HO45" s="757" t="str">
        <f t="shared" ca="1" si="50"/>
        <v/>
      </c>
      <c r="HP45" s="758" t="str">
        <f t="shared" ca="1" si="68"/>
        <v/>
      </c>
      <c r="HQ45" s="755" t="str">
        <f t="shared" ca="1" si="69"/>
        <v/>
      </c>
      <c r="HR45" s="756" t="str">
        <f ca="1">IF(COUNTIF(HR$10:HR44,OFFSET(A1_原単位2026,17,HL45+2))&gt;=1,"",OFFSET(A1_原単位2026,17,HL45+2)&amp;"")</f>
        <v/>
      </c>
      <c r="HS45" s="759" t="str">
        <f t="shared" ca="1" si="53"/>
        <v/>
      </c>
      <c r="HT45" s="760" t="str">
        <f t="shared" ca="1" si="70"/>
        <v/>
      </c>
      <c r="HU45" s="755" t="str">
        <f t="shared" ca="1" si="71"/>
        <v/>
      </c>
      <c r="HV45" s="756" t="str">
        <f ca="1">IF(COUNTIF(HV$10:HV44,OFFSET(A1_原単位2026,29,HL45+2))&gt;=1,"",OFFSET(A1_原単位2026,29,HL45+2)&amp;"")</f>
        <v/>
      </c>
      <c r="HW45" s="759" t="str">
        <f t="shared" ca="1" si="56"/>
        <v/>
      </c>
      <c r="HX45" s="760" t="str">
        <f t="shared" ca="1" si="72"/>
        <v/>
      </c>
      <c r="HY45" s="755" t="str">
        <f t="shared" ca="1" si="73"/>
        <v/>
      </c>
      <c r="HZ45" s="756" t="str">
        <f ca="1">IF(COUNTIF(HZ$10:HZ44,OFFSET(A1_原単位2026,41,HL45+2))&gt;=1,"",OFFSET(A1_原単位2026,41,HL45+2)&amp;"")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IF(COUNTIF(HN$10:HN45,OFFSET(A1_原単位2026,5,HL46+2))&gt;=1,"",OFFSET(A1_原単位2026,5,HL46+2)&amp;"")</f>
        <v/>
      </c>
      <c r="HO46" s="757" t="str">
        <f t="shared" ca="1" si="50"/>
        <v/>
      </c>
      <c r="HP46" s="758" t="str">
        <f t="shared" ca="1" si="68"/>
        <v/>
      </c>
      <c r="HQ46" s="755" t="str">
        <f t="shared" ca="1" si="69"/>
        <v/>
      </c>
      <c r="HR46" s="756" t="str">
        <f ca="1">IF(COUNTIF(HR$10:HR45,OFFSET(A1_原単位2026,17,HL46+2))&gt;=1,"",OFFSET(A1_原単位2026,17,HL46+2)&amp;"")</f>
        <v/>
      </c>
      <c r="HS46" s="759" t="str">
        <f t="shared" ca="1" si="53"/>
        <v/>
      </c>
      <c r="HT46" s="760" t="str">
        <f t="shared" ca="1" si="70"/>
        <v/>
      </c>
      <c r="HU46" s="755" t="str">
        <f t="shared" ca="1" si="71"/>
        <v/>
      </c>
      <c r="HV46" s="756" t="str">
        <f ca="1">IF(COUNTIF(HV$10:HV45,OFFSET(A1_原単位2026,29,HL46+2))&gt;=1,"",OFFSET(A1_原単位2026,29,HL46+2)&amp;"")</f>
        <v/>
      </c>
      <c r="HW46" s="759" t="str">
        <f t="shared" ca="1" si="56"/>
        <v/>
      </c>
      <c r="HX46" s="760" t="str">
        <f t="shared" ca="1" si="72"/>
        <v/>
      </c>
      <c r="HY46" s="755" t="str">
        <f t="shared" ca="1" si="73"/>
        <v/>
      </c>
      <c r="HZ46" s="756" t="str">
        <f ca="1">IF(COUNTIF(HZ$10:HZ45,OFFSET(A1_原単位2026,41,HL46+2))&gt;=1,"",OFFSET(A1_原単位2026,41,HL46+2)&amp;"")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IF(COUNTIF(HN$10:HN46,OFFSET(A1_原単位2026,5,HL47+2))&gt;=1,"",OFFSET(A1_原単位2026,5,HL47+2)&amp;"")</f>
        <v/>
      </c>
      <c r="HO47" s="757" t="str">
        <f t="shared" ca="1" si="50"/>
        <v/>
      </c>
      <c r="HP47" s="758" t="str">
        <f t="shared" ca="1" si="68"/>
        <v/>
      </c>
      <c r="HQ47" s="755" t="str">
        <f t="shared" ca="1" si="69"/>
        <v/>
      </c>
      <c r="HR47" s="756" t="str">
        <f ca="1">IF(COUNTIF(HR$10:HR46,OFFSET(A1_原単位2026,17,HL47+2))&gt;=1,"",OFFSET(A1_原単位2026,17,HL47+2)&amp;"")</f>
        <v/>
      </c>
      <c r="HS47" s="759" t="str">
        <f t="shared" ca="1" si="53"/>
        <v/>
      </c>
      <c r="HT47" s="760" t="str">
        <f t="shared" ca="1" si="70"/>
        <v/>
      </c>
      <c r="HU47" s="755" t="str">
        <f t="shared" ca="1" si="71"/>
        <v/>
      </c>
      <c r="HV47" s="756" t="str">
        <f ca="1">IF(COUNTIF(HV$10:HV46,OFFSET(A1_原単位2026,29,HL47+2))&gt;=1,"",OFFSET(A1_原単位2026,29,HL47+2)&amp;"")</f>
        <v/>
      </c>
      <c r="HW47" s="759" t="str">
        <f t="shared" ca="1" si="56"/>
        <v/>
      </c>
      <c r="HX47" s="760" t="str">
        <f t="shared" ca="1" si="72"/>
        <v/>
      </c>
      <c r="HY47" s="755" t="str">
        <f t="shared" ca="1" si="73"/>
        <v/>
      </c>
      <c r="HZ47" s="756" t="str">
        <f ca="1">IF(COUNTIF(HZ$10:HZ46,OFFSET(A1_原単位2026,41,HL47+2))&gt;=1,"",OFFSET(A1_原単位2026,41,HL47+2)&amp;"")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IF(COUNTIF(HN$10:HN47,OFFSET(A1_原単位2026,5,HL48+2))&gt;=1,"",OFFSET(A1_原単位2026,5,HL48+2)&amp;"")</f>
        <v/>
      </c>
      <c r="HO48" s="757" t="str">
        <f t="shared" ca="1" si="50"/>
        <v/>
      </c>
      <c r="HP48" s="758" t="str">
        <f t="shared" ca="1" si="68"/>
        <v/>
      </c>
      <c r="HQ48" s="755" t="str">
        <f t="shared" ca="1" si="69"/>
        <v/>
      </c>
      <c r="HR48" s="756" t="str">
        <f ca="1">IF(COUNTIF(HR$10:HR47,OFFSET(A1_原単位2026,17,HL48+2))&gt;=1,"",OFFSET(A1_原単位2026,17,HL48+2)&amp;"")</f>
        <v/>
      </c>
      <c r="HS48" s="759" t="str">
        <f t="shared" ca="1" si="53"/>
        <v/>
      </c>
      <c r="HT48" s="760" t="str">
        <f t="shared" ca="1" si="70"/>
        <v/>
      </c>
      <c r="HU48" s="755" t="str">
        <f t="shared" ca="1" si="71"/>
        <v/>
      </c>
      <c r="HV48" s="756" t="str">
        <f ca="1">IF(COUNTIF(HV$10:HV47,OFFSET(A1_原単位2026,29,HL48+2))&gt;=1,"",OFFSET(A1_原単位2026,29,HL48+2)&amp;"")</f>
        <v/>
      </c>
      <c r="HW48" s="759" t="str">
        <f t="shared" ca="1" si="56"/>
        <v/>
      </c>
      <c r="HX48" s="760" t="str">
        <f t="shared" ca="1" si="72"/>
        <v/>
      </c>
      <c r="HY48" s="755" t="str">
        <f t="shared" ca="1" si="73"/>
        <v/>
      </c>
      <c r="HZ48" s="756" t="str">
        <f ca="1">IF(COUNTIF(HZ$10:HZ47,OFFSET(A1_原単位2026,41,HL48+2))&gt;=1,"",OFFSET(A1_原単位2026,41,HL48+2)&amp;"")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IF(COUNTIF(HN$10:HN48,OFFSET(A1_原単位2026,5,HL49+2))&gt;=1,"",OFFSET(A1_原単位2026,5,HL49+2)&amp;"")</f>
        <v/>
      </c>
      <c r="HO49" s="757" t="str">
        <f t="shared" ca="1" si="50"/>
        <v/>
      </c>
      <c r="HP49" s="758" t="str">
        <f t="shared" ca="1" si="68"/>
        <v/>
      </c>
      <c r="HQ49" s="755" t="str">
        <f t="shared" ca="1" si="69"/>
        <v/>
      </c>
      <c r="HR49" s="756" t="str">
        <f ca="1">IF(COUNTIF(HR$10:HR48,OFFSET(A1_原単位2026,17,HL49+2))&gt;=1,"",OFFSET(A1_原単位2026,17,HL49+2)&amp;"")</f>
        <v/>
      </c>
      <c r="HS49" s="759" t="str">
        <f t="shared" ca="1" si="53"/>
        <v/>
      </c>
      <c r="HT49" s="760" t="str">
        <f t="shared" ca="1" si="70"/>
        <v/>
      </c>
      <c r="HU49" s="755" t="str">
        <f t="shared" ca="1" si="71"/>
        <v/>
      </c>
      <c r="HV49" s="756" t="str">
        <f ca="1">IF(COUNTIF(HV$10:HV48,OFFSET(A1_原単位2026,29,HL49+2))&gt;=1,"",OFFSET(A1_原単位2026,29,HL49+2)&amp;"")</f>
        <v/>
      </c>
      <c r="HW49" s="759" t="str">
        <f t="shared" ca="1" si="56"/>
        <v/>
      </c>
      <c r="HX49" s="760" t="str">
        <f t="shared" ca="1" si="72"/>
        <v/>
      </c>
      <c r="HY49" s="755" t="str">
        <f t="shared" ca="1" si="73"/>
        <v/>
      </c>
      <c r="HZ49" s="756" t="str">
        <f ca="1">IF(COUNTIF(HZ$10:HZ48,OFFSET(A1_原単位2026,41,HL49+2))&gt;=1,"",OFFSET(A1_原単位2026,41,HL49+2)&amp;"")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IF(COUNTIF(HN$10:HN49,OFFSET(A1_原単位2026,5,HL50+2))&gt;=1,"",OFFSET(A1_原単位2026,5,HL50+2)&amp;"")</f>
        <v/>
      </c>
      <c r="HO50" s="757" t="str">
        <f t="shared" ca="1" si="50"/>
        <v/>
      </c>
      <c r="HP50" s="758" t="str">
        <f t="shared" ca="1" si="68"/>
        <v/>
      </c>
      <c r="HQ50" s="755" t="str">
        <f t="shared" ca="1" si="69"/>
        <v/>
      </c>
      <c r="HR50" s="756" t="str">
        <f ca="1">IF(COUNTIF(HR$10:HR49,OFFSET(A1_原単位2026,17,HL50+2))&gt;=1,"",OFFSET(A1_原単位2026,17,HL50+2)&amp;"")</f>
        <v/>
      </c>
      <c r="HS50" s="759" t="str">
        <f t="shared" ca="1" si="53"/>
        <v/>
      </c>
      <c r="HT50" s="760" t="str">
        <f t="shared" ca="1" si="70"/>
        <v/>
      </c>
      <c r="HU50" s="755" t="str">
        <f t="shared" ca="1" si="71"/>
        <v/>
      </c>
      <c r="HV50" s="756" t="str">
        <f ca="1">IF(COUNTIF(HV$10:HV49,OFFSET(A1_原単位2026,29,HL50+2))&gt;=1,"",OFFSET(A1_原単位2026,29,HL50+2)&amp;"")</f>
        <v/>
      </c>
      <c r="HW50" s="759" t="str">
        <f t="shared" ca="1" si="56"/>
        <v/>
      </c>
      <c r="HX50" s="760" t="str">
        <f t="shared" ca="1" si="72"/>
        <v/>
      </c>
      <c r="HY50" s="755" t="str">
        <f t="shared" ca="1" si="73"/>
        <v/>
      </c>
      <c r="HZ50" s="756" t="str">
        <f ca="1">IF(COUNTIF(HZ$10:HZ49,OFFSET(A1_原単位2026,41,HL50+2))&gt;=1,"",OFFSET(A1_原単位2026,41,HL50+2)&amp;"")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IF(COUNTIF(HN$10:HN50,OFFSET(A1_原単位2026,5,HL51+2))&gt;=1,"",OFFSET(A1_原単位2026,5,HL51+2)&amp;"")</f>
        <v/>
      </c>
      <c r="HO51" s="757" t="str">
        <f t="shared" ca="1" si="50"/>
        <v/>
      </c>
      <c r="HP51" s="758" t="str">
        <f t="shared" ca="1" si="68"/>
        <v/>
      </c>
      <c r="HQ51" s="755" t="str">
        <f t="shared" ca="1" si="69"/>
        <v/>
      </c>
      <c r="HR51" s="756" t="str">
        <f ca="1">IF(COUNTIF(HR$10:HR50,OFFSET(A1_原単位2026,17,HL51+2))&gt;=1,"",OFFSET(A1_原単位2026,17,HL51+2)&amp;"")</f>
        <v/>
      </c>
      <c r="HS51" s="759" t="str">
        <f t="shared" ca="1" si="53"/>
        <v/>
      </c>
      <c r="HT51" s="760" t="str">
        <f t="shared" ca="1" si="70"/>
        <v/>
      </c>
      <c r="HU51" s="755" t="str">
        <f t="shared" ca="1" si="71"/>
        <v/>
      </c>
      <c r="HV51" s="756" t="str">
        <f ca="1">IF(COUNTIF(HV$10:HV50,OFFSET(A1_原単位2026,29,HL51+2))&gt;=1,"",OFFSET(A1_原単位2026,29,HL51+2)&amp;"")</f>
        <v/>
      </c>
      <c r="HW51" s="759" t="str">
        <f t="shared" ca="1" si="56"/>
        <v/>
      </c>
      <c r="HX51" s="760" t="str">
        <f t="shared" ca="1" si="72"/>
        <v/>
      </c>
      <c r="HY51" s="755" t="str">
        <f t="shared" ca="1" si="73"/>
        <v/>
      </c>
      <c r="HZ51" s="756" t="str">
        <f ca="1">IF(COUNTIF(HZ$10:HZ50,OFFSET(A1_原単位2026,41,HL51+2))&gt;=1,"",OFFSET(A1_原単位2026,41,HL51+2)&amp;"")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IF(COUNTIF(HN$10:HN51,OFFSET(A1_原単位2026,5,HL52+2))&gt;=1,"",OFFSET(A1_原単位2026,5,HL52+2)&amp;"")</f>
        <v/>
      </c>
      <c r="HO52" s="757" t="str">
        <f t="shared" ca="1" si="50"/>
        <v/>
      </c>
      <c r="HP52" s="758" t="str">
        <f t="shared" ca="1" si="68"/>
        <v/>
      </c>
      <c r="HQ52" s="755" t="str">
        <f t="shared" ca="1" si="69"/>
        <v/>
      </c>
      <c r="HR52" s="756" t="str">
        <f ca="1">IF(COUNTIF(HR$10:HR51,OFFSET(A1_原単位2026,17,HL52+2))&gt;=1,"",OFFSET(A1_原単位2026,17,HL52+2)&amp;"")</f>
        <v/>
      </c>
      <c r="HS52" s="759" t="str">
        <f t="shared" ca="1" si="53"/>
        <v/>
      </c>
      <c r="HT52" s="760" t="str">
        <f t="shared" ca="1" si="70"/>
        <v/>
      </c>
      <c r="HU52" s="755" t="str">
        <f t="shared" ca="1" si="71"/>
        <v/>
      </c>
      <c r="HV52" s="756" t="str">
        <f ca="1">IF(COUNTIF(HV$10:HV51,OFFSET(A1_原単位2026,29,HL52+2))&gt;=1,"",OFFSET(A1_原単位2026,29,HL52+2)&amp;"")</f>
        <v/>
      </c>
      <c r="HW52" s="759" t="str">
        <f t="shared" ca="1" si="56"/>
        <v/>
      </c>
      <c r="HX52" s="760" t="str">
        <f t="shared" ca="1" si="72"/>
        <v/>
      </c>
      <c r="HY52" s="755" t="str">
        <f t="shared" ca="1" si="73"/>
        <v/>
      </c>
      <c r="HZ52" s="756" t="str">
        <f ca="1">IF(COUNTIF(HZ$10:HZ51,OFFSET(A1_原単位2026,41,HL52+2))&gt;=1,"",OFFSET(A1_原単位2026,41,HL52+2)&amp;"")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IF(COUNTIF(HN$10:HN52,OFFSET(A1_原単位2026,5,HL53+2))&gt;=1,"",OFFSET(A1_原単位2026,5,HL53+2)&amp;"")</f>
        <v/>
      </c>
      <c r="HO53" s="757" t="str">
        <f t="shared" ca="1" si="50"/>
        <v/>
      </c>
      <c r="HP53" s="758" t="str">
        <f t="shared" ca="1" si="68"/>
        <v/>
      </c>
      <c r="HQ53" s="755" t="str">
        <f t="shared" ca="1" si="69"/>
        <v/>
      </c>
      <c r="HR53" s="756" t="str">
        <f ca="1">IF(COUNTIF(HR$10:HR52,OFFSET(A1_原単位2026,17,HL53+2))&gt;=1,"",OFFSET(A1_原単位2026,17,HL53+2)&amp;"")</f>
        <v/>
      </c>
      <c r="HS53" s="759" t="str">
        <f t="shared" ca="1" si="53"/>
        <v/>
      </c>
      <c r="HT53" s="760" t="str">
        <f t="shared" ca="1" si="70"/>
        <v/>
      </c>
      <c r="HU53" s="755" t="str">
        <f t="shared" ca="1" si="71"/>
        <v/>
      </c>
      <c r="HV53" s="756" t="str">
        <f ca="1">IF(COUNTIF(HV$10:HV52,OFFSET(A1_原単位2026,29,HL53+2))&gt;=1,"",OFFSET(A1_原単位2026,29,HL53+2)&amp;"")</f>
        <v/>
      </c>
      <c r="HW53" s="759" t="str">
        <f t="shared" ca="1" si="56"/>
        <v/>
      </c>
      <c r="HX53" s="760" t="str">
        <f t="shared" ca="1" si="72"/>
        <v/>
      </c>
      <c r="HY53" s="755" t="str">
        <f t="shared" ca="1" si="73"/>
        <v/>
      </c>
      <c r="HZ53" s="756" t="str">
        <f ca="1">IF(COUNTIF(HZ$10:HZ52,OFFSET(A1_原単位2026,41,HL53+2))&gt;=1,"",OFFSET(A1_原単位2026,41,HL53+2)&amp;"")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IF(COUNTIF(HN$10:HN53,OFFSET(A1_原単位2026,5,HL54+2))&gt;=1,"",OFFSET(A1_原単位2026,5,HL54+2)&amp;"")</f>
        <v/>
      </c>
      <c r="HO54" s="757" t="str">
        <f t="shared" ca="1" si="50"/>
        <v/>
      </c>
      <c r="HP54" s="758" t="str">
        <f t="shared" ca="1" si="68"/>
        <v/>
      </c>
      <c r="HQ54" s="755" t="str">
        <f t="shared" ca="1" si="69"/>
        <v/>
      </c>
      <c r="HR54" s="756" t="str">
        <f ca="1">IF(COUNTIF(HR$10:HR53,OFFSET(A1_原単位2026,17,HL54+2))&gt;=1,"",OFFSET(A1_原単位2026,17,HL54+2)&amp;"")</f>
        <v/>
      </c>
      <c r="HS54" s="759" t="str">
        <f t="shared" ca="1" si="53"/>
        <v/>
      </c>
      <c r="HT54" s="760" t="str">
        <f t="shared" ca="1" si="70"/>
        <v/>
      </c>
      <c r="HU54" s="755" t="str">
        <f t="shared" ca="1" si="71"/>
        <v/>
      </c>
      <c r="HV54" s="756" t="str">
        <f ca="1">IF(COUNTIF(HV$10:HV53,OFFSET(A1_原単位2026,29,HL54+2))&gt;=1,"",OFFSET(A1_原単位2026,29,HL54+2)&amp;"")</f>
        <v/>
      </c>
      <c r="HW54" s="759" t="str">
        <f t="shared" ca="1" si="56"/>
        <v/>
      </c>
      <c r="HX54" s="760" t="str">
        <f t="shared" ca="1" si="72"/>
        <v/>
      </c>
      <c r="HY54" s="755" t="str">
        <f t="shared" ca="1" si="73"/>
        <v/>
      </c>
      <c r="HZ54" s="756" t="str">
        <f ca="1">IF(COUNTIF(HZ$10:HZ53,OFFSET(A1_原単位2026,41,HL54+2))&gt;=1,"",OFFSET(A1_原単位2026,41,HL54+2)&amp;"")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IF(COUNTIF(HN$10:HN54,OFFSET(A1_原単位2026,5,HL55+2))&gt;=1,"",OFFSET(A1_原単位2026,5,HL55+2)&amp;"")</f>
        <v/>
      </c>
      <c r="HO55" s="757" t="str">
        <f t="shared" ca="1" si="50"/>
        <v/>
      </c>
      <c r="HP55" s="758" t="str">
        <f t="shared" ca="1" si="68"/>
        <v/>
      </c>
      <c r="HQ55" s="755" t="str">
        <f t="shared" ca="1" si="69"/>
        <v/>
      </c>
      <c r="HR55" s="756" t="str">
        <f ca="1">IF(COUNTIF(HR$10:HR54,OFFSET(A1_原単位2026,17,HL55+2))&gt;=1,"",OFFSET(A1_原単位2026,17,HL55+2)&amp;"")</f>
        <v/>
      </c>
      <c r="HS55" s="759" t="str">
        <f t="shared" ca="1" si="53"/>
        <v/>
      </c>
      <c r="HT55" s="760" t="str">
        <f t="shared" ca="1" si="70"/>
        <v/>
      </c>
      <c r="HU55" s="755" t="str">
        <f t="shared" ca="1" si="71"/>
        <v/>
      </c>
      <c r="HV55" s="756" t="str">
        <f ca="1">IF(COUNTIF(HV$10:HV54,OFFSET(A1_原単位2026,29,HL55+2))&gt;=1,"",OFFSET(A1_原単位2026,29,HL55+2)&amp;"")</f>
        <v/>
      </c>
      <c r="HW55" s="759" t="str">
        <f t="shared" ca="1" si="56"/>
        <v/>
      </c>
      <c r="HX55" s="760" t="str">
        <f t="shared" ca="1" si="72"/>
        <v/>
      </c>
      <c r="HY55" s="755" t="str">
        <f t="shared" ca="1" si="73"/>
        <v/>
      </c>
      <c r="HZ55" s="756" t="str">
        <f ca="1">IF(COUNTIF(HZ$10:HZ54,OFFSET(A1_原単位2026,41,HL55+2))&gt;=1,"",OFFSET(A1_原単位2026,41,HL55+2)&amp;"")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IF(COUNTIF(HN$10:HN55,OFFSET(A1_原単位2026,5,HL56+2))&gt;=1,"",OFFSET(A1_原単位2026,5,HL56+2)&amp;"")</f>
        <v/>
      </c>
      <c r="HO56" s="757" t="str">
        <f t="shared" ca="1" si="50"/>
        <v/>
      </c>
      <c r="HP56" s="758" t="str">
        <f t="shared" ca="1" si="68"/>
        <v/>
      </c>
      <c r="HQ56" s="755" t="str">
        <f t="shared" ca="1" si="69"/>
        <v/>
      </c>
      <c r="HR56" s="756" t="str">
        <f ca="1">IF(COUNTIF(HR$10:HR55,OFFSET(A1_原単位2026,17,HL56+2))&gt;=1,"",OFFSET(A1_原単位2026,17,HL56+2)&amp;"")</f>
        <v/>
      </c>
      <c r="HS56" s="759" t="str">
        <f t="shared" ca="1" si="53"/>
        <v/>
      </c>
      <c r="HT56" s="760" t="str">
        <f t="shared" ca="1" si="70"/>
        <v/>
      </c>
      <c r="HU56" s="755" t="str">
        <f t="shared" ca="1" si="71"/>
        <v/>
      </c>
      <c r="HV56" s="756" t="str">
        <f ca="1">IF(COUNTIF(HV$10:HV55,OFFSET(A1_原単位2026,29,HL56+2))&gt;=1,"",OFFSET(A1_原単位2026,29,HL56+2)&amp;"")</f>
        <v/>
      </c>
      <c r="HW56" s="759" t="str">
        <f t="shared" ca="1" si="56"/>
        <v/>
      </c>
      <c r="HX56" s="760" t="str">
        <f t="shared" ca="1" si="72"/>
        <v/>
      </c>
      <c r="HY56" s="755" t="str">
        <f t="shared" ca="1" si="73"/>
        <v/>
      </c>
      <c r="HZ56" s="756" t="str">
        <f ca="1">IF(COUNTIF(HZ$10:HZ55,OFFSET(A1_原単位2026,41,HL56+2))&gt;=1,"",OFFSET(A1_原単位2026,41,HL56+2)&amp;"")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IF(COUNTIF(HN$10:HN56,OFFSET(A1_原単位2026,5,HL57+2))&gt;=1,"",OFFSET(A1_原単位2026,5,HL57+2)&amp;"")</f>
        <v/>
      </c>
      <c r="HO57" s="757" t="str">
        <f t="shared" ca="1" si="50"/>
        <v/>
      </c>
      <c r="HP57" s="758" t="str">
        <f t="shared" ca="1" si="68"/>
        <v/>
      </c>
      <c r="HQ57" s="755" t="str">
        <f t="shared" ca="1" si="69"/>
        <v/>
      </c>
      <c r="HR57" s="756" t="str">
        <f ca="1">IF(COUNTIF(HR$10:HR56,OFFSET(A1_原単位2026,17,HL57+2))&gt;=1,"",OFFSET(A1_原単位2026,17,HL57+2)&amp;"")</f>
        <v/>
      </c>
      <c r="HS57" s="759" t="str">
        <f t="shared" ca="1" si="53"/>
        <v/>
      </c>
      <c r="HT57" s="760" t="str">
        <f t="shared" ca="1" si="70"/>
        <v/>
      </c>
      <c r="HU57" s="755" t="str">
        <f t="shared" ca="1" si="71"/>
        <v/>
      </c>
      <c r="HV57" s="756" t="str">
        <f ca="1">IF(COUNTIF(HV$10:HV56,OFFSET(A1_原単位2026,29,HL57+2))&gt;=1,"",OFFSET(A1_原単位2026,29,HL57+2)&amp;"")</f>
        <v/>
      </c>
      <c r="HW57" s="759" t="str">
        <f t="shared" ca="1" si="56"/>
        <v/>
      </c>
      <c r="HX57" s="760" t="str">
        <f t="shared" ca="1" si="72"/>
        <v/>
      </c>
      <c r="HY57" s="755" t="str">
        <f t="shared" ca="1" si="73"/>
        <v/>
      </c>
      <c r="HZ57" s="756" t="str">
        <f ca="1">IF(COUNTIF(HZ$10:HZ56,OFFSET(A1_原単位2026,41,HL57+2))&gt;=1,"",OFFSET(A1_原単位2026,41,HL57+2)&amp;"")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IF(COUNTIF(HN$10:HN57,OFFSET(A1_原単位2026,5,HL58+2))&gt;=1,"",OFFSET(A1_原単位2026,5,HL58+2)&amp;"")</f>
        <v/>
      </c>
      <c r="HO58" s="757" t="str">
        <f t="shared" ca="1" si="50"/>
        <v/>
      </c>
      <c r="HP58" s="758" t="str">
        <f t="shared" ca="1" si="68"/>
        <v/>
      </c>
      <c r="HQ58" s="755" t="str">
        <f t="shared" ca="1" si="69"/>
        <v/>
      </c>
      <c r="HR58" s="756" t="str">
        <f ca="1">IF(COUNTIF(HR$10:HR57,OFFSET(A1_原単位2026,17,HL58+2))&gt;=1,"",OFFSET(A1_原単位2026,17,HL58+2)&amp;"")</f>
        <v/>
      </c>
      <c r="HS58" s="759" t="str">
        <f t="shared" ca="1" si="53"/>
        <v/>
      </c>
      <c r="HT58" s="760" t="str">
        <f t="shared" ca="1" si="70"/>
        <v/>
      </c>
      <c r="HU58" s="755" t="str">
        <f t="shared" ca="1" si="71"/>
        <v/>
      </c>
      <c r="HV58" s="756" t="str">
        <f ca="1">IF(COUNTIF(HV$10:HV57,OFFSET(A1_原単位2026,29,HL58+2))&gt;=1,"",OFFSET(A1_原単位2026,29,HL58+2)&amp;"")</f>
        <v/>
      </c>
      <c r="HW58" s="759" t="str">
        <f t="shared" ca="1" si="56"/>
        <v/>
      </c>
      <c r="HX58" s="760" t="str">
        <f t="shared" ca="1" si="72"/>
        <v/>
      </c>
      <c r="HY58" s="755" t="str">
        <f t="shared" ca="1" si="73"/>
        <v/>
      </c>
      <c r="HZ58" s="756" t="str">
        <f ca="1">IF(COUNTIF(HZ$10:HZ57,OFFSET(A1_原単位2026,41,HL58+2))&gt;=1,"",OFFSET(A1_原単位2026,41,HL58+2)&amp;"")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IF(COUNTIF(HN$10:HN58,OFFSET(A1_原単位2026,5,HL59+2))&gt;=1,"",OFFSET(A1_原単位2026,5,HL59+2)&amp;"")</f>
        <v/>
      </c>
      <c r="HO59" s="767" t="str">
        <f t="shared" ca="1" si="50"/>
        <v/>
      </c>
      <c r="HP59" s="768" t="str">
        <f t="shared" ca="1" si="68"/>
        <v/>
      </c>
      <c r="HQ59" s="765" t="str">
        <f t="shared" ca="1" si="69"/>
        <v/>
      </c>
      <c r="HR59" s="766" t="str">
        <f ca="1">IF(COUNTIF(HR$10:HR58,OFFSET(A1_原単位2026,17,HL59+2))&gt;=1,"",OFFSET(A1_原単位2026,17,HL59+2)&amp;"")</f>
        <v/>
      </c>
      <c r="HS59" s="769" t="str">
        <f t="shared" ca="1" si="53"/>
        <v/>
      </c>
      <c r="HT59" s="770" t="str">
        <f t="shared" ca="1" si="70"/>
        <v/>
      </c>
      <c r="HU59" s="765" t="str">
        <f t="shared" ca="1" si="71"/>
        <v/>
      </c>
      <c r="HV59" s="766" t="str">
        <f ca="1">IF(COUNTIF(HV$10:HV58,OFFSET(A1_原単位2026,29,HL59+2))&gt;=1,"",OFFSET(A1_原単位2026,29,HL59+2)&amp;"")</f>
        <v/>
      </c>
      <c r="HW59" s="769" t="str">
        <f t="shared" ca="1" si="56"/>
        <v/>
      </c>
      <c r="HX59" s="770" t="str">
        <f t="shared" ca="1" si="72"/>
        <v/>
      </c>
      <c r="HY59" s="765" t="str">
        <f t="shared" ca="1" si="73"/>
        <v/>
      </c>
      <c r="HZ59" s="766" t="str">
        <f ca="1">IF(COUNTIF(HZ$10:HZ58,OFFSET(A1_原単位2026,41,HL59+2))&gt;=1,"",OFFSET(A1_原単位2026,41,HL59+2)&amp;"")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5" spans="1:242" s="193" customFormat="1" ht="20.100000000000001" hidden="1" customHeight="1">
      <c r="A225" s="201" t="s">
        <v>4321</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4322</v>
      </c>
      <c r="E226" s="180"/>
      <c r="F226" s="1084" t="s">
        <v>4260</v>
      </c>
      <c r="G226" s="1085" t="s">
        <v>4261</v>
      </c>
      <c r="H226" s="1085"/>
      <c r="I226" s="640" t="s">
        <v>4262</v>
      </c>
      <c r="J226" s="641"/>
      <c r="K226" s="216" t="str">
        <f ca="1">OFFSET(貼付け_2026実績,4,SUM(COLUMN()-COLUMN(貼付け_2026実績)))</f>
        <v>横浜1</v>
      </c>
      <c r="L226" s="217"/>
      <c r="M226" s="217"/>
      <c r="N226" s="218"/>
      <c r="O226" s="216" t="str">
        <f ca="1">OFFSET(貼付け_2026実績,4,SUM(COLUMN()-COLUMN(貼付け_2026実績)))</f>
        <v>横浜2</v>
      </c>
      <c r="P226" s="217"/>
      <c r="Q226" s="217"/>
      <c r="R226" s="218"/>
      <c r="S226" s="216" t="str">
        <f ca="1">OFFSET(貼付け_2026実績,4,SUM(COLUMN()-COLUMN(貼付け_2026実績)))</f>
        <v>横浜3</v>
      </c>
      <c r="T226" s="217"/>
      <c r="U226" s="217"/>
      <c r="V226" s="218"/>
      <c r="W226" s="216" t="str">
        <f ca="1">OFFSET(貼付け_2026実績,4,SUM(COLUMN()-COLUMN(貼付け_2026実績)))</f>
        <v>県域1</v>
      </c>
      <c r="X226" s="217"/>
      <c r="Y226" s="217"/>
      <c r="Z226" s="218"/>
      <c r="AA226" s="216" t="str">
        <f ca="1">OFFSET(貼付け_2026実績,4,SUM(COLUMN()-COLUMN(貼付け_2026実績)))</f>
        <v>県域2</v>
      </c>
      <c r="AB226" s="217"/>
      <c r="AC226" s="217"/>
      <c r="AD226" s="218"/>
      <c r="AE226" s="216" t="str">
        <f ca="1">OFFSET(貼付け_2026実績,4,SUM(COLUMN()-COLUMN(貼付け_2026実績)))</f>
        <v>県域3</v>
      </c>
      <c r="AF226" s="217"/>
      <c r="AG226" s="217"/>
      <c r="AH226" s="218"/>
      <c r="AI226" s="216" t="str">
        <f ca="1">OFFSET(貼付け_2026実績,4,SUM(COLUMN()-COLUMN(貼付け_2026実績)))</f>
        <v>エネルギー管理指定工場等1</v>
      </c>
      <c r="AJ226" s="217"/>
      <c r="AK226" s="217"/>
      <c r="AL226" s="218"/>
      <c r="AM226" s="216" t="str">
        <f ca="1">OFFSET(貼付け_2026実績,4,SUM(COLUMN()-COLUMN(貼付け_2026実績)))</f>
        <v>エネルギー管理指定工場等2</v>
      </c>
      <c r="AN226" s="217"/>
      <c r="AO226" s="217"/>
      <c r="AP226" s="218"/>
      <c r="AQ226" s="216" t="str">
        <f ca="1">OFFSET(貼付け_2026実績,4,SUM(COLUMN()-COLUMN(貼付け_2026実績)))</f>
        <v>エネルギー管理指定工場等3</v>
      </c>
      <c r="AR226" s="217"/>
      <c r="AS226" s="217"/>
      <c r="AT226" s="218"/>
      <c r="AU226" s="216" t="str">
        <f ca="1">OFFSET(貼付け_2026実績,4,SUM(COLUMN()-COLUMN(貼付け_2026実績)))</f>
        <v>エネルギー管理指定工場等4</v>
      </c>
      <c r="AV226" s="217"/>
      <c r="AW226" s="217"/>
      <c r="AX226" s="218"/>
      <c r="AY226" s="216" t="str">
        <f ca="1">OFFSET(貼付け_2026実績,4,SUM(COLUMN()-COLUMN(貼付け_2026実績)))</f>
        <v>エネルギー管理指定工場等5</v>
      </c>
      <c r="AZ226" s="217"/>
      <c r="BA226" s="217"/>
      <c r="BB226" s="218"/>
      <c r="BC226" s="216" t="str">
        <f ca="1">OFFSET(貼付け_2026実績,4,SUM(COLUMN()-COLUMN(貼付け_2026実績)))</f>
        <v>エネルギー管理指定工場等6</v>
      </c>
      <c r="BD226" s="217"/>
      <c r="BE226" s="217"/>
      <c r="BF226" s="218"/>
      <c r="BG226" s="216" t="str">
        <f ca="1">OFFSET(貼付け_2026実績,4,SUM(COLUMN()-COLUMN(貼付け_2026実績)))</f>
        <v>エネルギー管理指定工場等7</v>
      </c>
      <c r="BH226" s="217"/>
      <c r="BI226" s="217"/>
      <c r="BJ226" s="218"/>
      <c r="BK226" s="216" t="str">
        <f ca="1">OFFSET(貼付け_2026実績,4,SUM(COLUMN()-COLUMN(貼付け_2026実績)))</f>
        <v>エネルギー管理指定工場等8</v>
      </c>
      <c r="BL226" s="217"/>
      <c r="BM226" s="217"/>
      <c r="BN226" s="218"/>
      <c r="BO226" s="216" t="str">
        <f ca="1">OFFSET(貼付け_2026実績,4,SUM(COLUMN()-COLUMN(貼付け_2026実績)))</f>
        <v>エネルギー管理指定工場等9</v>
      </c>
      <c r="BP226" s="217"/>
      <c r="BQ226" s="217"/>
      <c r="BR226" s="218"/>
      <c r="BS226" s="216" t="str">
        <f ca="1">OFFSET(貼付け_2026実績,4,SUM(COLUMN()-COLUMN(貼付け_2026実績)))</f>
        <v>エネルギー管理指定工場等10</v>
      </c>
      <c r="BT226" s="217"/>
      <c r="BU226" s="217"/>
      <c r="BV226" s="218"/>
      <c r="BW226" s="216">
        <f ca="1">OFFSET(貼付け_2026実績,4,SUM(COLUMN()-COLUMN(貼付け_2026実績)))</f>
        <v>0</v>
      </c>
      <c r="BX226" s="217"/>
      <c r="BY226" s="217"/>
      <c r="BZ226" s="218"/>
      <c r="CA226" s="216" t="str">
        <f ca="1">OFFSET(貼付け_2026実績,4,SUM(COLUMN()-COLUMN(貼付け_2026実績)))</f>
        <v>県域4</v>
      </c>
      <c r="CB226" s="217"/>
      <c r="CC226" s="217"/>
      <c r="CD226" s="218"/>
      <c r="CE226" s="216" t="str">
        <f ca="1">OFFSET(貼付け_2026実績,4,SUM(COLUMN()-COLUMN(貼付け_2026実績)))</f>
        <v>県域5</v>
      </c>
      <c r="CF226" s="217"/>
      <c r="CG226" s="217"/>
      <c r="CH226" s="218"/>
      <c r="CI226" s="216" t="str">
        <f ca="1">OFFSET(貼付け_2026実績,4,SUM(COLUMN()-COLUMN(貼付け_2026実績)))</f>
        <v>県域6</v>
      </c>
      <c r="CJ226" s="217"/>
      <c r="CK226" s="217"/>
      <c r="CL226" s="218"/>
      <c r="CM226" s="216" t="str">
        <f ca="1">OFFSET(貼付け_2026実績,4,SUM(COLUMN()-COLUMN(貼付け_2026実績)))</f>
        <v>県域7</v>
      </c>
      <c r="CN226" s="217"/>
      <c r="CO226" s="217"/>
      <c r="CP226" s="218"/>
      <c r="CQ226" s="216" t="str">
        <f ca="1">OFFSET(貼付け_2026実績,4,SUM(COLUMN()-COLUMN(貼付け_2026実績)))</f>
        <v>県域8</v>
      </c>
      <c r="CR226" s="217"/>
      <c r="CS226" s="217"/>
      <c r="CT226" s="218"/>
      <c r="CU226" s="216" t="str">
        <f ca="1">OFFSET(貼付け_2026実績,4,SUM(COLUMN()-COLUMN(貼付け_2026実績)))</f>
        <v>県域9</v>
      </c>
      <c r="CV226" s="217"/>
      <c r="CW226" s="217"/>
      <c r="CX226" s="218"/>
      <c r="CY226" s="216" t="str">
        <f ca="1">OFFSET(貼付け_2026実績,4,SUM(COLUMN()-COLUMN(貼付け_2026実績)))</f>
        <v>県域10</v>
      </c>
      <c r="CZ226" s="217"/>
      <c r="DA226" s="217"/>
      <c r="DB226" s="218"/>
      <c r="DC226" s="216" t="str">
        <f ca="1">OFFSET(貼付け_2026実績,4,SUM(COLUMN()-COLUMN(貼付け_2026実績)))</f>
        <v>横浜3</v>
      </c>
      <c r="DD226" s="217"/>
      <c r="DE226" s="217"/>
      <c r="DF226" s="218"/>
      <c r="DG226" s="216" t="str">
        <f ca="1">OFFSET(貼付け_2026実績,4,SUM(COLUMN()-COLUMN(貼付け_2026実績)))</f>
        <v>横浜4</v>
      </c>
      <c r="DH226" s="217"/>
      <c r="DI226" s="217"/>
      <c r="DJ226" s="218"/>
      <c r="DK226" s="216" t="str">
        <f ca="1">OFFSET(貼付け_2026実績,4,SUM(COLUMN()-COLUMN(貼付け_2026実績)))</f>
        <v>横浜5</v>
      </c>
      <c r="DL226" s="217"/>
      <c r="DM226" s="217"/>
      <c r="DN226" s="218"/>
      <c r="DO226" s="216" t="str">
        <f ca="1">OFFSET(貼付け_2026実績,4,SUM(COLUMN()-COLUMN(貼付け_2026実績)))</f>
        <v>横浜6</v>
      </c>
      <c r="DP226" s="217"/>
      <c r="DQ226" s="217"/>
      <c r="DR226" s="218"/>
      <c r="DS226" s="216" t="str">
        <f ca="1">OFFSET(貼付け_2026実績,4,SUM(COLUMN()-COLUMN(貼付け_2026実績)))</f>
        <v>横浜7</v>
      </c>
      <c r="DT226" s="217"/>
      <c r="DU226" s="217"/>
      <c r="DV226" s="218"/>
      <c r="DW226" s="216" t="str">
        <f ca="1">OFFSET(貼付け_2026実績,4,SUM(COLUMN()-COLUMN(貼付け_2026実績)))</f>
        <v>横浜8</v>
      </c>
      <c r="DX226" s="217"/>
      <c r="DY226" s="217"/>
      <c r="DZ226" s="218"/>
      <c r="EA226" s="216" t="str">
        <f ca="1">OFFSET(貼付け_2026実績,4,SUM(COLUMN()-COLUMN(貼付け_2026実績)))</f>
        <v>横浜9</v>
      </c>
      <c r="EB226" s="217"/>
      <c r="EC226" s="217"/>
      <c r="ED226" s="218"/>
      <c r="EE226" s="216" t="str">
        <f ca="1">OFFSET(貼付け_2026実績,4,SUM(COLUMN()-COLUMN(貼付け_2026実績)))</f>
        <v>横浜10</v>
      </c>
      <c r="EF226" s="217"/>
      <c r="EG226" s="217"/>
      <c r="EH226" s="218"/>
      <c r="EI226" s="216" t="str">
        <f ca="1">OFFSET(貼付け_2026実績,4,SUM(COLUMN()-COLUMN(貼付け_2026実績)))</f>
        <v>川崎1</v>
      </c>
      <c r="EJ226" s="217"/>
      <c r="EK226" s="217"/>
      <c r="EL226" s="218"/>
      <c r="EM226" s="216" t="str">
        <f ca="1">OFFSET(貼付け_2026実績,4,SUM(COLUMN()-COLUMN(貼付け_2026実績)))</f>
        <v>川崎2</v>
      </c>
      <c r="EN226" s="217"/>
      <c r="EO226" s="217"/>
      <c r="EP226" s="218"/>
      <c r="EQ226" s="216" t="str">
        <f ca="1">OFFSET(貼付け_2026実績,4,SUM(COLUMN()-COLUMN(貼付け_2026実績)))</f>
        <v>川崎3</v>
      </c>
      <c r="ER226" s="217"/>
      <c r="ES226" s="217"/>
      <c r="ET226" s="218"/>
      <c r="EU226" s="216" t="str">
        <f ca="1">OFFSET(貼付け_2026実績,4,SUM(COLUMN()-COLUMN(貼付け_2026実績)))</f>
        <v>川崎6</v>
      </c>
      <c r="EV226" s="217"/>
      <c r="EW226" s="217"/>
      <c r="EX226" s="218"/>
      <c r="EY226" s="216" t="str">
        <f ca="1">OFFSET(貼付け_2026実績,4,SUM(COLUMN()-COLUMN(貼付け_2026実績)))</f>
        <v>川崎7</v>
      </c>
      <c r="EZ226" s="217"/>
      <c r="FA226" s="217"/>
      <c r="FB226" s="218"/>
      <c r="FC226" s="216" t="str">
        <f ca="1">OFFSET(貼付け_2026実績,4,SUM(COLUMN()-COLUMN(貼付け_2026実績)))</f>
        <v>川崎8</v>
      </c>
      <c r="FD226" s="217"/>
      <c r="FE226" s="217"/>
      <c r="FF226" s="218"/>
      <c r="FG226" s="216" t="str">
        <f ca="1">OFFSET(貼付け_2026実績,4,SUM(COLUMN()-COLUMN(貼付け_2026実績)))</f>
        <v>川崎9</v>
      </c>
      <c r="FH226" s="217"/>
      <c r="FI226" s="217"/>
      <c r="FJ226" s="218"/>
      <c r="FK226" s="216" t="str">
        <f ca="1">OFFSET(貼付け_2026実績,4,SUM(COLUMN()-COLUMN(貼付け_2026実績)))</f>
        <v>川崎10</v>
      </c>
      <c r="FL226" s="217"/>
      <c r="FM226" s="217"/>
      <c r="FN226" s="218"/>
      <c r="FO226" s="216" t="str">
        <f ca="1">OFFSET(貼付け_2026実績,4,SUM(COLUMN()-COLUMN(貼付け_2026実績)))</f>
        <v>川崎11</v>
      </c>
      <c r="FP226" s="217"/>
      <c r="FQ226" s="217"/>
      <c r="FR226" s="218"/>
      <c r="FS226" s="216" t="str">
        <f ca="1">OFFSET(貼付け_2026実績,4,SUM(COLUMN()-COLUMN(貼付け_2026実績)))</f>
        <v>川崎12</v>
      </c>
      <c r="FT226" s="217"/>
      <c r="FU226" s="217"/>
      <c r="FV226" s="218"/>
      <c r="FW226" s="216" t="str">
        <f ca="1">OFFSET(貼付け_2026実績,4,SUM(COLUMN()-COLUMN(貼付け_2026実績)))</f>
        <v>川崎13</v>
      </c>
      <c r="FX226" s="217"/>
      <c r="FY226" s="217"/>
      <c r="FZ226" s="218"/>
      <c r="GA226" s="216" t="str">
        <f ca="1">OFFSET(貼付け_2026実績,4,SUM(COLUMN()-COLUMN(貼付け_2026実績)))</f>
        <v>川崎14</v>
      </c>
      <c r="GB226" s="217"/>
      <c r="GC226" s="217"/>
      <c r="GD226" s="218"/>
      <c r="GE226" s="216" t="str">
        <f ca="1">OFFSET(貼付け_2026実績,4,SUM(COLUMN()-COLUMN(貼付け_2026実績)))</f>
        <v>川崎15</v>
      </c>
      <c r="GF226" s="217"/>
      <c r="GG226" s="217"/>
      <c r="GH226" s="218"/>
      <c r="GI226" s="216" t="str">
        <f ca="1">OFFSET(貼付け_2026実績,4,SUM(COLUMN()-COLUMN(貼付け_2026実績)))</f>
        <v>川崎16</v>
      </c>
      <c r="GJ226" s="217"/>
      <c r="GK226" s="217"/>
      <c r="GL226" s="218"/>
      <c r="GM226" s="216" t="str">
        <f ca="1">OFFSET(貼付け_2026実績,4,SUM(COLUMN()-COLUMN(貼付け_2026実績)))</f>
        <v>川崎17</v>
      </c>
      <c r="GN226" s="217"/>
      <c r="GO226" s="217"/>
      <c r="GP226" s="218"/>
      <c r="GQ226" s="216" t="str">
        <f ca="1">OFFSET(貼付け_2026実績,4,SUM(COLUMN()-COLUMN(貼付け_2026実績)))</f>
        <v>川崎18</v>
      </c>
      <c r="GR226" s="217"/>
      <c r="GS226" s="217"/>
      <c r="GT226" s="218"/>
      <c r="GU226" s="216" t="str">
        <f ca="1">OFFSET(貼付け_2026実績,4,SUM(COLUMN()-COLUMN(貼付け_2026実績)))</f>
        <v>川崎19</v>
      </c>
      <c r="GV226" s="217"/>
      <c r="GW226" s="217"/>
      <c r="GX226" s="218"/>
      <c r="GY226" s="216" t="str">
        <f ca="1">OFFSET(貼付け_2026実績,4,SUM(COLUMN()-COLUMN(貼付け_2026実績)))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SUMPRODUCT(OFFSET(貼付け_2026実績,$F228,6,5,1),OFFSET(貼付け_2026実績,$F228,SUM(COLUMN()-COLUMN(貼付け_2026実績)),5,1))</f>
        <v>0</v>
      </c>
      <c r="J228" s="224">
        <f ca="1">SUMPRODUCT(OFFSET(貼付け_2026実績,$F228,6,5,1),OFFSET(貼付け_2026実績,$F228,SUM(COLUMN()-COLUMN(貼付け_2026実績)),5,1))</f>
        <v>0</v>
      </c>
      <c r="K228" s="224">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24">
        <f t="shared" ca="1" si="85"/>
        <v>0</v>
      </c>
      <c r="M228" s="224">
        <f t="shared" ca="1" si="85"/>
        <v>0</v>
      </c>
      <c r="N228" s="224">
        <f t="shared" ca="1" si="85"/>
        <v>0</v>
      </c>
      <c r="O228" s="224">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SUMPRODUCT(OFFSET(貼付け_2026実績,$G230,5,($H230-$G230+1),1),OFFSET(貼付け_2026実績,$G230,SUM(COLUMN()-COLUMN(貼付け_2026実績)),($H230-$G230+1),1))*0.0258</f>
        <v>0</v>
      </c>
      <c r="L230" s="225"/>
      <c r="M230" s="225"/>
      <c r="N230" s="225"/>
      <c r="O230" s="224">
        <f ca="1">SUMPRODUCT(OFFSET(貼付け_2026実績,$G230,5,($H230-$G230+1),1),OFFSET(貼付け_2026実績,$G230,SUM(COLUMN()-COLUMN(貼付け_2026実績)),($H230-$G230+1),1))*0.0258</f>
        <v>0</v>
      </c>
      <c r="P230" s="225"/>
      <c r="Q230" s="225"/>
      <c r="R230" s="225"/>
      <c r="S230" s="224">
        <f ca="1">SUMPRODUCT(OFFSET(貼付け_2026実績,$G230,5,($H230-$G230+1),1),OFFSET(貼付け_2026実績,$G230,SUM(COLUMN()-COLUMN(貼付け_2026実績)),($H230-$G230+1),1))*0.0258</f>
        <v>0</v>
      </c>
      <c r="T230" s="225"/>
      <c r="U230" s="225"/>
      <c r="V230" s="225"/>
      <c r="W230" s="224">
        <f ca="1">SUMPRODUCT(OFFSET(貼付け_2026実績,$G230,5,($H230-$G230+1),1),OFFSET(貼付け_2026実績,$G230,SUM(COLUMN()-COLUMN(貼付け_2026実績)),($H230-$G230+1),1))*0.0258</f>
        <v>0</v>
      </c>
      <c r="X230" s="225"/>
      <c r="Y230" s="225"/>
      <c r="Z230" s="225"/>
      <c r="AA230" s="224">
        <f ca="1">SUMPRODUCT(OFFSET(貼付け_2026実績,$G230,5,($H230-$G230+1),1),OFFSET(貼付け_2026実績,$G230,SUM(COLUMN()-COLUMN(貼付け_2026実績)),($H230-$G230+1),1))*0.0258</f>
        <v>0</v>
      </c>
      <c r="AB230" s="225"/>
      <c r="AC230" s="225"/>
      <c r="AD230" s="225"/>
      <c r="AE230" s="224">
        <f ca="1">SUMPRODUCT(OFFSET(貼付け_2026実績,$G230,5,($H230-$G230+1),1),OFFSET(貼付け_2026実績,$G230,SUM(COLUMN()-COLUMN(貼付け_2026実績)),($H230-$G230+1),1))*0.0258</f>
        <v>0</v>
      </c>
      <c r="AF230" s="225"/>
      <c r="AG230" s="225"/>
      <c r="AH230" s="225"/>
      <c r="AI230" s="224">
        <f ca="1">SUMPRODUCT(OFFSET(貼付け_2026実績,$G230,5,($H230-$G230+1),1),OFFSET(貼付け_2026実績,$G230,SUM(COLUMN()-COLUMN(貼付け_2026実績)),($H230-$G230+1),1))*0.0258</f>
        <v>0</v>
      </c>
      <c r="AJ230" s="225"/>
      <c r="AK230" s="225"/>
      <c r="AL230" s="225"/>
      <c r="AM230" s="224">
        <f ca="1">SUMPRODUCT(OFFSET(貼付け_2026実績,$G230,5,($H230-$G230+1),1),OFFSET(貼付け_2026実績,$G230,SUM(COLUMN()-COLUMN(貼付け_2026実績)),($H230-$G230+1),1))*0.0258</f>
        <v>0</v>
      </c>
      <c r="AN230" s="225"/>
      <c r="AO230" s="225"/>
      <c r="AP230" s="225"/>
      <c r="AQ230" s="224">
        <f ca="1">SUMPRODUCT(OFFSET(貼付け_2026実績,$G230,5,($H230-$G230+1),1),OFFSET(貼付け_2026実績,$G230,SUM(COLUMN()-COLUMN(貼付け_2026実績)),($H230-$G230+1),1))*0.0258</f>
        <v>0</v>
      </c>
      <c r="AR230" s="225"/>
      <c r="AS230" s="225"/>
      <c r="AT230" s="225"/>
      <c r="AU230" s="224">
        <f ca="1">SUMPRODUCT(OFFSET(貼付け_2026実績,$G230,5,($H230-$G230+1),1),OFFSET(貼付け_2026実績,$G230,SUM(COLUMN()-COLUMN(貼付け_2026実績)),($H230-$G230+1),1))*0.0258</f>
        <v>0</v>
      </c>
      <c r="AV230" s="225"/>
      <c r="AW230" s="225"/>
      <c r="AX230" s="225"/>
      <c r="AY230" s="224">
        <f ca="1">SUMPRODUCT(OFFSET(貼付け_2026実績,$G230,5,($H230-$G230+1),1),OFFSET(貼付け_2026実績,$G230,SUM(COLUMN()-COLUMN(貼付け_2026実績)),($H230-$G230+1),1))*0.0258</f>
        <v>0</v>
      </c>
      <c r="AZ230" s="225"/>
      <c r="BA230" s="225"/>
      <c r="BB230" s="225"/>
      <c r="BC230" s="224">
        <f ca="1">SUMPRODUCT(OFFSET(貼付け_2026実績,$G230,5,($H230-$G230+1),1),OFFSET(貼付け_2026実績,$G230,SUM(COLUMN()-COLUMN(貼付け_2026実績)),($H230-$G230+1),1))*0.0258</f>
        <v>0</v>
      </c>
      <c r="BD230" s="225"/>
      <c r="BE230" s="225"/>
      <c r="BF230" s="225"/>
      <c r="BG230" s="224">
        <f ca="1">SUMPRODUCT(OFFSET(貼付け_2026実績,$G230,5,($H230-$G230+1),1),OFFSET(貼付け_2026実績,$G230,SUM(COLUMN()-COLUMN(貼付け_2026実績)),($H230-$G230+1),1))*0.0258</f>
        <v>0</v>
      </c>
      <c r="BH230" s="225"/>
      <c r="BI230" s="225"/>
      <c r="BJ230" s="225"/>
      <c r="BK230" s="224">
        <f ca="1">SUMPRODUCT(OFFSET(貼付け_2026実績,$G230,5,($H230-$G230+1),1),OFFSET(貼付け_2026実績,$G230,SUM(COLUMN()-COLUMN(貼付け_2026実績)),($H230-$G230+1),1))*0.0258</f>
        <v>0</v>
      </c>
      <c r="BL230" s="225"/>
      <c r="BM230" s="225"/>
      <c r="BN230" s="225"/>
      <c r="BO230" s="224">
        <f ca="1">SUMPRODUCT(OFFSET(貼付け_2026実績,$G230,5,($H230-$G230+1),1),OFFSET(貼付け_2026実績,$G230,SUM(COLUMN()-COLUMN(貼付け_2026実績)),($H230-$G230+1),1))*0.0258</f>
        <v>0</v>
      </c>
      <c r="BP230" s="225"/>
      <c r="BQ230" s="225"/>
      <c r="BR230" s="225"/>
      <c r="BS230" s="224">
        <f ca="1">SUMPRODUCT(OFFSET(貼付け_2026実績,$G230,5,($H230-$G230+1),1),OFFSET(貼付け_2026実績,$G230,SUM(COLUMN()-COLUMN(貼付け_2026実績)),($H230-$G230+1),1))*0.0258</f>
        <v>0</v>
      </c>
      <c r="BT230" s="225"/>
      <c r="BU230" s="225"/>
      <c r="BV230" s="225"/>
      <c r="BW230" s="224">
        <f ca="1">SUMPRODUCT(OFFSET(貼付け_2026実績,$G230,5,($H230-$G230+1),1),OFFSET(貼付け_2026実績,$G230,SUM(COLUMN()-COLUMN(貼付け_2026実績)),($H230-$G230+1),1))*0.0258</f>
        <v>0</v>
      </c>
      <c r="BX230" s="225"/>
      <c r="BY230" s="225"/>
      <c r="BZ230" s="225"/>
      <c r="CA230" s="224">
        <f ca="1">SUMPRODUCT(OFFSET(貼付け_2026実績,$G230,5,($H230-$G230+1),1),OFFSET(貼付け_2026実績,$G230,SUM(COLUMN()-COLUMN(貼付け_2026実績)),($H230-$G230+1),1))*0.0258</f>
        <v>0</v>
      </c>
      <c r="CB230" s="225"/>
      <c r="CC230" s="225"/>
      <c r="CD230" s="225"/>
      <c r="CE230" s="224">
        <f ca="1">SUMPRODUCT(OFFSET(貼付け_2026実績,$G230,5,($H230-$G230+1),1),OFFSET(貼付け_2026実績,$G230,SUM(COLUMN()-COLUMN(貼付け_2026実績)),($H230-$G230+1),1))*0.0258</f>
        <v>0</v>
      </c>
      <c r="CF230" s="225"/>
      <c r="CG230" s="225"/>
      <c r="CH230" s="225"/>
      <c r="CI230" s="224">
        <f ca="1">SUMPRODUCT(OFFSET(貼付け_2026実績,$G230,5,($H230-$G230+1),1),OFFSET(貼付け_2026実績,$G230,SUM(COLUMN()-COLUMN(貼付け_2026実績)),($H230-$G230+1),1))*0.0258</f>
        <v>0</v>
      </c>
      <c r="CJ230" s="225"/>
      <c r="CK230" s="225"/>
      <c r="CL230" s="225"/>
      <c r="CM230" s="224">
        <f ca="1">SUMPRODUCT(OFFSET(貼付け_2026実績,$G230,5,($H230-$G230+1),1),OFFSET(貼付け_2026実績,$G230,SUM(COLUMN()-COLUMN(貼付け_2026実績)),($H230-$G230+1),1))*0.0258</f>
        <v>0</v>
      </c>
      <c r="CN230" s="225"/>
      <c r="CO230" s="225"/>
      <c r="CP230" s="225"/>
      <c r="CQ230" s="224">
        <f ca="1">SUMPRODUCT(OFFSET(貼付け_2026実績,$G230,5,($H230-$G230+1),1),OFFSET(貼付け_2026実績,$G230,SUM(COLUMN()-COLUMN(貼付け_2026実績)),($H230-$G230+1),1))*0.0258</f>
        <v>0</v>
      </c>
      <c r="CR230" s="225"/>
      <c r="CS230" s="225"/>
      <c r="CT230" s="225"/>
      <c r="CU230" s="224">
        <f ca="1">SUMPRODUCT(OFFSET(貼付け_2026実績,$G230,5,($H230-$G230+1),1),OFFSET(貼付け_2026実績,$G230,SUM(COLUMN()-COLUMN(貼付け_2026実績)),($H230-$G230+1),1))*0.0258</f>
        <v>0</v>
      </c>
      <c r="CV230" s="225"/>
      <c r="CW230" s="225"/>
      <c r="CX230" s="225"/>
      <c r="CY230" s="224">
        <f ca="1">SUMPRODUCT(OFFSET(貼付け_2026実績,$G230,5,($H230-$G230+1),1),OFFSET(貼付け_2026実績,$G230,SUM(COLUMN()-COLUMN(貼付け_2026実績)),($H230-$G230+1),1))*0.0258</f>
        <v>0</v>
      </c>
      <c r="CZ230" s="225"/>
      <c r="DA230" s="225"/>
      <c r="DB230" s="225"/>
      <c r="DC230" s="224">
        <f ca="1">SUMPRODUCT(OFFSET(貼付け_2026実績,$G230,5,($H230-$G230+1),1),OFFSET(貼付け_2026実績,$G230,SUM(COLUMN()-COLUMN(貼付け_2026実績)),($H230-$G230+1),1))*0.0258</f>
        <v>0</v>
      </c>
      <c r="DD230" s="225"/>
      <c r="DE230" s="225"/>
      <c r="DF230" s="225"/>
      <c r="DG230" s="224">
        <f ca="1">SUMPRODUCT(OFFSET(貼付け_2026実績,$G230,5,($H230-$G230+1),1),OFFSET(貼付け_2026実績,$G230,SUM(COLUMN()-COLUMN(貼付け_2026実績)),($H230-$G230+1),1))*0.0258</f>
        <v>0</v>
      </c>
      <c r="DH230" s="225"/>
      <c r="DI230" s="225"/>
      <c r="DJ230" s="225"/>
      <c r="DK230" s="224">
        <f ca="1">SUMPRODUCT(OFFSET(貼付け_2026実績,$G230,5,($H230-$G230+1),1),OFFSET(貼付け_2026実績,$G230,SUM(COLUMN()-COLUMN(貼付け_2026実績)),($H230-$G230+1),1))*0.0258</f>
        <v>0</v>
      </c>
      <c r="DL230" s="225"/>
      <c r="DM230" s="225"/>
      <c r="DN230" s="225"/>
      <c r="DO230" s="224">
        <f ca="1">SUMPRODUCT(OFFSET(貼付け_2026実績,$G230,5,($H230-$G230+1),1),OFFSET(貼付け_2026実績,$G230,SUM(COLUMN()-COLUMN(貼付け_2026実績)),($H230-$G230+1),1))*0.0258</f>
        <v>0</v>
      </c>
      <c r="DP230" s="225"/>
      <c r="DQ230" s="225"/>
      <c r="DR230" s="225"/>
      <c r="DS230" s="224">
        <f ca="1">SUMPRODUCT(OFFSET(貼付け_2026実績,$G230,5,($H230-$G230+1),1),OFFSET(貼付け_2026実績,$G230,SUM(COLUMN()-COLUMN(貼付け_2026実績)),($H230-$G230+1),1))*0.0258</f>
        <v>0</v>
      </c>
      <c r="DT230" s="225"/>
      <c r="DU230" s="225"/>
      <c r="DV230" s="225"/>
      <c r="DW230" s="224">
        <f ca="1">SUMPRODUCT(OFFSET(貼付け_2026実績,$G230,5,($H230-$G230+1),1),OFFSET(貼付け_2026実績,$G230,SUM(COLUMN()-COLUMN(貼付け_2026実績)),($H230-$G230+1),1))*0.0258</f>
        <v>0</v>
      </c>
      <c r="DX230" s="225"/>
      <c r="DY230" s="225"/>
      <c r="DZ230" s="225"/>
      <c r="EA230" s="224">
        <f ca="1">SUMPRODUCT(OFFSET(貼付け_2026実績,$G230,5,($H230-$G230+1),1),OFFSET(貼付け_2026実績,$G230,SUM(COLUMN()-COLUMN(貼付け_2026実績)),($H230-$G230+1),1))*0.0258</f>
        <v>0</v>
      </c>
      <c r="EB230" s="225"/>
      <c r="EC230" s="225"/>
      <c r="ED230" s="225"/>
      <c r="EE230" s="224">
        <f ca="1">SUMPRODUCT(OFFSET(貼付け_2026実績,$G230,5,($H230-$G230+1),1),OFFSET(貼付け_2026実績,$G230,SUM(COLUMN()-COLUMN(貼付け_2026実績)),($H230-$G230+1),1))*0.0258</f>
        <v>0</v>
      </c>
      <c r="EF230" s="225"/>
      <c r="EG230" s="225"/>
      <c r="EH230" s="225"/>
      <c r="EI230" s="224">
        <f ca="1">SUMPRODUCT(OFFSET(貼付け_2026実績,$G230,5,($H230-$G230+1),1),OFFSET(貼付け_2026実績,$G230,SUM(COLUMN()-COLUMN(貼付け_2026実績)),($H230-$G230+1),1))*0.0258</f>
        <v>0</v>
      </c>
      <c r="EJ230" s="225"/>
      <c r="EK230" s="225"/>
      <c r="EL230" s="225"/>
      <c r="EM230" s="224">
        <f ca="1">SUMPRODUCT(OFFSET(貼付け_2026実績,$G230,5,($H230-$G230+1),1),OFFSET(貼付け_2026実績,$G230,SUM(COLUMN()-COLUMN(貼付け_2026実績)),($H230-$G230+1),1))*0.0258</f>
        <v>0</v>
      </c>
      <c r="EN230" s="225"/>
      <c r="EO230" s="225"/>
      <c r="EP230" s="225"/>
      <c r="EQ230" s="224">
        <f ca="1">SUMPRODUCT(OFFSET(貼付け_2026実績,$G230,5,($H230-$G230+1),1),OFFSET(貼付け_2026実績,$G230,SUM(COLUMN()-COLUMN(貼付け_2026実績)),($H230-$G230+1),1))*0.0258</f>
        <v>0</v>
      </c>
      <c r="ER230" s="225"/>
      <c r="ES230" s="225"/>
      <c r="ET230" s="225"/>
      <c r="EU230" s="224">
        <f ca="1">SUMPRODUCT(OFFSET(貼付け_2026実績,$G230,5,($H230-$G230+1),1),OFFSET(貼付け_2026実績,$G230,SUM(COLUMN()-COLUMN(貼付け_2026実績)),($H230-$G230+1),1))*0.0258</f>
        <v>0</v>
      </c>
      <c r="EV230" s="225"/>
      <c r="EW230" s="225"/>
      <c r="EX230" s="225"/>
      <c r="EY230" s="224">
        <f ca="1">SUMPRODUCT(OFFSET(貼付け_2026実績,$G230,5,($H230-$G230+1),1),OFFSET(貼付け_2026実績,$G230,SUM(COLUMN()-COLUMN(貼付け_2026実績)),($H230-$G230+1),1))*0.0258</f>
        <v>0</v>
      </c>
      <c r="EZ230" s="225"/>
      <c r="FA230" s="225"/>
      <c r="FB230" s="225"/>
      <c r="FC230" s="224">
        <f ca="1">SUMPRODUCT(OFFSET(貼付け_2026実績,$G230,5,($H230-$G230+1),1),OFFSET(貼付け_2026実績,$G230,SUM(COLUMN()-COLUMN(貼付け_2026実績)),($H230-$G230+1),1))*0.0258</f>
        <v>0</v>
      </c>
      <c r="FD230" s="225"/>
      <c r="FE230" s="225"/>
      <c r="FF230" s="225"/>
      <c r="FG230" s="224">
        <f ca="1">SUMPRODUCT(OFFSET(貼付け_2026実績,$G230,5,($H230-$G230+1),1),OFFSET(貼付け_2026実績,$G230,SUM(COLUMN()-COLUMN(貼付け_2026実績)),($H230-$G230+1),1))*0.0258</f>
        <v>0</v>
      </c>
      <c r="FH230" s="225"/>
      <c r="FI230" s="225"/>
      <c r="FJ230" s="225"/>
      <c r="FK230" s="224">
        <f ca="1">SUMPRODUCT(OFFSET(貼付け_2026実績,$G230,5,($H230-$G230+1),1),OFFSET(貼付け_2026実績,$G230,SUM(COLUMN()-COLUMN(貼付け_2026実績)),($H230-$G230+1),1))*0.0258</f>
        <v>0</v>
      </c>
      <c r="FL230" s="225"/>
      <c r="FM230" s="225"/>
      <c r="FN230" s="225"/>
      <c r="FO230" s="224">
        <f ca="1">SUMPRODUCT(OFFSET(貼付け_2026実績,$G230,5,($H230-$G230+1),1),OFFSET(貼付け_2026実績,$G230,SUM(COLUMN()-COLUMN(貼付け_2026実績)),($H230-$G230+1),1))*0.0258</f>
        <v>0</v>
      </c>
      <c r="FP230" s="225"/>
      <c r="FQ230" s="225"/>
      <c r="FR230" s="225"/>
      <c r="FS230" s="224">
        <f ca="1">SUMPRODUCT(OFFSET(貼付け_2026実績,$G230,5,($H230-$G230+1),1),OFFSET(貼付け_2026実績,$G230,SUM(COLUMN()-COLUMN(貼付け_2026実績)),($H230-$G230+1),1))*0.0258</f>
        <v>0</v>
      </c>
      <c r="FT230" s="225"/>
      <c r="FU230" s="225"/>
      <c r="FV230" s="225"/>
      <c r="FW230" s="224">
        <f ca="1">SUMPRODUCT(OFFSET(貼付け_2026実績,$G230,5,($H230-$G230+1),1),OFFSET(貼付け_2026実績,$G230,SUM(COLUMN()-COLUMN(貼付け_2026実績)),($H230-$G230+1),1))*0.0258</f>
        <v>0</v>
      </c>
      <c r="FX230" s="225"/>
      <c r="FY230" s="225"/>
      <c r="FZ230" s="225"/>
      <c r="GA230" s="224">
        <f ca="1">SUMPRODUCT(OFFSET(貼付け_2026実績,$G230,5,($H230-$G230+1),1),OFFSET(貼付け_2026実績,$G230,SUM(COLUMN()-COLUMN(貼付け_2026実績)),($H230-$G230+1),1))*0.0258</f>
        <v>0</v>
      </c>
      <c r="GB230" s="225"/>
      <c r="GC230" s="225"/>
      <c r="GD230" s="225"/>
      <c r="GE230" s="224">
        <f ca="1">SUMPRODUCT(OFFSET(貼付け_2026実績,$G230,5,($H230-$G230+1),1),OFFSET(貼付け_2026実績,$G230,SUM(COLUMN()-COLUMN(貼付け_2026実績)),($H230-$G230+1),1))*0.0258</f>
        <v>0</v>
      </c>
      <c r="GF230" s="225"/>
      <c r="GG230" s="225"/>
      <c r="GH230" s="225"/>
      <c r="GI230" s="224">
        <f ca="1">SUMPRODUCT(OFFSET(貼付け_2026実績,$G230,5,($H230-$G230+1),1),OFFSET(貼付け_2026実績,$G230,SUM(COLUMN()-COLUMN(貼付け_2026実績)),($H230-$G230+1),1))*0.0258</f>
        <v>0</v>
      </c>
      <c r="GJ230" s="225"/>
      <c r="GK230" s="225"/>
      <c r="GL230" s="225"/>
      <c r="GM230" s="224">
        <f ca="1">SUMPRODUCT(OFFSET(貼付け_2026実績,$G230,5,($H230-$G230+1),1),OFFSET(貼付け_2026実績,$G230,SUM(COLUMN()-COLUMN(貼付け_2026実績)),($H230-$G230+1),1))*0.0258</f>
        <v>0</v>
      </c>
      <c r="GN230" s="225"/>
      <c r="GO230" s="225"/>
      <c r="GP230" s="225"/>
      <c r="GQ230" s="224">
        <f ca="1">SUMPRODUCT(OFFSET(貼付け_2026実績,$G230,5,($H230-$G230+1),1),OFFSET(貼付け_2026実績,$G230,SUM(COLUMN()-COLUMN(貼付け_2026実績)),($H230-$G230+1),1))*0.0258</f>
        <v>0</v>
      </c>
      <c r="GR230" s="225"/>
      <c r="GS230" s="225"/>
      <c r="GT230" s="225"/>
      <c r="GU230" s="224">
        <f ca="1">SUMPRODUCT(OFFSET(貼付け_2026実績,$G230,5,($H230-$G230+1),1),OFFSET(貼付け_2026実績,$G230,SUM(COLUMN()-COLUMN(貼付け_2026実績)),($H230-$G230+1),1))*0.0258</f>
        <v>0</v>
      </c>
      <c r="GV230" s="225"/>
      <c r="GW230" s="225"/>
      <c r="GX230" s="225"/>
      <c r="GY230" s="224">
        <f ca="1">SUMPRODUCT(OFFSET(貼付け_2026実績,$G230,5,($H230-$G230+1),1),OFFSET(貼付け_2026実績,$G230,SUM(COLUMN()-COLUMN(貼付け_2026実績)),($H230-$G230+1),1))*0.0258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OFFSET(貼付け_2026実績,$G232,SUM(COLUMN()-COLUMN(貼付け_2026実績))-1)</f>
        <v>0</v>
      </c>
      <c r="M232" s="224" t="str">
        <f ca="1">IFERROR(K232/L232,"")</f>
        <v/>
      </c>
      <c r="N232" s="226"/>
      <c r="O232" s="224">
        <f ca="1">O231-Q229-R229</f>
        <v>0</v>
      </c>
      <c r="P232" s="224">
        <f ca="1">OFFSET(貼付け_2026実績,$G232,SUM(COLUMN()-COLUMN(貼付け_2026実績))-1)</f>
        <v>0</v>
      </c>
      <c r="Q232" s="224" t="str">
        <f ca="1">IFERROR(O232/P232,"")</f>
        <v/>
      </c>
      <c r="R232" s="226"/>
      <c r="S232" s="224">
        <f ca="1">S231-U229-V229</f>
        <v>0</v>
      </c>
      <c r="T232" s="224">
        <f ca="1">OFFSET(貼付け_2026実績,$G232,SUM(COLUMN()-COLUMN(貼付け_2026実績))-1)</f>
        <v>0</v>
      </c>
      <c r="U232" s="224" t="str">
        <f ca="1">IFERROR(S232/T232,"")</f>
        <v/>
      </c>
      <c r="V232" s="226"/>
      <c r="W232" s="224">
        <f ca="1">W231-Y229-Z229</f>
        <v>0</v>
      </c>
      <c r="X232" s="224">
        <f ca="1">OFFSET(貼付け_2026実績,$G232,SUM(COLUMN()-COLUMN(貼付け_2026実績))-1)</f>
        <v>0</v>
      </c>
      <c r="Y232" s="224" t="str">
        <f ca="1">IFERROR(W232/X232,"")</f>
        <v/>
      </c>
      <c r="Z232" s="226"/>
      <c r="AA232" s="224">
        <f ca="1">AA231-AC229-AD229</f>
        <v>0</v>
      </c>
      <c r="AB232" s="224">
        <f ca="1">OFFSET(貼付け_2026実績,$G232,SUM(COLUMN()-COLUMN(貼付け_2026実績))-1)</f>
        <v>0</v>
      </c>
      <c r="AC232" s="224" t="str">
        <f ca="1">IFERROR(AA232/AB232,"")</f>
        <v/>
      </c>
      <c r="AD232" s="226"/>
      <c r="AE232" s="224">
        <f ca="1">AE231-AG229-AH229</f>
        <v>0</v>
      </c>
      <c r="AF232" s="224">
        <f ca="1">OFFSET(貼付け_2026実績,$G232,SUM(COLUMN()-COLUMN(貼付け_2026実績))-1)</f>
        <v>0</v>
      </c>
      <c r="AG232" s="224" t="str">
        <f ca="1">IFERROR(AE232/AF232,"")</f>
        <v/>
      </c>
      <c r="AH232" s="226"/>
      <c r="AI232" s="224">
        <f ca="1">AI231-AK229-AL229</f>
        <v>0</v>
      </c>
      <c r="AJ232" s="224">
        <f ca="1">OFFSET(貼付け_2026実績,$G232,SUM(COLUMN()-COLUMN(貼付け_2026実績))-1)</f>
        <v>0</v>
      </c>
      <c r="AK232" s="224" t="str">
        <f ca="1">IFERROR(AI232/AJ232,"")</f>
        <v/>
      </c>
      <c r="AL232" s="226"/>
      <c r="AM232" s="224">
        <f ca="1">AM231-AO229-AP229</f>
        <v>0</v>
      </c>
      <c r="AN232" s="224">
        <f ca="1">OFFSET(貼付け_2026実績,$G232,SUM(COLUMN()-COLUMN(貼付け_2026実績))-1)</f>
        <v>0</v>
      </c>
      <c r="AO232" s="224" t="str">
        <f ca="1">IFERROR(AM232/AN232,"")</f>
        <v/>
      </c>
      <c r="AP232" s="226"/>
      <c r="AQ232" s="224">
        <f ca="1">AQ231-AS229-AT229</f>
        <v>0</v>
      </c>
      <c r="AR232" s="224">
        <f ca="1">OFFSET(貼付け_2026実績,$G232,SUM(COLUMN()-COLUMN(貼付け_2026実績))-1)</f>
        <v>0</v>
      </c>
      <c r="AS232" s="224" t="str">
        <f ca="1">IFERROR(AQ232/AR232,"")</f>
        <v/>
      </c>
      <c r="AT232" s="226"/>
      <c r="AU232" s="224">
        <f ca="1">AU231-AW229-AX229</f>
        <v>0</v>
      </c>
      <c r="AV232" s="224">
        <f ca="1">OFFSET(貼付け_2026実績,$G232,SUM(COLUMN()-COLUMN(貼付け_2026実績))-1)</f>
        <v>0</v>
      </c>
      <c r="AW232" s="224" t="str">
        <f ca="1">IFERROR(AU232/AV232,"")</f>
        <v/>
      </c>
      <c r="AX232" s="226"/>
      <c r="AY232" s="224">
        <f ca="1">AY231-BA229-BB229</f>
        <v>0</v>
      </c>
      <c r="AZ232" s="224">
        <f ca="1">OFFSET(貼付け_2026実績,$G232,SUM(COLUMN()-COLUMN(貼付け_2026実績))-1)</f>
        <v>0</v>
      </c>
      <c r="BA232" s="224" t="str">
        <f ca="1">IFERROR(AY232/AZ232,"")</f>
        <v/>
      </c>
      <c r="BB232" s="226"/>
      <c r="BC232" s="224">
        <f ca="1">BC231-BE229-BF229</f>
        <v>0</v>
      </c>
      <c r="BD232" s="224">
        <f ca="1">OFFSET(貼付け_2026実績,$G232,SUM(COLUMN()-COLUMN(貼付け_2026実績))-1)</f>
        <v>0</v>
      </c>
      <c r="BE232" s="224" t="str">
        <f ca="1">IFERROR(BC232/BD232,"")</f>
        <v/>
      </c>
      <c r="BF232" s="226"/>
      <c r="BG232" s="224">
        <f ca="1">BG231-BI229-BJ229</f>
        <v>0</v>
      </c>
      <c r="BH232" s="224">
        <f ca="1">OFFSET(貼付け_2026実績,$G232,SUM(COLUMN()-COLUMN(貼付け_2026実績))-1)</f>
        <v>0</v>
      </c>
      <c r="BI232" s="224" t="str">
        <f ca="1">IFERROR(BG232/BH232,"")</f>
        <v/>
      </c>
      <c r="BJ232" s="226"/>
      <c r="BK232" s="224">
        <f ca="1">BK231-BM229-BN229</f>
        <v>0</v>
      </c>
      <c r="BL232" s="224">
        <f ca="1">OFFSET(貼付け_2026実績,$G232,SUM(COLUMN()-COLUMN(貼付け_2026実績))-1)</f>
        <v>0</v>
      </c>
      <c r="BM232" s="224" t="str">
        <f ca="1">IFERROR(BK232/BL232,"")</f>
        <v/>
      </c>
      <c r="BN232" s="226"/>
      <c r="BO232" s="224">
        <f ca="1">BO231-BQ229-BR229</f>
        <v>0</v>
      </c>
      <c r="BP232" s="224">
        <f ca="1">OFFSET(貼付け_2026実績,$G232,SUM(COLUMN()-COLUMN(貼付け_2026実績))-1)</f>
        <v>0</v>
      </c>
      <c r="BQ232" s="224" t="str">
        <f ca="1">IFERROR(BO232/BP232,"")</f>
        <v/>
      </c>
      <c r="BR232" s="226"/>
      <c r="BS232" s="224">
        <f ca="1">BS231-BU229-BV229</f>
        <v>0</v>
      </c>
      <c r="BT232" s="224">
        <f ca="1">OFFSET(貼付け_2026実績,$G232,SUM(COLUMN()-COLUMN(貼付け_2026実績))-1)</f>
        <v>0</v>
      </c>
      <c r="BU232" s="224" t="str">
        <f ca="1">IFERROR(BS232/BT232,"")</f>
        <v/>
      </c>
      <c r="BV232" s="226"/>
      <c r="BW232" s="224">
        <f ca="1">BW231-BY229-BZ229</f>
        <v>0</v>
      </c>
      <c r="BX232" s="224">
        <f ca="1">OFFSET(貼付け_2026実績,$G232,SUM(COLUMN()-COLUMN(貼付け_2026実績))-1)</f>
        <v>0</v>
      </c>
      <c r="BY232" s="224" t="str">
        <f ca="1">IFERROR(BW232/BX232,"")</f>
        <v/>
      </c>
      <c r="BZ232" s="226"/>
      <c r="CA232" s="224">
        <f ca="1">CA231-CC229-CD229</f>
        <v>0</v>
      </c>
      <c r="CB232" s="224">
        <f ca="1">OFFSET(貼付け_2026実績,$G232,SUM(COLUMN()-COLUMN(貼付け_2026実績))-1)</f>
        <v>0</v>
      </c>
      <c r="CC232" s="224" t="str">
        <f ca="1">IFERROR(CA232/CB232,"")</f>
        <v/>
      </c>
      <c r="CD232" s="226"/>
      <c r="CE232" s="224">
        <f ca="1">CE231-CG229-CH229</f>
        <v>0</v>
      </c>
      <c r="CF232" s="224">
        <f ca="1">OFFSET(貼付け_2026実績,$G232,SUM(COLUMN()-COLUMN(貼付け_2026実績))-1)</f>
        <v>0</v>
      </c>
      <c r="CG232" s="224" t="str">
        <f ca="1">IFERROR(CE232/CF232,"")</f>
        <v/>
      </c>
      <c r="CH232" s="226"/>
      <c r="CI232" s="224">
        <f ca="1">CI231-CK229-CL229</f>
        <v>0</v>
      </c>
      <c r="CJ232" s="224">
        <f ca="1">OFFSET(貼付け_2026実績,$G232,SUM(COLUMN()-COLUMN(貼付け_2026実績))-1)</f>
        <v>0</v>
      </c>
      <c r="CK232" s="224" t="str">
        <f ca="1">IFERROR(CI232/CJ232,"")</f>
        <v/>
      </c>
      <c r="CL232" s="226"/>
      <c r="CM232" s="224">
        <f ca="1">CM231-CO229-CP229</f>
        <v>0</v>
      </c>
      <c r="CN232" s="224">
        <f ca="1">OFFSET(貼付け_2026実績,$G232,SUM(COLUMN()-COLUMN(貼付け_2026実績))-1)</f>
        <v>0</v>
      </c>
      <c r="CO232" s="224" t="str">
        <f ca="1">IFERROR(CM232/CN232,"")</f>
        <v/>
      </c>
      <c r="CP232" s="226"/>
      <c r="CQ232" s="224">
        <f ca="1">CQ231-CS229-CT229</f>
        <v>0</v>
      </c>
      <c r="CR232" s="224">
        <f ca="1">OFFSET(貼付け_2026実績,$G232,SUM(COLUMN()-COLUMN(貼付け_2026実績))-1)</f>
        <v>0</v>
      </c>
      <c r="CS232" s="224" t="str">
        <f ca="1">IFERROR(CQ232/CR232,"")</f>
        <v/>
      </c>
      <c r="CT232" s="226"/>
      <c r="CU232" s="224">
        <f ca="1">CU231-CW229-CX229</f>
        <v>0</v>
      </c>
      <c r="CV232" s="224">
        <f ca="1">OFFSET(貼付け_2026実績,$G232,SUM(COLUMN()-COLUMN(貼付け_2026実績))-1)</f>
        <v>0</v>
      </c>
      <c r="CW232" s="224" t="str">
        <f ca="1">IFERROR(CU232/CV232,"")</f>
        <v/>
      </c>
      <c r="CX232" s="226"/>
      <c r="CY232" s="224">
        <f ca="1">CY231-DA229-DB229</f>
        <v>0</v>
      </c>
      <c r="CZ232" s="224">
        <f ca="1">OFFSET(貼付け_2026実績,$G232,SUM(COLUMN()-COLUMN(貼付け_2026実績))-1)</f>
        <v>0</v>
      </c>
      <c r="DA232" s="224" t="str">
        <f ca="1">IFERROR(CY232/CZ232,"")</f>
        <v/>
      </c>
      <c r="DB232" s="226"/>
      <c r="DC232" s="224">
        <f ca="1">DC231-DE229-DF229</f>
        <v>0</v>
      </c>
      <c r="DD232" s="224">
        <f ca="1">OFFSET(貼付け_2026実績,$G232,SUM(COLUMN()-COLUMN(貼付け_2026実績))-1)</f>
        <v>0</v>
      </c>
      <c r="DE232" s="224" t="str">
        <f ca="1">IFERROR(DC232/DD232,"")</f>
        <v/>
      </c>
      <c r="DF232" s="226"/>
      <c r="DG232" s="224">
        <f ca="1">DG231-DI229-DJ229</f>
        <v>0</v>
      </c>
      <c r="DH232" s="224">
        <f ca="1">OFFSET(貼付け_2026実績,$G232,SUM(COLUMN()-COLUMN(貼付け_2026実績))-1)</f>
        <v>0</v>
      </c>
      <c r="DI232" s="224" t="str">
        <f ca="1">IFERROR(DG232/DH232,"")</f>
        <v/>
      </c>
      <c r="DJ232" s="226"/>
      <c r="DK232" s="224">
        <f ca="1">DK231-DM229-DN229</f>
        <v>0</v>
      </c>
      <c r="DL232" s="224">
        <f ca="1">OFFSET(貼付け_2026実績,$G232,SUM(COLUMN()-COLUMN(貼付け_2026実績))-1)</f>
        <v>0</v>
      </c>
      <c r="DM232" s="224" t="str">
        <f ca="1">IFERROR(DK232/DL232,"")</f>
        <v/>
      </c>
      <c r="DN232" s="226"/>
      <c r="DO232" s="224">
        <f ca="1">DO231-DQ229-DR229</f>
        <v>0</v>
      </c>
      <c r="DP232" s="224">
        <f ca="1">OFFSET(貼付け_2026実績,$G232,SUM(COLUMN()-COLUMN(貼付け_2026実績))-1)</f>
        <v>0</v>
      </c>
      <c r="DQ232" s="224" t="str">
        <f ca="1">IFERROR(DO232/DP232,"")</f>
        <v/>
      </c>
      <c r="DR232" s="226"/>
      <c r="DS232" s="224">
        <f ca="1">DS231-DU229-DV229</f>
        <v>0</v>
      </c>
      <c r="DT232" s="224">
        <f ca="1">OFFSET(貼付け_2026実績,$G232,SUM(COLUMN()-COLUMN(貼付け_2026実績))-1)</f>
        <v>0</v>
      </c>
      <c r="DU232" s="224" t="str">
        <f ca="1">IFERROR(DS232/DT232,"")</f>
        <v/>
      </c>
      <c r="DV232" s="226"/>
      <c r="DW232" s="224">
        <f ca="1">DW231-DY229-DZ229</f>
        <v>0</v>
      </c>
      <c r="DX232" s="224">
        <f ca="1">OFFSET(貼付け_2026実績,$G232,SUM(COLUMN()-COLUMN(貼付け_2026実績))-1)</f>
        <v>0</v>
      </c>
      <c r="DY232" s="224" t="str">
        <f ca="1">IFERROR(DW232/DX232,"")</f>
        <v/>
      </c>
      <c r="DZ232" s="226"/>
      <c r="EA232" s="224">
        <f ca="1">EA231-EC229-ED229</f>
        <v>0</v>
      </c>
      <c r="EB232" s="224">
        <f ca="1">OFFSET(貼付け_2026実績,$G232,SUM(COLUMN()-COLUMN(貼付け_2026実績))-1)</f>
        <v>0</v>
      </c>
      <c r="EC232" s="224" t="str">
        <f ca="1">IFERROR(EA232/EB232,"")</f>
        <v/>
      </c>
      <c r="ED232" s="226"/>
      <c r="EE232" s="224">
        <f ca="1">EE231-EG229-EH229</f>
        <v>0</v>
      </c>
      <c r="EF232" s="224">
        <f ca="1">OFFSET(貼付け_2026実績,$G232,SUM(COLUMN()-COLUMN(貼付け_2026実績))-1)</f>
        <v>0</v>
      </c>
      <c r="EG232" s="224" t="str">
        <f ca="1">IFERROR(EE232/EF232,"")</f>
        <v/>
      </c>
      <c r="EH232" s="226"/>
      <c r="EI232" s="224">
        <f ca="1">EI231-EK229-EL229</f>
        <v>0</v>
      </c>
      <c r="EJ232" s="224">
        <f ca="1">OFFSET(貼付け_2026実績,$G232,SUM(COLUMN()-COLUMN(貼付け_2026実績))-1)</f>
        <v>0</v>
      </c>
      <c r="EK232" s="224" t="str">
        <f ca="1">IFERROR(EI232/EJ232,"")</f>
        <v/>
      </c>
      <c r="EL232" s="226"/>
      <c r="EM232" s="224">
        <f ca="1">EM231-EO229-EP229</f>
        <v>0</v>
      </c>
      <c r="EN232" s="224">
        <f ca="1">OFFSET(貼付け_2026実績,$G232,SUM(COLUMN()-COLUMN(貼付け_2026実績))-1)</f>
        <v>0</v>
      </c>
      <c r="EO232" s="224" t="str">
        <f ca="1">IFERROR(EM232/EN232,"")</f>
        <v/>
      </c>
      <c r="EP232" s="226"/>
      <c r="EQ232" s="224">
        <f ca="1">EQ231-ES229-ET229</f>
        <v>0</v>
      </c>
      <c r="ER232" s="224">
        <f ca="1">OFFSET(貼付け_2026実績,$G232,SUM(COLUMN()-COLUMN(貼付け_2026実績))-1)</f>
        <v>0</v>
      </c>
      <c r="ES232" s="224" t="str">
        <f ca="1">IFERROR(EQ232/ER232,"")</f>
        <v/>
      </c>
      <c r="ET232" s="226"/>
      <c r="EU232" s="224">
        <f ca="1">EU231-EW229-EX229</f>
        <v>0</v>
      </c>
      <c r="EV232" s="224">
        <f ca="1">OFFSET(貼付け_2026実績,$G232,SUM(COLUMN()-COLUMN(貼付け_2026実績))-1)</f>
        <v>0</v>
      </c>
      <c r="EW232" s="224" t="str">
        <f ca="1">IFERROR(EU232/EV232,"")</f>
        <v/>
      </c>
      <c r="EX232" s="226"/>
      <c r="EY232" s="224">
        <f ca="1">EY231-FA229-FB229</f>
        <v>0</v>
      </c>
      <c r="EZ232" s="224">
        <f ca="1">OFFSET(貼付け_2026実績,$G232,SUM(COLUMN()-COLUMN(貼付け_2026実績))-1)</f>
        <v>0</v>
      </c>
      <c r="FA232" s="224" t="str">
        <f ca="1">IFERROR(EY232/EZ232,"")</f>
        <v/>
      </c>
      <c r="FB232" s="226"/>
      <c r="FC232" s="224">
        <f ca="1">FC231-FE229-FF229</f>
        <v>0</v>
      </c>
      <c r="FD232" s="224">
        <f ca="1">OFFSET(貼付け_2026実績,$G232,SUM(COLUMN()-COLUMN(貼付け_2026実績))-1)</f>
        <v>0</v>
      </c>
      <c r="FE232" s="224" t="str">
        <f ca="1">IFERROR(FC232/FD232,"")</f>
        <v/>
      </c>
      <c r="FF232" s="226"/>
      <c r="FG232" s="224">
        <f ca="1">FG231-FI229-FJ229</f>
        <v>0</v>
      </c>
      <c r="FH232" s="224">
        <f ca="1">OFFSET(貼付け_2026実績,$G232,SUM(COLUMN()-COLUMN(貼付け_2026実績))-1)</f>
        <v>0</v>
      </c>
      <c r="FI232" s="224" t="str">
        <f ca="1">IFERROR(FG232/FH232,"")</f>
        <v/>
      </c>
      <c r="FJ232" s="226"/>
      <c r="FK232" s="224">
        <f ca="1">FK231-FM229-FN229</f>
        <v>0</v>
      </c>
      <c r="FL232" s="224">
        <f ca="1">OFFSET(貼付け_2026実績,$G232,SUM(COLUMN()-COLUMN(貼付け_2026実績))-1)</f>
        <v>0</v>
      </c>
      <c r="FM232" s="224" t="str">
        <f ca="1">IFERROR(FK232/FL232,"")</f>
        <v/>
      </c>
      <c r="FN232" s="226"/>
      <c r="FO232" s="224">
        <f ca="1">FO231-FQ229-FR229</f>
        <v>0</v>
      </c>
      <c r="FP232" s="224">
        <f ca="1">OFFSET(貼付け_2026実績,$G232,SUM(COLUMN()-COLUMN(貼付け_2026実績))-1)</f>
        <v>0</v>
      </c>
      <c r="FQ232" s="224" t="str">
        <f ca="1">IFERROR(FO232/FP232,"")</f>
        <v/>
      </c>
      <c r="FR232" s="226"/>
      <c r="FS232" s="224">
        <f ca="1">FS231-FU229-FV229</f>
        <v>0</v>
      </c>
      <c r="FT232" s="224">
        <f ca="1">OFFSET(貼付け_2026実績,$G232,SUM(COLUMN()-COLUMN(貼付け_2026実績))-1)</f>
        <v>0</v>
      </c>
      <c r="FU232" s="224" t="str">
        <f ca="1">IFERROR(FS232/FT232,"")</f>
        <v/>
      </c>
      <c r="FV232" s="226"/>
      <c r="FW232" s="224">
        <f ca="1">FW231-FY229-FZ229</f>
        <v>0</v>
      </c>
      <c r="FX232" s="224">
        <f ca="1">OFFSET(貼付け_2026実績,$G232,SUM(COLUMN()-COLUMN(貼付け_2026実績))-1)</f>
        <v>0</v>
      </c>
      <c r="FY232" s="224" t="str">
        <f ca="1">IFERROR(FW232/FX232,"")</f>
        <v/>
      </c>
      <c r="FZ232" s="226"/>
      <c r="GA232" s="224">
        <f ca="1">GA231-GC229-GD229</f>
        <v>0</v>
      </c>
      <c r="GB232" s="224">
        <f ca="1">OFFSET(貼付け_2026実績,$G232,SUM(COLUMN()-COLUMN(貼付け_2026実績))-1)</f>
        <v>0</v>
      </c>
      <c r="GC232" s="224" t="str">
        <f ca="1">IFERROR(GA232/GB232,"")</f>
        <v/>
      </c>
      <c r="GD232" s="226"/>
      <c r="GE232" s="224">
        <f ca="1">GE231-GG229-GH229</f>
        <v>0</v>
      </c>
      <c r="GF232" s="224">
        <f ca="1">OFFSET(貼付け_2026実績,$G232,SUM(COLUMN()-COLUMN(貼付け_2026実績))-1)</f>
        <v>0</v>
      </c>
      <c r="GG232" s="224" t="str">
        <f ca="1">IFERROR(GE232/GF232,"")</f>
        <v/>
      </c>
      <c r="GH232" s="226"/>
      <c r="GI232" s="224">
        <f ca="1">GI231-GK229-GL229</f>
        <v>0</v>
      </c>
      <c r="GJ232" s="224">
        <f ca="1">OFFSET(貼付け_2026実績,$G232,SUM(COLUMN()-COLUMN(貼付け_2026実績))-1)</f>
        <v>0</v>
      </c>
      <c r="GK232" s="224" t="str">
        <f ca="1">IFERROR(GI232/GJ232,"")</f>
        <v/>
      </c>
      <c r="GL232" s="226"/>
      <c r="GM232" s="224">
        <f ca="1">GM231-GO229-GP229</f>
        <v>0</v>
      </c>
      <c r="GN232" s="224">
        <f ca="1">OFFSET(貼付け_2026実績,$G232,SUM(COLUMN()-COLUMN(貼付け_2026実績))-1)</f>
        <v>0</v>
      </c>
      <c r="GO232" s="224" t="str">
        <f ca="1">IFERROR(GM232/GN232,"")</f>
        <v/>
      </c>
      <c r="GP232" s="226"/>
      <c r="GQ232" s="224">
        <f ca="1">GQ231-GS229-GT229</f>
        <v>0</v>
      </c>
      <c r="GR232" s="224">
        <f ca="1">OFFSET(貼付け_2026実績,$G232,SUM(COLUMN()-COLUMN(貼付け_2026実績))-1)</f>
        <v>0</v>
      </c>
      <c r="GS232" s="224" t="str">
        <f ca="1">IFERROR(GQ232/GR232,"")</f>
        <v/>
      </c>
      <c r="GT232" s="226"/>
      <c r="GU232" s="224">
        <f ca="1">GU231-GW229-GX229</f>
        <v>0</v>
      </c>
      <c r="GV232" s="224">
        <f ca="1">OFFSET(貼付け_2026実績,$G232,SUM(COLUMN()-COLUMN(貼付け_2026実績))-1)</f>
        <v>0</v>
      </c>
      <c r="GW232" s="224" t="str">
        <f ca="1">IFERROR(GU232/GV232,"")</f>
        <v/>
      </c>
      <c r="GX232" s="226"/>
      <c r="GY232" s="224">
        <f ca="1">GY231-HA229-HB229</f>
        <v>0</v>
      </c>
      <c r="GZ232" s="224">
        <f ca="1">OFFSET(貼付け_2026実績,$G232,SUM(COLUMN()-COLUMN(貼付け_2026実績))-1)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SUMPRODUCT(OFFSET(貼付け_2026実績,$F233,4,5,1),OFFSET(貼付け_2026実績,$F233,SUM(COLUMN()-COLUMN(貼付け_2026実績)),5,1))</f>
        <v>0</v>
      </c>
      <c r="J233" s="224">
        <f ca="1">SUMPRODUCT(OFFSET(貼付け_2026実績,$F233,4,5,1),OFFSET(貼付け_2026実績,$F233,SUM(COLUMN()-COLUMN(貼付け_2026実績)),5,1))</f>
        <v>0</v>
      </c>
      <c r="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26"/>
      <c r="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26"/>
      <c r="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26"/>
      <c r="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26"/>
      <c r="A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26"/>
      <c r="A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26"/>
      <c r="A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26"/>
      <c r="A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26"/>
      <c r="A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26"/>
      <c r="A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26"/>
      <c r="A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26"/>
      <c r="B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26"/>
      <c r="B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26"/>
      <c r="B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26"/>
      <c r="B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26"/>
      <c r="B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26"/>
      <c r="B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26"/>
      <c r="C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26"/>
      <c r="C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26"/>
      <c r="C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26"/>
      <c r="C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26"/>
      <c r="C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26"/>
      <c r="C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26"/>
      <c r="C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26"/>
      <c r="D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26"/>
      <c r="D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26"/>
      <c r="D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26"/>
      <c r="D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26"/>
      <c r="D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26"/>
      <c r="D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26"/>
      <c r="E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26"/>
      <c r="E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26"/>
      <c r="E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26"/>
      <c r="E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26"/>
      <c r="E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26"/>
      <c r="E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26"/>
      <c r="E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26"/>
      <c r="F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26"/>
      <c r="F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26"/>
      <c r="F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26"/>
      <c r="F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26"/>
      <c r="F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26"/>
      <c r="F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26"/>
      <c r="G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26"/>
      <c r="G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26"/>
      <c r="G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26"/>
      <c r="G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26"/>
      <c r="G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26"/>
      <c r="G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26"/>
      <c r="G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SUMPRODUCT(OFFSET(貼付け_2026実績,$F234,5,5,1),OFFSET(貼付け_2026実績,$F234,SUM(COLUMN()-COLUMN(貼付け_2026実績)),5,1))</f>
        <v>0</v>
      </c>
      <c r="J234" s="224">
        <f ca="1">SUMPRODUCT(OFFSET(貼付け_2026実績,$F234,5,5,1),OFFSET(貼付け_2026実績,$F234,SUM(COLUMN()-COLUMN(貼付け_2026実績)),5,1))</f>
        <v>0</v>
      </c>
      <c r="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26"/>
      <c r="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26"/>
      <c r="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26"/>
      <c r="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26"/>
      <c r="A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26"/>
      <c r="A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26"/>
      <c r="A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26"/>
      <c r="A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26"/>
      <c r="A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26"/>
      <c r="A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26"/>
      <c r="A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26"/>
      <c r="B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26"/>
      <c r="B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26"/>
      <c r="B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26"/>
      <c r="B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26"/>
      <c r="B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26"/>
      <c r="B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26"/>
      <c r="C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26"/>
      <c r="C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26"/>
      <c r="C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26"/>
      <c r="C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26"/>
      <c r="C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26"/>
      <c r="C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26"/>
      <c r="C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26"/>
      <c r="D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26"/>
      <c r="D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26"/>
      <c r="D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26"/>
      <c r="D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26"/>
      <c r="D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26"/>
      <c r="D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26"/>
      <c r="E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26"/>
      <c r="E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26"/>
      <c r="E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26"/>
      <c r="E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26"/>
      <c r="E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26"/>
      <c r="E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26"/>
      <c r="E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26"/>
      <c r="F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26"/>
      <c r="F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26"/>
      <c r="F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26"/>
      <c r="F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26"/>
      <c r="F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26"/>
      <c r="F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26"/>
      <c r="G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26"/>
      <c r="G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26"/>
      <c r="G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26"/>
      <c r="G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26"/>
      <c r="G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26"/>
      <c r="G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26"/>
      <c r="G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26"/>
      <c r="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26"/>
      <c r="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26"/>
      <c r="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26"/>
      <c r="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26"/>
      <c r="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26"/>
      <c r="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26"/>
      <c r="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26"/>
      <c r="A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26"/>
      <c r="A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26"/>
      <c r="A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26"/>
      <c r="A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26"/>
      <c r="A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26"/>
      <c r="A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26"/>
      <c r="A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26"/>
      <c r="A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26"/>
      <c r="A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26"/>
      <c r="A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26"/>
      <c r="A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26"/>
      <c r="A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26"/>
      <c r="A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26"/>
      <c r="B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26"/>
      <c r="B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26"/>
      <c r="B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26"/>
      <c r="B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26"/>
      <c r="B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26"/>
      <c r="B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26"/>
      <c r="B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26"/>
      <c r="B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26"/>
      <c r="B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26"/>
      <c r="B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26"/>
      <c r="B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26"/>
      <c r="B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26"/>
      <c r="B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26"/>
      <c r="C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26"/>
      <c r="C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26"/>
      <c r="C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26"/>
      <c r="C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26"/>
      <c r="C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26"/>
      <c r="C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26"/>
      <c r="C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26"/>
      <c r="C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26"/>
      <c r="C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26"/>
      <c r="C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26"/>
      <c r="C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26"/>
      <c r="C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26"/>
      <c r="C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26"/>
      <c r="D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26"/>
      <c r="D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26"/>
      <c r="D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26"/>
      <c r="D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26"/>
      <c r="D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26"/>
      <c r="D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26"/>
      <c r="D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26"/>
      <c r="D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26"/>
      <c r="D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26"/>
      <c r="D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26"/>
      <c r="D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26"/>
      <c r="D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26"/>
      <c r="D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26"/>
      <c r="E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26"/>
      <c r="E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26"/>
      <c r="E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26"/>
      <c r="E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26"/>
      <c r="E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26"/>
      <c r="E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26"/>
      <c r="E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26"/>
      <c r="E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26"/>
      <c r="E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26"/>
      <c r="E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26"/>
      <c r="E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26"/>
      <c r="E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26"/>
      <c r="E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26"/>
      <c r="F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26"/>
      <c r="F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26"/>
      <c r="F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26"/>
      <c r="F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26"/>
      <c r="F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26"/>
      <c r="F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26"/>
      <c r="F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26"/>
      <c r="F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26"/>
      <c r="F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26"/>
      <c r="F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26"/>
      <c r="F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26"/>
      <c r="F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26"/>
      <c r="F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26"/>
      <c r="G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26"/>
      <c r="G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26"/>
      <c r="G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26"/>
      <c r="G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26"/>
      <c r="G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26"/>
      <c r="G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26"/>
      <c r="G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26"/>
      <c r="G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26"/>
      <c r="G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26"/>
      <c r="G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26"/>
      <c r="G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26"/>
      <c r="G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26"/>
      <c r="G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26"/>
      <c r="H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26"/>
      <c r="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26"/>
      <c r="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26"/>
      <c r="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26"/>
      <c r="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26"/>
      <c r="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26"/>
      <c r="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26"/>
      <c r="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26"/>
      <c r="A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26"/>
      <c r="A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26"/>
      <c r="A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26"/>
      <c r="A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26"/>
      <c r="A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26"/>
      <c r="A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26"/>
      <c r="A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26"/>
      <c r="A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26"/>
      <c r="A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26"/>
      <c r="A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26"/>
      <c r="A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26"/>
      <c r="A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26"/>
      <c r="A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26"/>
      <c r="B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26"/>
      <c r="B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26"/>
      <c r="B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26"/>
      <c r="B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26"/>
      <c r="B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26"/>
      <c r="B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26"/>
      <c r="B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26"/>
      <c r="B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26"/>
      <c r="B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26"/>
      <c r="B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26"/>
      <c r="B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26"/>
      <c r="B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26"/>
      <c r="B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26"/>
      <c r="C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26"/>
      <c r="C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26"/>
      <c r="C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26"/>
      <c r="C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26"/>
      <c r="C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26"/>
      <c r="C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26"/>
      <c r="C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26"/>
      <c r="C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26"/>
      <c r="C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26"/>
      <c r="C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26"/>
      <c r="C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26"/>
      <c r="C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26"/>
      <c r="C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26"/>
      <c r="D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26"/>
      <c r="D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26"/>
      <c r="D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26"/>
      <c r="D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26"/>
      <c r="D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26"/>
      <c r="D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26"/>
      <c r="D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26"/>
      <c r="D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26"/>
      <c r="D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26"/>
      <c r="D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26"/>
      <c r="D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26"/>
      <c r="D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26"/>
      <c r="D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26"/>
      <c r="E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26"/>
      <c r="E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26"/>
      <c r="E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26"/>
      <c r="E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26"/>
      <c r="E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26"/>
      <c r="E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26"/>
      <c r="E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26"/>
      <c r="E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26"/>
      <c r="E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26"/>
      <c r="E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26"/>
      <c r="E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26"/>
      <c r="E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26"/>
      <c r="E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26"/>
      <c r="F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26"/>
      <c r="F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26"/>
      <c r="F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26"/>
      <c r="F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26"/>
      <c r="F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26"/>
      <c r="F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26"/>
      <c r="F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26"/>
      <c r="F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26"/>
      <c r="F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26"/>
      <c r="F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26"/>
      <c r="F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26"/>
      <c r="F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26"/>
      <c r="F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26"/>
      <c r="G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26"/>
      <c r="G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26"/>
      <c r="G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26"/>
      <c r="G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26"/>
      <c r="G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26"/>
      <c r="G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26"/>
      <c r="G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26"/>
      <c r="G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26"/>
      <c r="G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26"/>
      <c r="G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26"/>
      <c r="G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26"/>
      <c r="G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26"/>
      <c r="G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26"/>
      <c r="H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26"/>
      <c r="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26"/>
      <c r="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26"/>
      <c r="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26"/>
      <c r="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26"/>
      <c r="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26"/>
      <c r="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26"/>
      <c r="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26"/>
      <c r="A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26"/>
      <c r="A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26"/>
      <c r="A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26"/>
      <c r="A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26"/>
      <c r="A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26"/>
      <c r="A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26"/>
      <c r="A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26"/>
      <c r="A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26"/>
      <c r="A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26"/>
      <c r="A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26"/>
      <c r="A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26"/>
      <c r="A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26"/>
      <c r="A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26"/>
      <c r="B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26"/>
      <c r="B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26"/>
      <c r="B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26"/>
      <c r="B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26"/>
      <c r="B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26"/>
      <c r="B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26"/>
      <c r="B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26"/>
      <c r="B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26"/>
      <c r="B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26"/>
      <c r="B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26"/>
      <c r="B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26"/>
      <c r="B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26"/>
      <c r="B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26"/>
      <c r="C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26"/>
      <c r="C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26"/>
      <c r="C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26"/>
      <c r="C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26"/>
      <c r="C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26"/>
      <c r="C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26"/>
      <c r="C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26"/>
      <c r="C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26"/>
      <c r="C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26"/>
      <c r="C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26"/>
      <c r="C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26"/>
      <c r="C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26"/>
      <c r="C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26"/>
      <c r="D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26"/>
      <c r="D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26"/>
      <c r="D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26"/>
      <c r="D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26"/>
      <c r="D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26"/>
      <c r="D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26"/>
      <c r="D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26"/>
      <c r="D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26"/>
      <c r="D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26"/>
      <c r="D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26"/>
      <c r="D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26"/>
      <c r="D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26"/>
      <c r="D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26"/>
      <c r="E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26"/>
      <c r="E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26"/>
      <c r="E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26"/>
      <c r="E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26"/>
      <c r="E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26"/>
      <c r="E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26"/>
      <c r="E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26"/>
      <c r="E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26"/>
      <c r="E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26"/>
      <c r="E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26"/>
      <c r="E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26"/>
      <c r="E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26"/>
      <c r="E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26"/>
      <c r="F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26"/>
      <c r="F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26"/>
      <c r="F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26"/>
      <c r="F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26"/>
      <c r="F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26"/>
      <c r="F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26"/>
      <c r="F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26"/>
      <c r="F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26"/>
      <c r="F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26"/>
      <c r="F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26"/>
      <c r="F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26"/>
      <c r="F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26"/>
      <c r="F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26"/>
      <c r="G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26"/>
      <c r="G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26"/>
      <c r="G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26"/>
      <c r="G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26"/>
      <c r="G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26"/>
      <c r="G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26"/>
      <c r="G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26"/>
      <c r="G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26"/>
      <c r="G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26"/>
      <c r="G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26"/>
      <c r="G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26"/>
      <c r="G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26"/>
      <c r="G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26"/>
      <c r="H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26"/>
      <c r="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26"/>
      <c r="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26"/>
      <c r="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26"/>
      <c r="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26"/>
      <c r="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26"/>
      <c r="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26"/>
      <c r="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26"/>
      <c r="A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26"/>
      <c r="A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26"/>
      <c r="A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26"/>
      <c r="A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26"/>
      <c r="A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26"/>
      <c r="A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26"/>
      <c r="A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26"/>
      <c r="A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26"/>
      <c r="A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26"/>
      <c r="A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26"/>
      <c r="A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26"/>
      <c r="A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26"/>
      <c r="A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26"/>
      <c r="B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26"/>
      <c r="B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26"/>
      <c r="B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26"/>
      <c r="B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26"/>
      <c r="B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26"/>
      <c r="B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26"/>
      <c r="B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26"/>
      <c r="B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26"/>
      <c r="B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26"/>
      <c r="B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26"/>
      <c r="B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26"/>
      <c r="B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26"/>
      <c r="B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26"/>
      <c r="C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26"/>
      <c r="C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26"/>
      <c r="C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26"/>
      <c r="C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26"/>
      <c r="C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26"/>
      <c r="C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26"/>
      <c r="C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26"/>
      <c r="C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26"/>
      <c r="C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26"/>
      <c r="C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26"/>
      <c r="C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26"/>
      <c r="C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26"/>
      <c r="C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26"/>
      <c r="D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26"/>
      <c r="D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26"/>
      <c r="D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26"/>
      <c r="D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26"/>
      <c r="D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26"/>
      <c r="D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26"/>
      <c r="D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26"/>
      <c r="D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26"/>
      <c r="D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26"/>
      <c r="D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26"/>
      <c r="D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26"/>
      <c r="D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26"/>
      <c r="D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26"/>
      <c r="E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26"/>
      <c r="E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26"/>
      <c r="E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26"/>
      <c r="E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26"/>
      <c r="E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26"/>
      <c r="E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26"/>
      <c r="E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26"/>
      <c r="E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26"/>
      <c r="E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26"/>
      <c r="E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26"/>
      <c r="E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26"/>
      <c r="E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26"/>
      <c r="E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26"/>
      <c r="F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26"/>
      <c r="F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26"/>
      <c r="F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26"/>
      <c r="F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26"/>
      <c r="F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26"/>
      <c r="F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26"/>
      <c r="F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26"/>
      <c r="F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26"/>
      <c r="F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26"/>
      <c r="F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26"/>
      <c r="F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26"/>
      <c r="F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26"/>
      <c r="F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26"/>
      <c r="G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26"/>
      <c r="G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26"/>
      <c r="G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26"/>
      <c r="G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26"/>
      <c r="G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26"/>
      <c r="G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26"/>
      <c r="G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26"/>
      <c r="G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26"/>
      <c r="G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26"/>
      <c r="G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26"/>
      <c r="G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26"/>
      <c r="G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26"/>
      <c r="G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26"/>
      <c r="H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26"/>
      <c r="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26"/>
      <c r="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26"/>
      <c r="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26"/>
      <c r="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26"/>
      <c r="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26"/>
      <c r="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26"/>
      <c r="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26"/>
      <c r="A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26"/>
      <c r="A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26"/>
      <c r="A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26"/>
      <c r="A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26"/>
      <c r="A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26"/>
      <c r="A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26"/>
      <c r="A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26"/>
      <c r="A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26"/>
      <c r="A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26"/>
      <c r="A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26"/>
      <c r="A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26"/>
      <c r="A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26"/>
      <c r="A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26"/>
      <c r="B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26"/>
      <c r="B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26"/>
      <c r="B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26"/>
      <c r="B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26"/>
      <c r="B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26"/>
      <c r="B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26"/>
      <c r="B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26"/>
      <c r="B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26"/>
      <c r="B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26"/>
      <c r="B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26"/>
      <c r="B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26"/>
      <c r="B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26"/>
      <c r="B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26"/>
      <c r="C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26"/>
      <c r="C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26"/>
      <c r="C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26"/>
      <c r="C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26"/>
      <c r="C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26"/>
      <c r="C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26"/>
      <c r="C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26"/>
      <c r="C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26"/>
      <c r="C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26"/>
      <c r="C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26"/>
      <c r="C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26"/>
      <c r="C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26"/>
      <c r="C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26"/>
      <c r="D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26"/>
      <c r="D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26"/>
      <c r="D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26"/>
      <c r="D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26"/>
      <c r="D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26"/>
      <c r="D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26"/>
      <c r="D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26"/>
      <c r="D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26"/>
      <c r="D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26"/>
      <c r="D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26"/>
      <c r="D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26"/>
      <c r="D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26"/>
      <c r="D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26"/>
      <c r="E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26"/>
      <c r="E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26"/>
      <c r="E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26"/>
      <c r="E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26"/>
      <c r="E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26"/>
      <c r="E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26"/>
      <c r="E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26"/>
      <c r="E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26"/>
      <c r="E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26"/>
      <c r="E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26"/>
      <c r="E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26"/>
      <c r="E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26"/>
      <c r="E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26"/>
      <c r="F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26"/>
      <c r="F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26"/>
      <c r="F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26"/>
      <c r="F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26"/>
      <c r="F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26"/>
      <c r="F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26"/>
      <c r="F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26"/>
      <c r="F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26"/>
      <c r="F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26"/>
      <c r="F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26"/>
      <c r="F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26"/>
      <c r="F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26"/>
      <c r="F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26"/>
      <c r="G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26"/>
      <c r="G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26"/>
      <c r="G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26"/>
      <c r="G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26"/>
      <c r="G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26"/>
      <c r="G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26"/>
      <c r="G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26"/>
      <c r="G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26"/>
      <c r="G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26"/>
      <c r="G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26"/>
      <c r="G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26"/>
      <c r="G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26"/>
      <c r="G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26"/>
      <c r="H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26"/>
      <c r="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26"/>
      <c r="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26"/>
      <c r="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26"/>
      <c r="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26"/>
      <c r="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26"/>
      <c r="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26"/>
      <c r="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26"/>
      <c r="A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26"/>
      <c r="A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26"/>
      <c r="A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26"/>
      <c r="A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26"/>
      <c r="A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26"/>
      <c r="A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26"/>
      <c r="A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26"/>
      <c r="A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26"/>
      <c r="A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26"/>
      <c r="A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26"/>
      <c r="A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26"/>
      <c r="A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26"/>
      <c r="A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26"/>
      <c r="B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26"/>
      <c r="B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26"/>
      <c r="B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26"/>
      <c r="B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26"/>
      <c r="B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26"/>
      <c r="B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26"/>
      <c r="B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26"/>
      <c r="B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26"/>
      <c r="B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26"/>
      <c r="B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26"/>
      <c r="B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26"/>
      <c r="B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26"/>
      <c r="B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26"/>
      <c r="C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26"/>
      <c r="C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26"/>
      <c r="C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26"/>
      <c r="C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26"/>
      <c r="C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26"/>
      <c r="C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26"/>
      <c r="C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26"/>
      <c r="C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26"/>
      <c r="C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26"/>
      <c r="C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26"/>
      <c r="C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26"/>
      <c r="C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26"/>
      <c r="C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26"/>
      <c r="D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26"/>
      <c r="D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26"/>
      <c r="D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26"/>
      <c r="D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26"/>
      <c r="D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26"/>
      <c r="D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26"/>
      <c r="D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26"/>
      <c r="D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26"/>
      <c r="D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26"/>
      <c r="D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26"/>
      <c r="D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26"/>
      <c r="D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26"/>
      <c r="D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26"/>
      <c r="E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26"/>
      <c r="E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26"/>
      <c r="E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26"/>
      <c r="E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26"/>
      <c r="E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26"/>
      <c r="E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26"/>
      <c r="E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26"/>
      <c r="E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26"/>
      <c r="E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26"/>
      <c r="E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26"/>
      <c r="E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26"/>
      <c r="E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26"/>
      <c r="E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26"/>
      <c r="F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26"/>
      <c r="F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26"/>
      <c r="F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26"/>
      <c r="F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26"/>
      <c r="F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26"/>
      <c r="F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26"/>
      <c r="F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26"/>
      <c r="F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26"/>
      <c r="F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26"/>
      <c r="F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26"/>
      <c r="F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26"/>
      <c r="F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26"/>
      <c r="F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26"/>
      <c r="G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26"/>
      <c r="G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26"/>
      <c r="G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26"/>
      <c r="G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26"/>
      <c r="G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26"/>
      <c r="G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26"/>
      <c r="G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26"/>
      <c r="G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26"/>
      <c r="G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26"/>
      <c r="G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26"/>
      <c r="G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26"/>
      <c r="G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26"/>
      <c r="G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26"/>
      <c r="H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SUMPRODUCT(OFFSET(貼付け_2026実績,$F241,4,10,1),OFFSET(貼付け_2026実績,$F241,SUM(COLUMN()-COLUMN(貼付け_2026実績)),10,1))*1000</f>
        <v>0</v>
      </c>
      <c r="J241" s="224">
        <f ca="1">SUMPRODUCT(OFFSET(貼付け_2026実績,$F241,4,10,1),OFFSET(貼付け_2026実績,$F241,SUM(COLUMN()-COLUMN(貼付け_2026実績)),10,1))*1000</f>
        <v>0</v>
      </c>
      <c r="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26"/>
      <c r="M241" s="226"/>
      <c r="N241" s="226"/>
      <c r="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26"/>
      <c r="Q241" s="226"/>
      <c r="R241" s="226"/>
      <c r="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26"/>
      <c r="U241" s="226"/>
      <c r="V241" s="226"/>
      <c r="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26"/>
      <c r="Y241" s="226"/>
      <c r="Z241" s="226"/>
      <c r="A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26"/>
      <c r="AC241" s="226"/>
      <c r="AD241" s="226"/>
      <c r="A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26"/>
      <c r="AG241" s="226"/>
      <c r="AH241" s="226"/>
      <c r="A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26"/>
      <c r="AK241" s="226"/>
      <c r="AL241" s="226"/>
      <c r="A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26"/>
      <c r="AO241" s="226"/>
      <c r="AP241" s="226"/>
      <c r="A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26"/>
      <c r="AS241" s="226"/>
      <c r="AT241" s="226"/>
      <c r="A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26"/>
      <c r="AW241" s="226"/>
      <c r="AX241" s="226"/>
      <c r="A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26"/>
      <c r="BA241" s="226"/>
      <c r="BB241" s="226"/>
      <c r="B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26"/>
      <c r="BE241" s="226"/>
      <c r="BF241" s="226"/>
      <c r="B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26"/>
      <c r="BI241" s="226"/>
      <c r="BJ241" s="226"/>
      <c r="B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26"/>
      <c r="BM241" s="226"/>
      <c r="BN241" s="226"/>
      <c r="B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26"/>
      <c r="BQ241" s="226"/>
      <c r="BR241" s="226"/>
      <c r="B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26"/>
      <c r="BU241" s="226"/>
      <c r="BV241" s="226"/>
      <c r="B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26"/>
      <c r="BY241" s="226"/>
      <c r="BZ241" s="226"/>
      <c r="C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26"/>
      <c r="CC241" s="226"/>
      <c r="CD241" s="226"/>
      <c r="C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26"/>
      <c r="CG241" s="226"/>
      <c r="CH241" s="226"/>
      <c r="C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26"/>
      <c r="CK241" s="226"/>
      <c r="CL241" s="226"/>
      <c r="C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26"/>
      <c r="CO241" s="226"/>
      <c r="CP241" s="226"/>
      <c r="C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26"/>
      <c r="CS241" s="226"/>
      <c r="CT241" s="226"/>
      <c r="C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26"/>
      <c r="CW241" s="226"/>
      <c r="CX241" s="226"/>
      <c r="C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26"/>
      <c r="DA241" s="226"/>
      <c r="DB241" s="226"/>
      <c r="D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26"/>
      <c r="DE241" s="226"/>
      <c r="DF241" s="226"/>
      <c r="D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26"/>
      <c r="DI241" s="226"/>
      <c r="DJ241" s="226"/>
      <c r="D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26"/>
      <c r="DM241" s="226"/>
      <c r="DN241" s="226"/>
      <c r="D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26"/>
      <c r="DQ241" s="226"/>
      <c r="DR241" s="226"/>
      <c r="D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26"/>
      <c r="DU241" s="226"/>
      <c r="DV241" s="226"/>
      <c r="D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26"/>
      <c r="DY241" s="226"/>
      <c r="DZ241" s="226"/>
      <c r="E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26"/>
      <c r="EC241" s="226"/>
      <c r="ED241" s="226"/>
      <c r="E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26"/>
      <c r="EG241" s="226"/>
      <c r="EH241" s="226"/>
      <c r="E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26"/>
      <c r="EK241" s="226"/>
      <c r="EL241" s="226"/>
      <c r="E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26"/>
      <c r="EO241" s="226"/>
      <c r="EP241" s="226"/>
      <c r="E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26"/>
      <c r="ES241" s="226"/>
      <c r="ET241" s="226"/>
      <c r="E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26"/>
      <c r="EW241" s="226"/>
      <c r="EX241" s="226"/>
      <c r="E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26"/>
      <c r="FA241" s="226"/>
      <c r="FB241" s="226"/>
      <c r="F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26"/>
      <c r="FE241" s="226"/>
      <c r="FF241" s="226"/>
      <c r="F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26"/>
      <c r="FI241" s="226"/>
      <c r="FJ241" s="226"/>
      <c r="F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26"/>
      <c r="FM241" s="226"/>
      <c r="FN241" s="226"/>
      <c r="F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26"/>
      <c r="FQ241" s="226"/>
      <c r="FR241" s="226"/>
      <c r="F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26"/>
      <c r="FU241" s="226"/>
      <c r="FV241" s="226"/>
      <c r="F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26"/>
      <c r="FY241" s="226"/>
      <c r="FZ241" s="226"/>
      <c r="G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26"/>
      <c r="GC241" s="226"/>
      <c r="GD241" s="226"/>
      <c r="G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26"/>
      <c r="GG241" s="226"/>
      <c r="GH241" s="226"/>
      <c r="G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26"/>
      <c r="GK241" s="226"/>
      <c r="GL241" s="226"/>
      <c r="G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26"/>
      <c r="GO241" s="226"/>
      <c r="GP241" s="226"/>
      <c r="G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26"/>
      <c r="GS241" s="226"/>
      <c r="GT241" s="226"/>
      <c r="G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26"/>
      <c r="GW241" s="226"/>
      <c r="GX241" s="226"/>
      <c r="G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SUMPRODUCT(OFFSET(貼付け_2026実績,$F242,5,10,1),OFFSET(貼付け_2026実績,$F242,SUM(COLUMN()-COLUMN(貼付け_2026実績)),10,1))*1000</f>
        <v>0</v>
      </c>
      <c r="J242" s="224">
        <f ca="1">SUMPRODUCT(OFFSET(貼付け_2026実績,$F242,5,10,1),OFFSET(貼付け_2026実績,$F242,SUM(COLUMN()-COLUMN(貼付け_2026実績)),10,1))*1000</f>
        <v>0</v>
      </c>
      <c r="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226"/>
      <c r="M242" s="226"/>
      <c r="N242" s="226"/>
      <c r="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226"/>
      <c r="Q242" s="226"/>
      <c r="R242" s="226"/>
      <c r="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226"/>
      <c r="U242" s="226"/>
      <c r="V242" s="226"/>
      <c r="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226"/>
      <c r="Y242" s="226"/>
      <c r="Z242" s="226"/>
      <c r="A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226"/>
      <c r="AC242" s="226"/>
      <c r="AD242" s="226"/>
      <c r="A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226"/>
      <c r="AG242" s="226"/>
      <c r="AH242" s="226"/>
      <c r="A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226"/>
      <c r="AK242" s="226"/>
      <c r="AL242" s="226"/>
      <c r="A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226"/>
      <c r="AO242" s="226"/>
      <c r="AP242" s="226"/>
      <c r="A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226"/>
      <c r="AS242" s="226"/>
      <c r="AT242" s="226"/>
      <c r="A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226"/>
      <c r="AW242" s="226"/>
      <c r="AX242" s="226"/>
      <c r="A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226"/>
      <c r="BA242" s="226"/>
      <c r="BB242" s="226"/>
      <c r="B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226"/>
      <c r="BE242" s="226"/>
      <c r="BF242" s="226"/>
      <c r="B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226"/>
      <c r="BI242" s="226"/>
      <c r="BJ242" s="226"/>
      <c r="B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226"/>
      <c r="BM242" s="226"/>
      <c r="BN242" s="226"/>
      <c r="B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226"/>
      <c r="BQ242" s="226"/>
      <c r="BR242" s="226"/>
      <c r="B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226"/>
      <c r="BU242" s="226"/>
      <c r="BV242" s="226"/>
      <c r="B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226"/>
      <c r="BY242" s="226"/>
      <c r="BZ242" s="226"/>
      <c r="C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226"/>
      <c r="CC242" s="226"/>
      <c r="CD242" s="226"/>
      <c r="C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226"/>
      <c r="CG242" s="226"/>
      <c r="CH242" s="226"/>
      <c r="C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226"/>
      <c r="CK242" s="226"/>
      <c r="CL242" s="226"/>
      <c r="C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226"/>
      <c r="CO242" s="226"/>
      <c r="CP242" s="226"/>
      <c r="C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226"/>
      <c r="CS242" s="226"/>
      <c r="CT242" s="226"/>
      <c r="C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226"/>
      <c r="CW242" s="226"/>
      <c r="CX242" s="226"/>
      <c r="C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226"/>
      <c r="DA242" s="226"/>
      <c r="DB242" s="226"/>
      <c r="D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226"/>
      <c r="DE242" s="226"/>
      <c r="DF242" s="226"/>
      <c r="D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226"/>
      <c r="DI242" s="226"/>
      <c r="DJ242" s="226"/>
      <c r="D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226"/>
      <c r="DM242" s="226"/>
      <c r="DN242" s="226"/>
      <c r="D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226"/>
      <c r="DQ242" s="226"/>
      <c r="DR242" s="226"/>
      <c r="D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226"/>
      <c r="DU242" s="226"/>
      <c r="DV242" s="226"/>
      <c r="D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226"/>
      <c r="DY242" s="226"/>
      <c r="DZ242" s="226"/>
      <c r="E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226"/>
      <c r="EC242" s="226"/>
      <c r="ED242" s="226"/>
      <c r="E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226"/>
      <c r="EG242" s="226"/>
      <c r="EH242" s="226"/>
      <c r="E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226"/>
      <c r="EK242" s="226"/>
      <c r="EL242" s="226"/>
      <c r="E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226"/>
      <c r="EO242" s="226"/>
      <c r="EP242" s="226"/>
      <c r="E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226"/>
      <c r="ES242" s="226"/>
      <c r="ET242" s="226"/>
      <c r="E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226"/>
      <c r="EW242" s="226"/>
      <c r="EX242" s="226"/>
      <c r="E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226"/>
      <c r="FA242" s="226"/>
      <c r="FB242" s="226"/>
      <c r="F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226"/>
      <c r="FE242" s="226"/>
      <c r="FF242" s="226"/>
      <c r="F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226"/>
      <c r="FI242" s="226"/>
      <c r="FJ242" s="226"/>
      <c r="F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226"/>
      <c r="FM242" s="226"/>
      <c r="FN242" s="226"/>
      <c r="F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226"/>
      <c r="FQ242" s="226"/>
      <c r="FR242" s="226"/>
      <c r="F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226"/>
      <c r="FU242" s="226"/>
      <c r="FV242" s="226"/>
      <c r="F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226"/>
      <c r="FY242" s="226"/>
      <c r="FZ242" s="226"/>
      <c r="G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226"/>
      <c r="GC242" s="226"/>
      <c r="GD242" s="226"/>
      <c r="G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226"/>
      <c r="GG242" s="226"/>
      <c r="GH242" s="226"/>
      <c r="G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226"/>
      <c r="GK242" s="226"/>
      <c r="GL242" s="226"/>
      <c r="G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226"/>
      <c r="GO242" s="226"/>
      <c r="GP242" s="226"/>
      <c r="G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226"/>
      <c r="GS242" s="226"/>
      <c r="GT242" s="226"/>
      <c r="G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226"/>
      <c r="GW242" s="226"/>
      <c r="GX242" s="226"/>
      <c r="G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26"/>
      <c r="M243" s="226"/>
      <c r="N243" s="226"/>
      <c r="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26"/>
      <c r="Q243" s="226"/>
      <c r="R243" s="226"/>
      <c r="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26"/>
      <c r="U243" s="226"/>
      <c r="V243" s="226"/>
      <c r="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26"/>
      <c r="Y243" s="226"/>
      <c r="Z243" s="226"/>
      <c r="A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26"/>
      <c r="AC243" s="226"/>
      <c r="AD243" s="226"/>
      <c r="A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26"/>
      <c r="AG243" s="226"/>
      <c r="AH243" s="226"/>
      <c r="A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26"/>
      <c r="AK243" s="226"/>
      <c r="AL243" s="226"/>
      <c r="A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26"/>
      <c r="AO243" s="226"/>
      <c r="AP243" s="226"/>
      <c r="A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26"/>
      <c r="AS243" s="226"/>
      <c r="AT243" s="226"/>
      <c r="A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26"/>
      <c r="AW243" s="226"/>
      <c r="AX243" s="226"/>
      <c r="A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26"/>
      <c r="BA243" s="226"/>
      <c r="BB243" s="226"/>
      <c r="B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26"/>
      <c r="BE243" s="226"/>
      <c r="BF243" s="226"/>
      <c r="B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26"/>
      <c r="BI243" s="226"/>
      <c r="BJ243" s="226"/>
      <c r="B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26"/>
      <c r="BM243" s="226"/>
      <c r="BN243" s="226"/>
      <c r="B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26"/>
      <c r="BQ243" s="226"/>
      <c r="BR243" s="226"/>
      <c r="B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26"/>
      <c r="BU243" s="226"/>
      <c r="BV243" s="226"/>
      <c r="B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26"/>
      <c r="BY243" s="226"/>
      <c r="BZ243" s="226"/>
      <c r="C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26"/>
      <c r="CC243" s="226"/>
      <c r="CD243" s="226"/>
      <c r="C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26"/>
      <c r="CG243" s="226"/>
      <c r="CH243" s="226"/>
      <c r="C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26"/>
      <c r="CK243" s="226"/>
      <c r="CL243" s="226"/>
      <c r="C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26"/>
      <c r="CO243" s="226"/>
      <c r="CP243" s="226"/>
      <c r="C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26"/>
      <c r="CS243" s="226"/>
      <c r="CT243" s="226"/>
      <c r="C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26"/>
      <c r="CW243" s="226"/>
      <c r="CX243" s="226"/>
      <c r="C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26"/>
      <c r="DA243" s="226"/>
      <c r="DB243" s="226"/>
      <c r="D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26"/>
      <c r="DE243" s="226"/>
      <c r="DF243" s="226"/>
      <c r="D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26"/>
      <c r="DI243" s="226"/>
      <c r="DJ243" s="226"/>
      <c r="D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26"/>
      <c r="DM243" s="226"/>
      <c r="DN243" s="226"/>
      <c r="D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26"/>
      <c r="DQ243" s="226"/>
      <c r="DR243" s="226"/>
      <c r="D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26"/>
      <c r="DU243" s="226"/>
      <c r="DV243" s="226"/>
      <c r="D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26"/>
      <c r="DY243" s="226"/>
      <c r="DZ243" s="226"/>
      <c r="E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26"/>
      <c r="EC243" s="226"/>
      <c r="ED243" s="226"/>
      <c r="E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26"/>
      <c r="EG243" s="226"/>
      <c r="EH243" s="226"/>
      <c r="E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26"/>
      <c r="EK243" s="226"/>
      <c r="EL243" s="226"/>
      <c r="E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26"/>
      <c r="EO243" s="226"/>
      <c r="EP243" s="226"/>
      <c r="E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26"/>
      <c r="ES243" s="226"/>
      <c r="ET243" s="226"/>
      <c r="E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26"/>
      <c r="EW243" s="226"/>
      <c r="EX243" s="226"/>
      <c r="E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26"/>
      <c r="FA243" s="226"/>
      <c r="FB243" s="226"/>
      <c r="F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26"/>
      <c r="FE243" s="226"/>
      <c r="FF243" s="226"/>
      <c r="F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26"/>
      <c r="FI243" s="226"/>
      <c r="FJ243" s="226"/>
      <c r="F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26"/>
      <c r="FM243" s="226"/>
      <c r="FN243" s="226"/>
      <c r="F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26"/>
      <c r="FQ243" s="226"/>
      <c r="FR243" s="226"/>
      <c r="F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26"/>
      <c r="FU243" s="226"/>
      <c r="FV243" s="226"/>
      <c r="F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26"/>
      <c r="FY243" s="226"/>
      <c r="FZ243" s="226"/>
      <c r="G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26"/>
      <c r="GC243" s="226"/>
      <c r="GD243" s="226"/>
      <c r="G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26"/>
      <c r="GG243" s="226"/>
      <c r="GH243" s="226"/>
      <c r="G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26"/>
      <c r="GK243" s="226"/>
      <c r="GL243" s="226"/>
      <c r="G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26"/>
      <c r="GO243" s="226"/>
      <c r="GP243" s="226"/>
      <c r="G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26"/>
      <c r="GS243" s="226"/>
      <c r="GT243" s="226"/>
      <c r="G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26"/>
      <c r="GW243" s="226"/>
      <c r="GX243" s="226"/>
      <c r="G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26"/>
      <c r="HA243" s="226"/>
      <c r="HB243" s="226"/>
      <c r="IE243" s="219"/>
      <c r="IF243" s="219"/>
      <c r="IG243" s="219"/>
      <c r="IH243" s="219"/>
    </row>
    <row r="244" spans="1:242" hidden="1"/>
    <row r="245" spans="1:242" s="193" customFormat="1" ht="20.100000000000001" hidden="1" customHeight="1">
      <c r="A245" s="201" t="s">
        <v>4323</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4324</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2026</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2026年度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"~"&amp;D248-1&amp;"/"&amp;D248</f>
        <v>~2025/2026</v>
      </c>
      <c r="D249" s="655" t="str">
        <f>""</f>
        <v/>
      </c>
      <c r="E249" s="775" t="str">
        <f t="shared" ref="E249:AJ249" ca="1" si="97">IF(OFFSET(A1_原単位2025,6,E$247+2)="",OFFSET(A1_原単位2025,3,E$247+2),OFFSET(A1_原単位2025,6,E$247+2))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IF(OFFSET(A1_原単位2025,6,O$247+2)="",OFFSET(A1_原単位2025,3,O$247+2),OFFSET(A1_原単位2025,6,O$247+2))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IF(OFFSET(A1_原単位2025,6,AK$247+2)="",OFFSET(A1_原単位2025,3,AK$247+2),OFFSET(A1_原単位2025,6,AK$247+2))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IFERROR(OFFSET(貼付け_2026実績,5,E248+1),"")&amp;""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IFERROR(OFFSET(貼付け_2026実績,5,O248+1),"")&amp;""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IFERROR(OFFSET(貼付け_2026実績,5,AK248+1),"")&amp;""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"~"&amp;D248-1&amp;"&amp;"&amp;D248</f>
        <v>~2025&amp;2026</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IF(OFFSET(貼付け_2026実績,2,12)="■",BD249,IFERROR(INDEX($BD249:$DA249,MATCH(E250,$BD249:$DA249,0)),""))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IF(OFFSET(貼付け_2026実績,2,12)="■",BN249,IFERROR(INDEX($BD249:$DA249,MATCH(O250,$BD249:$DA249,0)),""))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IF(OFFSET(貼付け_2026実績,2,12)="■",CJ249,IFERROR(INDEX($BD249:$DA249,MATCH(AK250,$BD249:$DA249,0)),""))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OFFSET(A1_名称2026,E$247+2,$D252)&amp;""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OFFSET(A1_名称2026,O$247+2,$D252)&amp;""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OFFSET(A1_名称2026,AK$247+2,$D252)&amp;""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IFERROR(OFFSET(貼付け_2026実績,$D254,E253+1)&amp;"","")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IFERROR(OFFSET(貼付け_2026実績,$D254,O253+1)&amp;"","")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IFERROR(OFFSET(貼付け_2026実績,$D254,AK253+1)&amp;"","")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IFERROR(OFFSET(貼付け_2026実績,$D255,E253),"")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IFERROR(OFFSET(貼付け_2026実績,$D255,O253),"")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IFERROR(OFFSET(貼付け_2026実績,$D255,AK253),"")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IFERROR(OFFSET(A1_集計2026,$D256,E253),"")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IFERROR(OFFSET(A1_集計2026,$D256,O253),"")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IFERROR(OFFSET(A1_集計2026,$D256,AK253),"")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IFERROR(OFFSET(貼付け_2026実績,$D257,E253),"")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IFERROR(OFFSET(貼付け_2026実績,$D257,O253),"")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IFERROR(OFFSET(貼付け_2026実績,$D257,AK253),"")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IFERROR(1-(E258/OFFSET(A1_原単位2025,$D259,E$247+2)),"")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IFERROR(1-(AK258/OFFSET(A1_原単位2025,$D259,AK$247+2)),"")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2026</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2026年度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"~"&amp;D260-1&amp;"/"&amp;D260</f>
        <v>~2025/2026</v>
      </c>
      <c r="D261" s="655" t="str">
        <f>""</f>
        <v/>
      </c>
      <c r="E261" s="775" t="str">
        <f t="shared" ref="E261:AJ261" ca="1" si="118">IF(OFFSET(A1_原単位2025,18,E$247+2)="",OFFSET(A1_原単位2025,15,E$247+2),OFFSET(A1_原単位2025,18,E$247+2))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IF(OFFSET(A1_原単位2025,18,O$247+2)="",OFFSET(A1_原単位2025,15,O$247+2),OFFSET(A1_原単位2025,18,O$247+2))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IF(OFFSET(A1_原単位2025,18,AK$247+2)="",OFFSET(A1_原単位2025,15,AK$247+2),OFFSET(A1_原単位2025,18,AK$247+2))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IFERROR(OFFSET(貼付け_2026実績,5,E260+1),"")&amp;""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IFERROR(OFFSET(貼付け_2026実績,5,O260+1),"")&amp;""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IFERROR(OFFSET(貼付け_2026実績,5,AK260+1),"")&amp;""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"~"&amp;D260-1&amp;"&amp;"&amp;D260</f>
        <v>~2025&amp;2026</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IF(OFFSET(貼付け_2026実績,2,12)="■",BD261,IFERROR(INDEX($BD261:$DA261,MATCH(E262,$BD261:$DA261,0)),""))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IF(OFFSET(貼付け_2026実績,2,12)="■",BN261,IFERROR(INDEX($BD261:$DA261,MATCH(O262,$BD261:$DA261,0)),""))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IF(OFFSET(貼付け_2026実績,2,12)="■",CJ261,IFERROR(INDEX($BD261:$DA261,MATCH(AK262,$BD261:$DA261,0)),""))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t="shared" ref="E264:AJ264" ca="1" si="124">OFFSET(A1_名称2026,E$247+2,$D264)&amp;""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OFFSET(A1_名称2026,O$247+2,$D264)&amp;""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OFFSET(A1_名称2026,AK$247+2,$D264)&amp;""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IFERROR(OFFSET(貼付け_2026実績,$D266,E265+1)&amp;"","")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IFERROR(OFFSET(貼付け_2026実績,$D266,O265+1)&amp;"","")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IFERROR(OFFSET(貼付け_2026実績,$D266,AK265+1)&amp;"","")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IFERROR(OFFSET(貼付け_2026実績,$D267,E265),"")&amp;""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IFERROR(OFFSET(貼付け_2026実績,$D267,O265),"")&amp;""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IFERROR(OFFSET(貼付け_2026実績,$D267,AK265),"")&amp;""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IFERROR(OFFSET(A1_集計2026,$D268,E265),"")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IFERROR(OFFSET(A1_集計2026,$D268,O265),"")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IFERROR(OFFSET(A1_集計2026,$D268,AK265),"")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IFERROR(OFFSET(貼付け_2026実績,$D269,E265),"")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IFERROR(OFFSET(貼付け_2026実績,$D269,O265),"")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IFERROR(OFFSET(貼付け_2026実績,$D269,AK265),"")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IFERROR(1-(E270/OFFSET(A1_原単位2025,$D271,E$247+2)),"")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IFERROR(1-(AK270/OFFSET(A1_原単位2025,$D271,AK$247+2)),"")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2026</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2026年度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"~"&amp;D272-1&amp;"/"&amp;D272</f>
        <v>~2025/2026</v>
      </c>
      <c r="D273" s="655" t="str">
        <f>""</f>
        <v/>
      </c>
      <c r="E273" s="775" t="str">
        <f t="shared" ref="E273:AJ273" ca="1" si="139">IF(OFFSET(A1_原単位2025,30,E$247+2)="",OFFSET(A1_原単位2025,27,E$247+2),OFFSET(A1_原単位2025,30,E$247+2))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IF(OFFSET(A1_原単位2025,30,O$247+2)="",OFFSET(A1_原単位2025,27,O$247+2),OFFSET(A1_原単位2025,30,O$247+2))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IF(OFFSET(A1_原単位2025,30,AK$247+2)="",OFFSET(A1_原単位2025,27,AK$247+2),OFFSET(A1_原単位2025,30,AK$247+2))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IFERROR(OFFSET(貼付け_2026実績,5,E272+1),"")&amp;""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IFERROR(OFFSET(貼付け_2026実績,5,O272+1),"")&amp;""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IFERROR(OFFSET(貼付け_2026実績,5,AK272+1),"")&amp;""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"~"&amp;D272-1&amp;"&amp;"&amp;D272</f>
        <v>~2025&amp;2026</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IF(OFFSET(貼付け_2026実績,2,12)="■",BD273,IFERROR(INDEX($BD273:$DA273,MATCH(E274,$BD273:$DA273,0)),""))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IF(OFFSET(貼付け_2026実績,2,12)="■",BN273,IFERROR(INDEX($BD273:$DA273,MATCH(O274,$BD273:$DA273,0)),""))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IF(OFFSET(貼付け_2026実績,2,12)="■",CJ273,IFERROR(INDEX($BD273:$DA273,MATCH(AK274,$BD273:$DA273,0)),""))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OFFSET(A1_名称2026,E$247+2,$D276)&amp;""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OFFSET(A1_名称2026,O$247+2,$D276)&amp;""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OFFSET(A1_名称2026,AK$247+2,$D276)&amp;""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IFERROR(OFFSET(貼付け_2026実績,$D278,E277+1)&amp;"","")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IFERROR(OFFSET(貼付け_2026実績,$D278,O277+1)&amp;"","")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IFERROR(OFFSET(貼付け_2026実績,$D278,AK277+1)&amp;"","")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IFERROR(OFFSET(貼付け_2026実績,$D279,E277),"")&amp;""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IFERROR(OFFSET(貼付け_2026実績,$D279,O277),"")&amp;""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IFERROR(OFFSET(貼付け_2026実績,$D279,AK277),"")&amp;""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IFERROR(OFFSET(A1_集計2026,$D280,E277),"")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IFERROR(OFFSET(A1_集計2026,$D280,O277),"")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IFERROR(OFFSET(A1_集計2026,$D280,AK277),"")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IFERROR(OFFSET(貼付け_2026実績,$D281,E277),"")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IFERROR(OFFSET(貼付け_2026実績,$D281,O277),"")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IFERROR(OFFSET(貼付け_2026実績,$D281,AK277),"")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IFERROR(1-(E282/OFFSET(A1_原単位2025,$D283,E$247+2)),"")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IFERROR(1-(AK282/OFFSET(A1_原単位2025,$D283,AK$247+2)),"")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2026</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2026年度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"~"&amp;D284-1&amp;"/"&amp;D284</f>
        <v>~2025/2026</v>
      </c>
      <c r="D285" s="655" t="str">
        <f>""</f>
        <v/>
      </c>
      <c r="E285" s="775" t="str">
        <f t="shared" ref="E285:AJ285" ca="1" si="160">IF(OFFSET(A1_原単位2025,42,E$247+2)="",OFFSET(A1_原単位2025,39,E$247+2),OFFSET(A1_原単位2025,42,E$247+2))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IF(OFFSET(A1_原単位2025,42,O$247+2)="",OFFSET(A1_原単位2025,39,O$247+2),OFFSET(A1_原単位2025,42,O$247+2))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IF(OFFSET(A1_原単位2025,42,AK$247+2)="",OFFSET(A1_原単位2025,39,AK$247+2),OFFSET(A1_原単位2025,42,AK$247+2))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IFERROR(OFFSET(貼付け_2026実績,5,E284+1),"")&amp;""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IFERROR(OFFSET(貼付け_2026実績,5,O284+1),"")&amp;""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IFERROR(OFFSET(貼付け_2026実績,5,AK284+1),"")&amp;""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"~"&amp;D284-1&amp;"&amp;"&amp;D284</f>
        <v>~2025&amp;2026</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IF(OFFSET(貼付け_2026実績,2,12)="■",BD285,IFERROR(INDEX($BD285:$DA285,MATCH(E286,$BD285:$DA285,0)),""))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IF(OFFSET(貼付け_2026実績,2,12)="■",BN285,IFERROR(INDEX($BD285:$DA285,MATCH(O286,$BD285:$DA285,0)),""))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IF(OFFSET(貼付け_2026実績,2,12)="■",CJ285,IFERROR(INDEX($BD285:$DA285,MATCH(AK286,$BD285:$DA285,0)),""))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OFFSET(A1_名称2026,E$247+2,$D288)&amp;""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OFFSET(A1_名称2026,O$247+2,$D288)&amp;""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OFFSET(A1_名称2026,AK$247+2,$D288)&amp;""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IFERROR(OFFSET(貼付け_2026実績,$D290,E289+1)&amp;"","")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IFERROR(OFFSET(貼付け_2026実績,$D290,O289+1)&amp;"","")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IFERROR(OFFSET(貼付け_2026実績,$D290,AK289+1)&amp;"","")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IFERROR(OFFSET(貼付け_2026実績,$D291,E289),"")&amp;""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IFERROR(OFFSET(貼付け_2026実績,$D291,O289),"")&amp;""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IFERROR(OFFSET(貼付け_2026実績,$D291,AK289),"")&amp;""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IFERROR(OFFSET(A1_集計2026,$D292,E289),"")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IFERROR(OFFSET(A1_集計2026,$D292,O289),"")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IFERROR(OFFSET(A1_集計2026,$D292,AK289),"")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IFERROR(OFFSET(貼付け_2026実績,$D293,E289),"")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IFERROR(OFFSET(貼付け_2026実績,$D293,O289),"")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IFERROR(OFFSET(貼付け_2026実績,$D293,AK289),"")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IFERROR(1-(E294/OFFSET(A1_原単位2025,$D295,E$247+2)),"")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IFERROR(1-(AK294/OFFSET(A1_原単位2025,$D295,AK$247+2)),"")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667"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idden="1"/>
    <row r="299" spans="1:242" ht="18.600000000000001" hidden="1" thickBot="1">
      <c r="B299" s="1081" t="s">
        <v>4303</v>
      </c>
      <c r="C299" s="1082"/>
      <c r="D299" s="1083"/>
      <c r="E299" s="669" t="str">
        <f t="shared" ref="E299:AJ299" ca="1" si="180">IF(E253="",OFFSET(A1_原単位2025,53,E247+2),IFERROR(OFFSET(貼付け_2026実績,6,E253+1)&amp;"",""))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IF(AK253="",OFFSET(A1_原単位2025,53,AK247+2),IFERROR(OFFSET(貼付け_2026実績,6,AK253+1)&amp;"",""))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98"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99"/>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99"/>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100"/>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98" t="s">
        <v>4305</v>
      </c>
      <c r="C304" s="672" t="s">
        <v>4054</v>
      </c>
      <c r="D304" s="673"/>
      <c r="E304" s="674" t="str">
        <f t="shared" ref="E304:AJ304" ca="1" si="186">OFFSET(A1_原単位2025,9,E247+2)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OFFSET(A1_原単位2025,9,AK247+2)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99"/>
      <c r="C305" s="676" t="s">
        <v>4055</v>
      </c>
      <c r="D305" s="677"/>
      <c r="E305" s="642" t="str">
        <f t="shared" ref="E305:AJ305" ca="1" si="188">OFFSET(A1_原単位2025,9+12,E247+2)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OFFSET(A1_原単位2025,9+12,AK247+2)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99"/>
      <c r="C306" s="676" t="s">
        <v>4056</v>
      </c>
      <c r="D306" s="677"/>
      <c r="E306" s="642" t="str">
        <f t="shared" ref="E306:AJ306" ca="1" si="190">OFFSET(A1_原単位2025,9+24,E247+2)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OFFSET(A1_原単位2025,9+24,AK247+2)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100"/>
      <c r="C307" s="679" t="s">
        <v>4057</v>
      </c>
      <c r="D307" s="682"/>
      <c r="E307" s="680" t="str">
        <f t="shared" ref="E307:AJ307" ca="1" si="192">OFFSET(A1_原単位2025,9+36,E247+2)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OFFSET(A1_原単位2025,9+36,AK247+2)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99"/>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99"/>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98"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99"/>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99"/>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100"/>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ustomWidth="1"/>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4326</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4327</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4687</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4692</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4328</v>
      </c>
      <c r="C8" s="206"/>
      <c r="D8" s="206"/>
      <c r="E8" s="210"/>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s="197" customFormat="1" ht="69.900000000000006" customHeight="1" thickBot="1">
      <c r="B9" s="257" t="s">
        <v>4329</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OFFSET(A1_原単位2026,6,$HL10+2)</f>
        <v/>
      </c>
      <c r="HN10" s="749" t="str">
        <f ca="1">OFFSET(A1_原単位2027,5,HL10+2)&amp;""</f>
        <v/>
      </c>
      <c r="HO10" s="750" t="str">
        <f t="shared" ref="HO10:HO59" ca="1" si="50">IF(HN10="","",HYPERLINK("#"&amp;IE10,"&lt;"&amp;IE10&amp;"&gt;"))</f>
        <v/>
      </c>
      <c r="HP10" s="751" t="str">
        <f t="shared" ref="HP10:HP41" ca="1" si="51">IF(HN10="","",HYPERLINK("#"&amp;OFFSET(A1_原単位2027,66,$HL10+2),OFFSET(A1_原単位2027,62,$HL10+2)))</f>
        <v/>
      </c>
      <c r="HQ10" s="748" t="str">
        <f t="shared" ref="HQ10:HQ41" ca="1" si="52">OFFSET(A1_原単位2026,18,$HL10+2)</f>
        <v/>
      </c>
      <c r="HR10" s="749" t="str">
        <f ca="1">OFFSET(A1_原単位2027,17,HL10+2)&amp;""</f>
        <v/>
      </c>
      <c r="HS10" s="750" t="str">
        <f t="shared" ref="HS10:HS59" ca="1" si="53">IF(HR10="","",HYPERLINK("#"&amp;IF10,"&lt;"&amp;IF10&amp;"&gt;"))</f>
        <v/>
      </c>
      <c r="HT10" s="752" t="str">
        <f t="shared" ref="HT10:HT41" ca="1" si="54">IF(HR10="","",HYPERLINK("#"&amp;OFFSET(A1_原単位2027,67,$HL10+2),OFFSET(A1_原単位2027,63,$HL10+2)))</f>
        <v/>
      </c>
      <c r="HU10" s="748" t="str">
        <f t="shared" ref="HU10:HU41" ca="1" si="55">OFFSET(A1_原単位2026,30,$HL10+2)</f>
        <v/>
      </c>
      <c r="HV10" s="749" t="str">
        <f ca="1">OFFSET(A1_原単位2027,29,HL10+2)&amp;""</f>
        <v/>
      </c>
      <c r="HW10" s="753" t="str">
        <f t="shared" ref="HW10:HW59" ca="1" si="56">IF(HV10="","",HYPERLINK("#"&amp;IG10,"&lt;"&amp;IG10&amp;"&gt;"))</f>
        <v/>
      </c>
      <c r="HX10" s="752" t="str">
        <f t="shared" ref="HX10:HX41" ca="1" si="57">IF(HV10="","",HYPERLINK("#"&amp;OFFSET(A1_原単位2027,68,$HL10+2),OFFSET(A1_原単位2027,64,$HL10+2)))</f>
        <v/>
      </c>
      <c r="HY10" s="748" t="str">
        <f t="shared" ref="HY10:HY41" ca="1" si="58">OFFSET(A1_原単位2026,42,$HL10+2)</f>
        <v/>
      </c>
      <c r="HZ10" s="749" t="str">
        <f ca="1">OFFSET(A1_原単位2027,41,HL10+2)&amp;""</f>
        <v/>
      </c>
      <c r="IA10" s="753" t="str">
        <f t="shared" ref="IA10:IA59" ca="1" si="59">IF(HZ10="","",HYPERLINK("#"&amp;IH10,"&lt;"&amp;IH10&amp;"&gt;"))</f>
        <v/>
      </c>
      <c r="IB10" s="754" t="str">
        <f t="shared" ref="IB10:IB41" ca="1" si="60">IF(HZ10="","",HYPERLINK("#"&amp;OFFSET(A1_原単位2027,69,$HL10+2),OFFSET(A1_原単位2027,65,$HL10+2)))</f>
        <v/>
      </c>
      <c r="IE10" s="244" t="str">
        <f t="shared" ref="IE10:IE41" ca="1" si="61">IF($HN10="","",ADDRESS(ROW(貼付け_2027実績)+5,OFFSET(A1_原単位2027,7,$HL10+2)+COLUMN(貼付け_2027実績)+1,4))</f>
        <v/>
      </c>
      <c r="IF10" s="244" t="str">
        <f t="shared" ref="IF10:IF41" ca="1" si="62">IF($HR10="","",ADDRESS(ROW(貼付け_2027実績)+5,OFFSET(A1_原単位2027,19,$HL10+2)+COLUMN(貼付け_2027実績)+1,4))</f>
        <v/>
      </c>
      <c r="IG10" s="244" t="str">
        <f t="shared" ref="IG10:IG41" ca="1" si="63">IF($HV10="","",ADDRESS(ROW(貼付け_2027実績)+5,OFFSET(A1_原単位2027,31,$HL10+2)+COLUMN(貼付け_2027実績)+1,4))</f>
        <v/>
      </c>
      <c r="IH10" s="244" t="str">
        <f t="shared" ref="IH10:IH41" ca="1" si="64">IF($HZ10="","",ADDRESS(ROW(貼付け_2027実績)+5,OFFSET(A1_原単位2027,43,$HL10+2)+COLUMN(貼付け_2027実績)+1,4))</f>
        <v/>
      </c>
    </row>
    <row r="11" spans="1:242" s="197" customFormat="1" ht="20.100000000000001" customHeight="1">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IF(COUNTIF(HN$10:HN10,OFFSET(A1_原単位2027,5,HL11+2))&gt;=1,"",OFFSET(A1_原単位2027,5,HL11+2)&amp;"")</f>
        <v/>
      </c>
      <c r="HO11" s="757" t="str">
        <f t="shared" ca="1" si="50"/>
        <v/>
      </c>
      <c r="HP11" s="758" t="str">
        <f t="shared" ca="1" si="51"/>
        <v/>
      </c>
      <c r="HQ11" s="755" t="str">
        <f t="shared" ca="1" si="52"/>
        <v/>
      </c>
      <c r="HR11" s="756" t="str">
        <f ca="1">IF(COUNTIF(HR$10:HR10,OFFSET(A1_原単位2027,17,HL11+2))&gt;=1,"",OFFSET(A1_原単位2027,17,HL11+2)&amp;"")</f>
        <v/>
      </c>
      <c r="HS11" s="759" t="str">
        <f t="shared" ca="1" si="53"/>
        <v/>
      </c>
      <c r="HT11" s="760" t="str">
        <f t="shared" ca="1" si="54"/>
        <v/>
      </c>
      <c r="HU11" s="755" t="str">
        <f t="shared" ca="1" si="55"/>
        <v/>
      </c>
      <c r="HV11" s="756" t="str">
        <f ca="1">IF(COUNTIF(HV$10:HV10,OFFSET(A1_原単位2027,29,HL11+2))&gt;=1,"",OFFSET(A1_原単位2027,29,HL11+2)&amp;"")</f>
        <v/>
      </c>
      <c r="HW11" s="759" t="str">
        <f t="shared" ca="1" si="56"/>
        <v/>
      </c>
      <c r="HX11" s="760" t="str">
        <f t="shared" ca="1" si="57"/>
        <v/>
      </c>
      <c r="HY11" s="755" t="str">
        <f t="shared" ca="1" si="58"/>
        <v/>
      </c>
      <c r="HZ11" s="756" t="str">
        <f ca="1">IF(COUNTIF(HZ$10:HZ10,OFFSET(A1_原単位2027,41,HL11+2))&gt;=1,"",OFFSET(A1_原単位2027,41,HL11+2)&amp;"")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IF(COUNTIF(HN$10:HN11,OFFSET(A1_原単位2027,5,HL12+2))&gt;=1,"",OFFSET(A1_原単位2027,5,HL12+2)&amp;"")</f>
        <v/>
      </c>
      <c r="HO12" s="757" t="str">
        <f t="shared" ca="1" si="50"/>
        <v/>
      </c>
      <c r="HP12" s="758" t="str">
        <f t="shared" ca="1" si="51"/>
        <v/>
      </c>
      <c r="HQ12" s="755" t="str">
        <f t="shared" ca="1" si="52"/>
        <v/>
      </c>
      <c r="HR12" s="756" t="str">
        <f ca="1">IF(COUNTIF(HR$10:HR11,OFFSET(A1_原単位2027,17,HL12+2))&gt;=1,"",OFFSET(A1_原単位2027,17,HL12+2)&amp;"")</f>
        <v/>
      </c>
      <c r="HS12" s="759" t="str">
        <f t="shared" ca="1" si="53"/>
        <v/>
      </c>
      <c r="HT12" s="760" t="str">
        <f t="shared" ca="1" si="54"/>
        <v/>
      </c>
      <c r="HU12" s="755" t="str">
        <f t="shared" ca="1" si="55"/>
        <v/>
      </c>
      <c r="HV12" s="756" t="str">
        <f ca="1">IF(COUNTIF(HV$10:HV11,OFFSET(A1_原単位2027,29,HL12+2))&gt;=1,"",OFFSET(A1_原単位2027,29,HL12+2)&amp;"")</f>
        <v/>
      </c>
      <c r="HW12" s="759" t="str">
        <f t="shared" ca="1" si="56"/>
        <v/>
      </c>
      <c r="HX12" s="760" t="str">
        <f t="shared" ca="1" si="57"/>
        <v/>
      </c>
      <c r="HY12" s="755" t="str">
        <f t="shared" ca="1" si="58"/>
        <v/>
      </c>
      <c r="HZ12" s="756" t="str">
        <f ca="1">IF(COUNTIF(HZ$10:HZ11,OFFSET(A1_原単位2027,41,HL12+2))&gt;=1,"",OFFSET(A1_原単位2027,41,HL12+2)&amp;"")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IF(COUNTIF(HN$10:HN12,OFFSET(A1_原単位2027,5,HL13+2))&gt;=1,"",OFFSET(A1_原単位2027,5,HL13+2)&amp;"")</f>
        <v/>
      </c>
      <c r="HO13" s="757" t="str">
        <f t="shared" ca="1" si="50"/>
        <v/>
      </c>
      <c r="HP13" s="758" t="str">
        <f t="shared" ca="1" si="51"/>
        <v/>
      </c>
      <c r="HQ13" s="755" t="str">
        <f t="shared" ca="1" si="52"/>
        <v/>
      </c>
      <c r="HR13" s="756" t="str">
        <f ca="1">IF(COUNTIF(HR$10:HR12,OFFSET(A1_原単位2027,17,HL13+2))&gt;=1,"",OFFSET(A1_原単位2027,17,HL13+2)&amp;"")</f>
        <v/>
      </c>
      <c r="HS13" s="759" t="str">
        <f t="shared" ca="1" si="53"/>
        <v/>
      </c>
      <c r="HT13" s="760" t="str">
        <f t="shared" ca="1" si="54"/>
        <v/>
      </c>
      <c r="HU13" s="755" t="str">
        <f t="shared" ca="1" si="55"/>
        <v/>
      </c>
      <c r="HV13" s="756" t="str">
        <f ca="1">IF(COUNTIF(HV$10:HV12,OFFSET(A1_原単位2027,29,HL13+2))&gt;=1,"",OFFSET(A1_原単位2027,29,HL13+2)&amp;"")</f>
        <v/>
      </c>
      <c r="HW13" s="759" t="str">
        <f t="shared" ca="1" si="56"/>
        <v/>
      </c>
      <c r="HX13" s="760" t="str">
        <f t="shared" ca="1" si="57"/>
        <v/>
      </c>
      <c r="HY13" s="755" t="str">
        <f t="shared" ca="1" si="58"/>
        <v/>
      </c>
      <c r="HZ13" s="756" t="str">
        <f ca="1">IF(COUNTIF(HZ$10:HZ12,OFFSET(A1_原単位2027,41,HL13+2))&gt;=1,"",OFFSET(A1_原単位2027,41,HL13+2)&amp;"")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t="s">
        <v>4778</v>
      </c>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参考2_エネ使用量経年!O95</f>
        <v>0</v>
      </c>
      <c r="HF14" s="341" t="s">
        <v>4122</v>
      </c>
      <c r="HG14" s="1077" t="s">
        <v>4121</v>
      </c>
      <c r="HH14" s="1078"/>
      <c r="HI14" s="763">
        <f ca="1">参考2_エネ使用量経年!W95</f>
        <v>0</v>
      </c>
      <c r="HJ14" s="341" t="s">
        <v>4122</v>
      </c>
      <c r="HL14" s="291">
        <v>5</v>
      </c>
      <c r="HM14" s="755" t="str">
        <f t="shared" ca="1" si="49"/>
        <v/>
      </c>
      <c r="HN14" s="756" t="str">
        <f ca="1">IF(COUNTIF(HN$10:HN13,OFFSET(A1_原単位2027,5,HL14+2))&gt;=1,"",OFFSET(A1_原単位2027,5,HL14+2)&amp;"")</f>
        <v/>
      </c>
      <c r="HO14" s="757" t="str">
        <f t="shared" ca="1" si="50"/>
        <v/>
      </c>
      <c r="HP14" s="758" t="str">
        <f t="shared" ca="1" si="51"/>
        <v/>
      </c>
      <c r="HQ14" s="755" t="str">
        <f t="shared" ca="1" si="52"/>
        <v/>
      </c>
      <c r="HR14" s="756" t="str">
        <f ca="1">IF(COUNTIF(HR$10:HR13,OFFSET(A1_原単位2027,17,HL14+2))&gt;=1,"",OFFSET(A1_原単位2027,17,HL14+2)&amp;"")</f>
        <v/>
      </c>
      <c r="HS14" s="759" t="str">
        <f t="shared" ca="1" si="53"/>
        <v/>
      </c>
      <c r="HT14" s="760" t="str">
        <f t="shared" ca="1" si="54"/>
        <v/>
      </c>
      <c r="HU14" s="755" t="str">
        <f t="shared" ca="1" si="55"/>
        <v/>
      </c>
      <c r="HV14" s="756" t="str">
        <f ca="1">IF(COUNTIF(HV$10:HV13,OFFSET(A1_原単位2027,29,HL14+2))&gt;=1,"",OFFSET(A1_原単位2027,29,HL14+2)&amp;"")</f>
        <v/>
      </c>
      <c r="HW14" s="759" t="str">
        <f t="shared" ca="1" si="56"/>
        <v/>
      </c>
      <c r="HX14" s="760" t="str">
        <f t="shared" ca="1" si="57"/>
        <v/>
      </c>
      <c r="HY14" s="755" t="str">
        <f t="shared" ca="1" si="58"/>
        <v/>
      </c>
      <c r="HZ14" s="756" t="str">
        <f ca="1">IF(COUNTIF(HZ$10:HZ13,OFFSET(A1_原単位2027,41,HL14+2))&gt;=1,"",OFFSET(A1_原単位2027,41,HL14+2)&amp;"")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参考3_排出量経年!O116</f>
        <v>0</v>
      </c>
      <c r="HF15" s="349" t="s">
        <v>4128</v>
      </c>
      <c r="HG15" s="1079" t="s">
        <v>4127</v>
      </c>
      <c r="HH15" s="1080"/>
      <c r="HI15" s="764">
        <f ca="1">参考3_排出量経年!W116</f>
        <v>0</v>
      </c>
      <c r="HJ15" s="349" t="s">
        <v>4128</v>
      </c>
      <c r="HL15" s="302">
        <v>6</v>
      </c>
      <c r="HM15" s="755" t="str">
        <f t="shared" ca="1" si="49"/>
        <v/>
      </c>
      <c r="HN15" s="756" t="str">
        <f ca="1">IF(COUNTIF(HN$10:HN14,OFFSET(A1_原単位2027,5,HL15+2))&gt;=1,"",OFFSET(A1_原単位2027,5,HL15+2)&amp;"")</f>
        <v/>
      </c>
      <c r="HO15" s="757" t="str">
        <f t="shared" ca="1" si="50"/>
        <v/>
      </c>
      <c r="HP15" s="758" t="str">
        <f t="shared" ca="1" si="51"/>
        <v/>
      </c>
      <c r="HQ15" s="755" t="str">
        <f t="shared" ca="1" si="52"/>
        <v/>
      </c>
      <c r="HR15" s="756" t="str">
        <f ca="1">IF(COUNTIF(HR$10:HR14,OFFSET(A1_原単位2027,17,HL15+2))&gt;=1,"",OFFSET(A1_原単位2027,17,HL15+2)&amp;"")</f>
        <v/>
      </c>
      <c r="HS15" s="759" t="str">
        <f t="shared" ca="1" si="53"/>
        <v/>
      </c>
      <c r="HT15" s="760" t="str">
        <f t="shared" ca="1" si="54"/>
        <v/>
      </c>
      <c r="HU15" s="755" t="str">
        <f t="shared" ca="1" si="55"/>
        <v/>
      </c>
      <c r="HV15" s="756" t="str">
        <f ca="1">IF(COUNTIF(HV$10:HV14,OFFSET(A1_原単位2027,29,HL15+2))&gt;=1,"",OFFSET(A1_原単位2027,29,HL15+2)&amp;"")</f>
        <v/>
      </c>
      <c r="HW15" s="759" t="str">
        <f t="shared" ca="1" si="56"/>
        <v/>
      </c>
      <c r="HX15" s="760" t="str">
        <f t="shared" ca="1" si="57"/>
        <v/>
      </c>
      <c r="HY15" s="755" t="str">
        <f t="shared" ca="1" si="58"/>
        <v/>
      </c>
      <c r="HZ15" s="756" t="str">
        <f ca="1">IF(COUNTIF(HZ$10:HZ14,OFFSET(A1_原単位2027,41,HL15+2))&gt;=1,"",OFFSET(A1_原単位2027,41,HL15+2)&amp;"")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IF(COUNTIF(HN$10:HN15,OFFSET(A1_原単位2027,5,HL16+2))&gt;=1,"",OFFSET(A1_原単位2027,5,HL16+2)&amp;"")</f>
        <v/>
      </c>
      <c r="HO16" s="757" t="str">
        <f t="shared" ca="1" si="50"/>
        <v/>
      </c>
      <c r="HP16" s="758" t="str">
        <f t="shared" ca="1" si="51"/>
        <v/>
      </c>
      <c r="HQ16" s="755" t="str">
        <f t="shared" ca="1" si="52"/>
        <v/>
      </c>
      <c r="HR16" s="756" t="str">
        <f ca="1">IF(COUNTIF(HR$10:HR15,OFFSET(A1_原単位2027,17,HL16+2))&gt;=1,"",OFFSET(A1_原単位2027,17,HL16+2)&amp;"")</f>
        <v/>
      </c>
      <c r="HS16" s="759" t="str">
        <f t="shared" ca="1" si="53"/>
        <v/>
      </c>
      <c r="HT16" s="760" t="str">
        <f t="shared" ca="1" si="54"/>
        <v/>
      </c>
      <c r="HU16" s="755" t="str">
        <f t="shared" ca="1" si="55"/>
        <v/>
      </c>
      <c r="HV16" s="756" t="str">
        <f ca="1">IF(COUNTIF(HV$10:HV15,OFFSET(A1_原単位2027,29,HL16+2))&gt;=1,"",OFFSET(A1_原単位2027,29,HL16+2)&amp;"")</f>
        <v/>
      </c>
      <c r="HW16" s="759" t="str">
        <f t="shared" ca="1" si="56"/>
        <v/>
      </c>
      <c r="HX16" s="760" t="str">
        <f t="shared" ca="1" si="57"/>
        <v/>
      </c>
      <c r="HY16" s="755" t="str">
        <f t="shared" ca="1" si="58"/>
        <v/>
      </c>
      <c r="HZ16" s="756" t="str">
        <f ca="1">IF(COUNTIF(HZ$10:HZ15,OFFSET(A1_原単位2027,41,HL16+2))&gt;=1,"",OFFSET(A1_原単位2027,41,HL16+2)&amp;"")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IF(COUNTIF(HN$10:HN16,OFFSET(A1_原単位2027,5,HL17+2))&gt;=1,"",OFFSET(A1_原単位2027,5,HL17+2)&amp;"")</f>
        <v/>
      </c>
      <c r="HO17" s="757" t="str">
        <f t="shared" ca="1" si="50"/>
        <v/>
      </c>
      <c r="HP17" s="758" t="str">
        <f t="shared" ca="1" si="51"/>
        <v/>
      </c>
      <c r="HQ17" s="755" t="str">
        <f t="shared" ca="1" si="52"/>
        <v/>
      </c>
      <c r="HR17" s="756" t="str">
        <f ca="1">IF(COUNTIF(HR$10:HR16,OFFSET(A1_原単位2027,17,HL17+2))&gt;=1,"",OFFSET(A1_原単位2027,17,HL17+2)&amp;"")</f>
        <v/>
      </c>
      <c r="HS17" s="759" t="str">
        <f t="shared" ca="1" si="53"/>
        <v/>
      </c>
      <c r="HT17" s="760" t="str">
        <f t="shared" ca="1" si="54"/>
        <v/>
      </c>
      <c r="HU17" s="755" t="str">
        <f t="shared" ca="1" si="55"/>
        <v/>
      </c>
      <c r="HV17" s="756" t="str">
        <f ca="1">IF(COUNTIF(HV$10:HV16,OFFSET(A1_原単位2027,29,HL17+2))&gt;=1,"",OFFSET(A1_原単位2027,29,HL17+2)&amp;"")</f>
        <v/>
      </c>
      <c r="HW17" s="759" t="str">
        <f t="shared" ca="1" si="56"/>
        <v/>
      </c>
      <c r="HX17" s="760" t="str">
        <f t="shared" ca="1" si="57"/>
        <v/>
      </c>
      <c r="HY17" s="755" t="str">
        <f t="shared" ca="1" si="58"/>
        <v/>
      </c>
      <c r="HZ17" s="756" t="str">
        <f ca="1">IF(COUNTIF(HZ$10:HZ16,OFFSET(A1_原単位2027,41,HL17+2))&gt;=1,"",OFFSET(A1_原単位2027,41,HL17+2)&amp;"")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IF(COUNTIF(HN$10:HN17,OFFSET(A1_原単位2027,5,HL18+2))&gt;=1,"",OFFSET(A1_原単位2027,5,HL18+2)&amp;"")</f>
        <v/>
      </c>
      <c r="HO18" s="757" t="str">
        <f t="shared" ca="1" si="50"/>
        <v/>
      </c>
      <c r="HP18" s="758" t="str">
        <f t="shared" ca="1" si="51"/>
        <v/>
      </c>
      <c r="HQ18" s="755" t="str">
        <f t="shared" ca="1" si="52"/>
        <v/>
      </c>
      <c r="HR18" s="756" t="str">
        <f ca="1">IF(COUNTIF(HR$10:HR17,OFFSET(A1_原単位2027,17,HL18+2))&gt;=1,"",OFFSET(A1_原単位2027,17,HL18+2)&amp;"")</f>
        <v/>
      </c>
      <c r="HS18" s="759" t="str">
        <f t="shared" ca="1" si="53"/>
        <v/>
      </c>
      <c r="HT18" s="760" t="str">
        <f t="shared" ca="1" si="54"/>
        <v/>
      </c>
      <c r="HU18" s="755" t="str">
        <f t="shared" ca="1" si="55"/>
        <v/>
      </c>
      <c r="HV18" s="756" t="str">
        <f ca="1">IF(COUNTIF(HV$10:HV17,OFFSET(A1_原単位2027,29,HL18+2))&gt;=1,"",OFFSET(A1_原単位2027,29,HL18+2)&amp;"")</f>
        <v/>
      </c>
      <c r="HW18" s="759" t="str">
        <f t="shared" ca="1" si="56"/>
        <v/>
      </c>
      <c r="HX18" s="760" t="str">
        <f t="shared" ca="1" si="57"/>
        <v/>
      </c>
      <c r="HY18" s="755" t="str">
        <f t="shared" ca="1" si="58"/>
        <v/>
      </c>
      <c r="HZ18" s="756" t="str">
        <f ca="1">IF(COUNTIF(HZ$10:HZ17,OFFSET(A1_原単位2027,41,HL18+2))&gt;=1,"",OFFSET(A1_原単位2027,41,HL18+2)&amp;"")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IF(COUNTIF(HN$10:HN18,OFFSET(A1_原単位2027,5,HL19+2))&gt;=1,"",OFFSET(A1_原単位2027,5,HL19+2)&amp;"")</f>
        <v/>
      </c>
      <c r="HO19" s="757" t="str">
        <f t="shared" ca="1" si="50"/>
        <v/>
      </c>
      <c r="HP19" s="758" t="str">
        <f t="shared" ca="1" si="51"/>
        <v/>
      </c>
      <c r="HQ19" s="755" t="str">
        <f t="shared" ca="1" si="52"/>
        <v/>
      </c>
      <c r="HR19" s="756" t="str">
        <f ca="1">IF(COUNTIF(HR$10:HR18,OFFSET(A1_原単位2027,17,HL19+2))&gt;=1,"",OFFSET(A1_原単位2027,17,HL19+2)&amp;"")</f>
        <v/>
      </c>
      <c r="HS19" s="759" t="str">
        <f t="shared" ca="1" si="53"/>
        <v/>
      </c>
      <c r="HT19" s="760" t="str">
        <f t="shared" ca="1" si="54"/>
        <v/>
      </c>
      <c r="HU19" s="755" t="str">
        <f t="shared" ca="1" si="55"/>
        <v/>
      </c>
      <c r="HV19" s="756" t="str">
        <f ca="1">IF(COUNTIF(HV$10:HV18,OFFSET(A1_原単位2027,29,HL19+2))&gt;=1,"",OFFSET(A1_原単位2027,29,HL19+2)&amp;"")</f>
        <v/>
      </c>
      <c r="HW19" s="759" t="str">
        <f t="shared" ca="1" si="56"/>
        <v/>
      </c>
      <c r="HX19" s="760" t="str">
        <f t="shared" ca="1" si="57"/>
        <v/>
      </c>
      <c r="HY19" s="755" t="str">
        <f t="shared" ca="1" si="58"/>
        <v/>
      </c>
      <c r="HZ19" s="756" t="str">
        <f ca="1">IF(COUNTIF(HZ$10:HZ18,OFFSET(A1_原単位2027,41,HL19+2))&gt;=1,"",OFFSET(A1_原単位2027,41,HL19+2)&amp;"")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IF(COUNTIF(HN$10:HN19,OFFSET(A1_原単位2027,5,HL20+2))&gt;=1,"",OFFSET(A1_原単位2027,5,HL20+2)&amp;"")</f>
        <v/>
      </c>
      <c r="HO20" s="757" t="str">
        <f t="shared" ca="1" si="50"/>
        <v/>
      </c>
      <c r="HP20" s="758" t="str">
        <f t="shared" ca="1" si="51"/>
        <v/>
      </c>
      <c r="HQ20" s="755" t="str">
        <f t="shared" ca="1" si="52"/>
        <v/>
      </c>
      <c r="HR20" s="756" t="str">
        <f ca="1">IF(COUNTIF(HR$10:HR19,OFFSET(A1_原単位2027,17,HL20+2))&gt;=1,"",OFFSET(A1_原単位2027,17,HL20+2)&amp;"")</f>
        <v/>
      </c>
      <c r="HS20" s="759" t="str">
        <f t="shared" ca="1" si="53"/>
        <v/>
      </c>
      <c r="HT20" s="760" t="str">
        <f t="shared" ca="1" si="54"/>
        <v/>
      </c>
      <c r="HU20" s="755" t="str">
        <f t="shared" ca="1" si="55"/>
        <v/>
      </c>
      <c r="HV20" s="756" t="str">
        <f ca="1">IF(COUNTIF(HV$10:HV19,OFFSET(A1_原単位2027,29,HL20+2))&gt;=1,"",OFFSET(A1_原単位2027,29,HL20+2)&amp;"")</f>
        <v/>
      </c>
      <c r="HW20" s="759" t="str">
        <f t="shared" ca="1" si="56"/>
        <v/>
      </c>
      <c r="HX20" s="760" t="str">
        <f t="shared" ca="1" si="57"/>
        <v/>
      </c>
      <c r="HY20" s="755" t="str">
        <f t="shared" ca="1" si="58"/>
        <v/>
      </c>
      <c r="HZ20" s="756" t="str">
        <f ca="1">IF(COUNTIF(HZ$10:HZ19,OFFSET(A1_原単位2027,41,HL20+2))&gt;=1,"",OFFSET(A1_原単位2027,41,HL20+2)&amp;"")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IF(COUNTIF(HN$10:HN20,OFFSET(A1_原単位2027,5,HL21+2))&gt;=1,"",OFFSET(A1_原単位2027,5,HL21+2)&amp;"")</f>
        <v/>
      </c>
      <c r="HO21" s="757" t="str">
        <f t="shared" ca="1" si="50"/>
        <v/>
      </c>
      <c r="HP21" s="758" t="str">
        <f t="shared" ca="1" si="51"/>
        <v/>
      </c>
      <c r="HQ21" s="755" t="str">
        <f t="shared" ca="1" si="52"/>
        <v/>
      </c>
      <c r="HR21" s="756" t="str">
        <f ca="1">IF(COUNTIF(HR$10:HR20,OFFSET(A1_原単位2027,17,HL21+2))&gt;=1,"",OFFSET(A1_原単位2027,17,HL21+2)&amp;"")</f>
        <v/>
      </c>
      <c r="HS21" s="759" t="str">
        <f t="shared" ca="1" si="53"/>
        <v/>
      </c>
      <c r="HT21" s="760" t="str">
        <f t="shared" ca="1" si="54"/>
        <v/>
      </c>
      <c r="HU21" s="755" t="str">
        <f t="shared" ca="1" si="55"/>
        <v/>
      </c>
      <c r="HV21" s="756" t="str">
        <f ca="1">IF(COUNTIF(HV$10:HV20,OFFSET(A1_原単位2027,29,HL21+2))&gt;=1,"",OFFSET(A1_原単位2027,29,HL21+2)&amp;"")</f>
        <v/>
      </c>
      <c r="HW21" s="759" t="str">
        <f t="shared" ca="1" si="56"/>
        <v/>
      </c>
      <c r="HX21" s="760" t="str">
        <f t="shared" ca="1" si="57"/>
        <v/>
      </c>
      <c r="HY21" s="755" t="str">
        <f t="shared" ca="1" si="58"/>
        <v/>
      </c>
      <c r="HZ21" s="756" t="str">
        <f ca="1">IF(COUNTIF(HZ$10:HZ20,OFFSET(A1_原単位2027,41,HL21+2))&gt;=1,"",OFFSET(A1_原単位2027,41,HL21+2)&amp;"")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IF(COUNTIF(HN$10:HN21,OFFSET(A1_原単位2027,5,HL22+2))&gt;=1,"",OFFSET(A1_原単位2027,5,HL22+2)&amp;"")</f>
        <v/>
      </c>
      <c r="HO22" s="757" t="str">
        <f t="shared" ca="1" si="50"/>
        <v/>
      </c>
      <c r="HP22" s="758" t="str">
        <f t="shared" ca="1" si="51"/>
        <v/>
      </c>
      <c r="HQ22" s="755" t="str">
        <f t="shared" ca="1" si="52"/>
        <v/>
      </c>
      <c r="HR22" s="756" t="str">
        <f ca="1">IF(COUNTIF(HR$10:HR21,OFFSET(A1_原単位2027,17,HL22+2))&gt;=1,"",OFFSET(A1_原単位2027,17,HL22+2)&amp;"")</f>
        <v/>
      </c>
      <c r="HS22" s="759" t="str">
        <f t="shared" ca="1" si="53"/>
        <v/>
      </c>
      <c r="HT22" s="760" t="str">
        <f t="shared" ca="1" si="54"/>
        <v/>
      </c>
      <c r="HU22" s="755" t="str">
        <f t="shared" ca="1" si="55"/>
        <v/>
      </c>
      <c r="HV22" s="756" t="str">
        <f ca="1">IF(COUNTIF(HV$10:HV21,OFFSET(A1_原単位2027,29,HL22+2))&gt;=1,"",OFFSET(A1_原単位2027,29,HL22+2)&amp;"")</f>
        <v/>
      </c>
      <c r="HW22" s="759" t="str">
        <f t="shared" ca="1" si="56"/>
        <v/>
      </c>
      <c r="HX22" s="760" t="str">
        <f t="shared" ca="1" si="57"/>
        <v/>
      </c>
      <c r="HY22" s="755" t="str">
        <f t="shared" ca="1" si="58"/>
        <v/>
      </c>
      <c r="HZ22" s="756" t="str">
        <f ca="1">IF(COUNTIF(HZ$10:HZ21,OFFSET(A1_原単位2027,41,HL22+2))&gt;=1,"",OFFSET(A1_原単位2027,41,HL22+2)&amp;"")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IF(COUNTIF(HN$10:HN22,OFFSET(A1_原単位2027,5,HL23+2))&gt;=1,"",OFFSET(A1_原単位2027,5,HL23+2)&amp;"")</f>
        <v/>
      </c>
      <c r="HO23" s="757" t="str">
        <f t="shared" ca="1" si="50"/>
        <v/>
      </c>
      <c r="HP23" s="758" t="str">
        <f t="shared" ca="1" si="51"/>
        <v/>
      </c>
      <c r="HQ23" s="755" t="str">
        <f t="shared" ca="1" si="52"/>
        <v/>
      </c>
      <c r="HR23" s="756" t="str">
        <f ca="1">IF(COUNTIF(HR$10:HR22,OFFSET(A1_原単位2027,17,HL23+2))&gt;=1,"",OFFSET(A1_原単位2027,17,HL23+2)&amp;"")</f>
        <v/>
      </c>
      <c r="HS23" s="759" t="str">
        <f t="shared" ca="1" si="53"/>
        <v/>
      </c>
      <c r="HT23" s="760" t="str">
        <f t="shared" ca="1" si="54"/>
        <v/>
      </c>
      <c r="HU23" s="755" t="str">
        <f t="shared" ca="1" si="55"/>
        <v/>
      </c>
      <c r="HV23" s="756" t="str">
        <f ca="1">IF(COUNTIF(HV$10:HV22,OFFSET(A1_原単位2027,29,HL23+2))&gt;=1,"",OFFSET(A1_原単位2027,29,HL23+2)&amp;"")</f>
        <v/>
      </c>
      <c r="HW23" s="759" t="str">
        <f t="shared" ca="1" si="56"/>
        <v/>
      </c>
      <c r="HX23" s="760" t="str">
        <f t="shared" ca="1" si="57"/>
        <v/>
      </c>
      <c r="HY23" s="755" t="str">
        <f t="shared" ca="1" si="58"/>
        <v/>
      </c>
      <c r="HZ23" s="756" t="str">
        <f ca="1">IF(COUNTIF(HZ$10:HZ22,OFFSET(A1_原単位2027,41,HL23+2))&gt;=1,"",OFFSET(A1_原単位2027,41,HL23+2)&amp;"")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IF(COUNTIF(HN$10:HN23,OFFSET(A1_原単位2027,5,HL24+2))&gt;=1,"",OFFSET(A1_原単位2027,5,HL24+2)&amp;"")</f>
        <v/>
      </c>
      <c r="HO24" s="757" t="str">
        <f t="shared" ca="1" si="50"/>
        <v/>
      </c>
      <c r="HP24" s="758" t="str">
        <f t="shared" ca="1" si="51"/>
        <v/>
      </c>
      <c r="HQ24" s="755" t="str">
        <f t="shared" ca="1" si="52"/>
        <v/>
      </c>
      <c r="HR24" s="756" t="str">
        <f ca="1">IF(COUNTIF(HR$10:HR23,OFFSET(A1_原単位2027,17,HL24+2))&gt;=1,"",OFFSET(A1_原単位2027,17,HL24+2)&amp;"")</f>
        <v/>
      </c>
      <c r="HS24" s="759" t="str">
        <f t="shared" ca="1" si="53"/>
        <v/>
      </c>
      <c r="HT24" s="760" t="str">
        <f t="shared" ca="1" si="54"/>
        <v/>
      </c>
      <c r="HU24" s="755" t="str">
        <f t="shared" ca="1" si="55"/>
        <v/>
      </c>
      <c r="HV24" s="756" t="str">
        <f ca="1">IF(COUNTIF(HV$10:HV23,OFFSET(A1_原単位2027,29,HL24+2))&gt;=1,"",OFFSET(A1_原単位2027,29,HL24+2)&amp;"")</f>
        <v/>
      </c>
      <c r="HW24" s="759" t="str">
        <f t="shared" ca="1" si="56"/>
        <v/>
      </c>
      <c r="HX24" s="760" t="str">
        <f t="shared" ca="1" si="57"/>
        <v/>
      </c>
      <c r="HY24" s="755" t="str">
        <f t="shared" ca="1" si="58"/>
        <v/>
      </c>
      <c r="HZ24" s="756" t="str">
        <f ca="1">IF(COUNTIF(HZ$10:HZ23,OFFSET(A1_原単位2027,41,HL24+2))&gt;=1,"",OFFSET(A1_原単位2027,41,HL24+2)&amp;"")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IF(COUNTIF(HN$10:HN24,OFFSET(A1_原単位2027,5,HL25+2))&gt;=1,"",OFFSET(A1_原単位2027,5,HL25+2)&amp;"")</f>
        <v/>
      </c>
      <c r="HO25" s="757" t="str">
        <f t="shared" ca="1" si="50"/>
        <v/>
      </c>
      <c r="HP25" s="758" t="str">
        <f t="shared" ca="1" si="51"/>
        <v/>
      </c>
      <c r="HQ25" s="755" t="str">
        <f t="shared" ca="1" si="52"/>
        <v/>
      </c>
      <c r="HR25" s="756" t="str">
        <f ca="1">IF(COUNTIF(HR$10:HR24,OFFSET(A1_原単位2027,17,HL25+2))&gt;=1,"",OFFSET(A1_原単位2027,17,HL25+2)&amp;"")</f>
        <v/>
      </c>
      <c r="HS25" s="759" t="str">
        <f t="shared" ca="1" si="53"/>
        <v/>
      </c>
      <c r="HT25" s="760" t="str">
        <f t="shared" ca="1" si="54"/>
        <v/>
      </c>
      <c r="HU25" s="755" t="str">
        <f t="shared" ca="1" si="55"/>
        <v/>
      </c>
      <c r="HV25" s="756" t="str">
        <f ca="1">IF(COUNTIF(HV$10:HV24,OFFSET(A1_原単位2027,29,HL25+2))&gt;=1,"",OFFSET(A1_原単位2027,29,HL25+2)&amp;"")</f>
        <v/>
      </c>
      <c r="HW25" s="759" t="str">
        <f t="shared" ca="1" si="56"/>
        <v/>
      </c>
      <c r="HX25" s="760" t="str">
        <f t="shared" ca="1" si="57"/>
        <v/>
      </c>
      <c r="HY25" s="755" t="str">
        <f t="shared" ca="1" si="58"/>
        <v/>
      </c>
      <c r="HZ25" s="756" t="str">
        <f ca="1">IF(COUNTIF(HZ$10:HZ24,OFFSET(A1_原単位2027,41,HL25+2))&gt;=1,"",OFFSET(A1_原単位2027,41,HL25+2)&amp;"")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IF(COUNTIF(HN$10:HN25,OFFSET(A1_原単位2027,5,HL26+2))&gt;=1,"",OFFSET(A1_原単位2027,5,HL26+2)&amp;"")</f>
        <v/>
      </c>
      <c r="HO26" s="757" t="str">
        <f t="shared" ca="1" si="50"/>
        <v/>
      </c>
      <c r="HP26" s="758" t="str">
        <f t="shared" ca="1" si="51"/>
        <v/>
      </c>
      <c r="HQ26" s="755" t="str">
        <f t="shared" ca="1" si="52"/>
        <v/>
      </c>
      <c r="HR26" s="756" t="str">
        <f ca="1">IF(COUNTIF(HR$10:HR25,OFFSET(A1_原単位2027,17,HL26+2))&gt;=1,"",OFFSET(A1_原単位2027,17,HL26+2)&amp;"")</f>
        <v/>
      </c>
      <c r="HS26" s="759" t="str">
        <f t="shared" ca="1" si="53"/>
        <v/>
      </c>
      <c r="HT26" s="760" t="str">
        <f t="shared" ca="1" si="54"/>
        <v/>
      </c>
      <c r="HU26" s="755" t="str">
        <f t="shared" ca="1" si="55"/>
        <v/>
      </c>
      <c r="HV26" s="756" t="str">
        <f ca="1">IF(COUNTIF(HV$10:HV25,OFFSET(A1_原単位2027,29,HL26+2))&gt;=1,"",OFFSET(A1_原単位2027,29,HL26+2)&amp;"")</f>
        <v/>
      </c>
      <c r="HW26" s="759" t="str">
        <f t="shared" ca="1" si="56"/>
        <v/>
      </c>
      <c r="HX26" s="760" t="str">
        <f t="shared" ca="1" si="57"/>
        <v/>
      </c>
      <c r="HY26" s="755" t="str">
        <f t="shared" ca="1" si="58"/>
        <v/>
      </c>
      <c r="HZ26" s="756" t="str">
        <f ca="1">IF(COUNTIF(HZ$10:HZ25,OFFSET(A1_原単位2027,41,HL26+2))&gt;=1,"",OFFSET(A1_原単位2027,41,HL26+2)&amp;"")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IF(COUNTIF(HN$10:HN26,OFFSET(A1_原単位2027,5,HL27+2))&gt;=1,"",OFFSET(A1_原単位2027,5,HL27+2)&amp;"")</f>
        <v/>
      </c>
      <c r="HO27" s="757" t="str">
        <f t="shared" ca="1" si="50"/>
        <v/>
      </c>
      <c r="HP27" s="758" t="str">
        <f t="shared" ca="1" si="51"/>
        <v/>
      </c>
      <c r="HQ27" s="755" t="str">
        <f t="shared" ca="1" si="52"/>
        <v/>
      </c>
      <c r="HR27" s="756" t="str">
        <f ca="1">IF(COUNTIF(HR$10:HR26,OFFSET(A1_原単位2027,17,HL27+2))&gt;=1,"",OFFSET(A1_原単位2027,17,HL27+2)&amp;"")</f>
        <v/>
      </c>
      <c r="HS27" s="759" t="str">
        <f t="shared" ca="1" si="53"/>
        <v/>
      </c>
      <c r="HT27" s="760" t="str">
        <f t="shared" ca="1" si="54"/>
        <v/>
      </c>
      <c r="HU27" s="755" t="str">
        <f t="shared" ca="1" si="55"/>
        <v/>
      </c>
      <c r="HV27" s="756" t="str">
        <f ca="1">IF(COUNTIF(HV$10:HV26,OFFSET(A1_原単位2027,29,HL27+2))&gt;=1,"",OFFSET(A1_原単位2027,29,HL27+2)&amp;"")</f>
        <v/>
      </c>
      <c r="HW27" s="759" t="str">
        <f t="shared" ca="1" si="56"/>
        <v/>
      </c>
      <c r="HX27" s="760" t="str">
        <f t="shared" ca="1" si="57"/>
        <v/>
      </c>
      <c r="HY27" s="755" t="str">
        <f t="shared" ca="1" si="58"/>
        <v/>
      </c>
      <c r="HZ27" s="756" t="str">
        <f ca="1">IF(COUNTIF(HZ$10:HZ26,OFFSET(A1_原単位2027,41,HL27+2))&gt;=1,"",OFFSET(A1_原単位2027,41,HL27+2)&amp;"")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IF(COUNTIF(HN$10:HN27,OFFSET(A1_原単位2027,5,HL28+2))&gt;=1,"",OFFSET(A1_原単位2027,5,HL28+2)&amp;"")</f>
        <v/>
      </c>
      <c r="HO28" s="757" t="str">
        <f t="shared" ca="1" si="50"/>
        <v/>
      </c>
      <c r="HP28" s="758" t="str">
        <f t="shared" ca="1" si="51"/>
        <v/>
      </c>
      <c r="HQ28" s="755" t="str">
        <f t="shared" ca="1" si="52"/>
        <v/>
      </c>
      <c r="HR28" s="756" t="str">
        <f ca="1">IF(COUNTIF(HR$10:HR27,OFFSET(A1_原単位2027,17,HL28+2))&gt;=1,"",OFFSET(A1_原単位2027,17,HL28+2)&amp;"")</f>
        <v/>
      </c>
      <c r="HS28" s="759" t="str">
        <f t="shared" ca="1" si="53"/>
        <v/>
      </c>
      <c r="HT28" s="760" t="str">
        <f t="shared" ca="1" si="54"/>
        <v/>
      </c>
      <c r="HU28" s="755" t="str">
        <f t="shared" ca="1" si="55"/>
        <v/>
      </c>
      <c r="HV28" s="756" t="str">
        <f ca="1">IF(COUNTIF(HV$10:HV27,OFFSET(A1_原単位2027,29,HL28+2))&gt;=1,"",OFFSET(A1_原単位2027,29,HL28+2)&amp;"")</f>
        <v/>
      </c>
      <c r="HW28" s="759" t="str">
        <f t="shared" ca="1" si="56"/>
        <v/>
      </c>
      <c r="HX28" s="760" t="str">
        <f t="shared" ca="1" si="57"/>
        <v/>
      </c>
      <c r="HY28" s="755" t="str">
        <f t="shared" ca="1" si="58"/>
        <v/>
      </c>
      <c r="HZ28" s="756" t="str">
        <f ca="1">IF(COUNTIF(HZ$10:HZ27,OFFSET(A1_原単位2027,41,HL28+2))&gt;=1,"",OFFSET(A1_原単位2027,41,HL28+2)&amp;"")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IF(COUNTIF(HN$10:HN28,OFFSET(A1_原単位2027,5,HL29+2))&gt;=1,"",OFFSET(A1_原単位2027,5,HL29+2)&amp;"")</f>
        <v/>
      </c>
      <c r="HO29" s="757" t="str">
        <f t="shared" ca="1" si="50"/>
        <v/>
      </c>
      <c r="HP29" s="758" t="str">
        <f t="shared" ca="1" si="51"/>
        <v/>
      </c>
      <c r="HQ29" s="755" t="str">
        <f t="shared" ca="1" si="52"/>
        <v/>
      </c>
      <c r="HR29" s="756" t="str">
        <f ca="1">IF(COUNTIF(HR$10:HR28,OFFSET(A1_原単位2027,17,HL29+2))&gt;=1,"",OFFSET(A1_原単位2027,17,HL29+2)&amp;"")</f>
        <v/>
      </c>
      <c r="HS29" s="759" t="str">
        <f t="shared" ca="1" si="53"/>
        <v/>
      </c>
      <c r="HT29" s="760" t="str">
        <f t="shared" ca="1" si="54"/>
        <v/>
      </c>
      <c r="HU29" s="755" t="str">
        <f t="shared" ca="1" si="55"/>
        <v/>
      </c>
      <c r="HV29" s="756" t="str">
        <f ca="1">IF(COUNTIF(HV$10:HV28,OFFSET(A1_原単位2027,29,HL29+2))&gt;=1,"",OFFSET(A1_原単位2027,29,HL29+2)&amp;"")</f>
        <v/>
      </c>
      <c r="HW29" s="759" t="str">
        <f t="shared" ca="1" si="56"/>
        <v/>
      </c>
      <c r="HX29" s="760" t="str">
        <f t="shared" ca="1" si="57"/>
        <v/>
      </c>
      <c r="HY29" s="755" t="str">
        <f t="shared" ca="1" si="58"/>
        <v/>
      </c>
      <c r="HZ29" s="756" t="str">
        <f ca="1">IF(COUNTIF(HZ$10:HZ28,OFFSET(A1_原単位2027,41,HL29+2))&gt;=1,"",OFFSET(A1_原単位2027,41,HL29+2)&amp;"")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IF(COUNTIF(HN$10:HN29,OFFSET(A1_原単位2027,5,HL30+2))&gt;=1,"",OFFSET(A1_原単位2027,5,HL30+2)&amp;"")</f>
        <v/>
      </c>
      <c r="HO30" s="757" t="str">
        <f t="shared" ca="1" si="50"/>
        <v/>
      </c>
      <c r="HP30" s="758" t="str">
        <f t="shared" ca="1" si="51"/>
        <v/>
      </c>
      <c r="HQ30" s="755" t="str">
        <f t="shared" ca="1" si="52"/>
        <v/>
      </c>
      <c r="HR30" s="756" t="str">
        <f ca="1">IF(COUNTIF(HR$10:HR29,OFFSET(A1_原単位2027,17,HL30+2))&gt;=1,"",OFFSET(A1_原単位2027,17,HL30+2)&amp;"")</f>
        <v/>
      </c>
      <c r="HS30" s="759" t="str">
        <f t="shared" ca="1" si="53"/>
        <v/>
      </c>
      <c r="HT30" s="760" t="str">
        <f t="shared" ca="1" si="54"/>
        <v/>
      </c>
      <c r="HU30" s="755" t="str">
        <f t="shared" ca="1" si="55"/>
        <v/>
      </c>
      <c r="HV30" s="756" t="str">
        <f ca="1">IF(COUNTIF(HV$10:HV29,OFFSET(A1_原単位2027,29,HL30+2))&gt;=1,"",OFFSET(A1_原単位2027,29,HL30+2)&amp;"")</f>
        <v/>
      </c>
      <c r="HW30" s="759" t="str">
        <f t="shared" ca="1" si="56"/>
        <v/>
      </c>
      <c r="HX30" s="760" t="str">
        <f t="shared" ca="1" si="57"/>
        <v/>
      </c>
      <c r="HY30" s="755" t="str">
        <f t="shared" ca="1" si="58"/>
        <v/>
      </c>
      <c r="HZ30" s="756" t="str">
        <f ca="1">IF(COUNTIF(HZ$10:HZ29,OFFSET(A1_原単位2027,41,HL30+2))&gt;=1,"",OFFSET(A1_原単位2027,41,HL30+2)&amp;"")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IF(COUNTIF(HN$10:HN30,OFFSET(A1_原単位2027,5,HL31+2))&gt;=1,"",OFFSET(A1_原単位2027,5,HL31+2)&amp;"")</f>
        <v/>
      </c>
      <c r="HO31" s="757" t="str">
        <f t="shared" ca="1" si="50"/>
        <v/>
      </c>
      <c r="HP31" s="758" t="str">
        <f t="shared" ca="1" si="51"/>
        <v/>
      </c>
      <c r="HQ31" s="755" t="str">
        <f t="shared" ca="1" si="52"/>
        <v/>
      </c>
      <c r="HR31" s="756" t="str">
        <f ca="1">IF(COUNTIF(HR$10:HR30,OFFSET(A1_原単位2027,17,HL31+2))&gt;=1,"",OFFSET(A1_原単位2027,17,HL31+2)&amp;"")</f>
        <v/>
      </c>
      <c r="HS31" s="759" t="str">
        <f t="shared" ca="1" si="53"/>
        <v/>
      </c>
      <c r="HT31" s="760" t="str">
        <f t="shared" ca="1" si="54"/>
        <v/>
      </c>
      <c r="HU31" s="755" t="str">
        <f t="shared" ca="1" si="55"/>
        <v/>
      </c>
      <c r="HV31" s="756" t="str">
        <f ca="1">IF(COUNTIF(HV$10:HV30,OFFSET(A1_原単位2027,29,HL31+2))&gt;=1,"",OFFSET(A1_原単位2027,29,HL31+2)&amp;"")</f>
        <v/>
      </c>
      <c r="HW31" s="759" t="str">
        <f t="shared" ca="1" si="56"/>
        <v/>
      </c>
      <c r="HX31" s="760" t="str">
        <f t="shared" ca="1" si="57"/>
        <v/>
      </c>
      <c r="HY31" s="755" t="str">
        <f t="shared" ca="1" si="58"/>
        <v/>
      </c>
      <c r="HZ31" s="756" t="str">
        <f ca="1">IF(COUNTIF(HZ$10:HZ30,OFFSET(A1_原単位2027,41,HL31+2))&gt;=1,"",OFFSET(A1_原単位2027,41,HL31+2)&amp;"")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IF(COUNTIF(HN$10:HN31,OFFSET(A1_原単位2027,5,HL32+2))&gt;=1,"",OFFSET(A1_原単位2027,5,HL32+2)&amp;"")</f>
        <v/>
      </c>
      <c r="HO32" s="757" t="str">
        <f t="shared" ca="1" si="50"/>
        <v/>
      </c>
      <c r="HP32" s="758" t="str">
        <f t="shared" ca="1" si="51"/>
        <v/>
      </c>
      <c r="HQ32" s="755" t="str">
        <f t="shared" ca="1" si="52"/>
        <v/>
      </c>
      <c r="HR32" s="756" t="str">
        <f ca="1">IF(COUNTIF(HR$10:HR31,OFFSET(A1_原単位2027,17,HL32+2))&gt;=1,"",OFFSET(A1_原単位2027,17,HL32+2)&amp;"")</f>
        <v/>
      </c>
      <c r="HS32" s="759" t="str">
        <f t="shared" ca="1" si="53"/>
        <v/>
      </c>
      <c r="HT32" s="760" t="str">
        <f t="shared" ca="1" si="54"/>
        <v/>
      </c>
      <c r="HU32" s="755" t="str">
        <f t="shared" ca="1" si="55"/>
        <v/>
      </c>
      <c r="HV32" s="756" t="str">
        <f ca="1">IF(COUNTIF(HV$10:HV31,OFFSET(A1_原単位2027,29,HL32+2))&gt;=1,"",OFFSET(A1_原単位2027,29,HL32+2)&amp;"")</f>
        <v/>
      </c>
      <c r="HW32" s="759" t="str">
        <f t="shared" ca="1" si="56"/>
        <v/>
      </c>
      <c r="HX32" s="760" t="str">
        <f t="shared" ca="1" si="57"/>
        <v/>
      </c>
      <c r="HY32" s="755" t="str">
        <f t="shared" ca="1" si="58"/>
        <v/>
      </c>
      <c r="HZ32" s="756" t="str">
        <f ca="1">IF(COUNTIF(HZ$10:HZ31,OFFSET(A1_原単位2027,41,HL32+2))&gt;=1,"",OFFSET(A1_原単位2027,41,HL32+2)&amp;"")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IF(COUNTIF(HN$10:HN32,OFFSET(A1_原単位2027,5,HL33+2))&gt;=1,"",OFFSET(A1_原単位2027,5,HL33+2)&amp;"")</f>
        <v/>
      </c>
      <c r="HO33" s="757" t="str">
        <f t="shared" ca="1" si="50"/>
        <v/>
      </c>
      <c r="HP33" s="758" t="str">
        <f t="shared" ca="1" si="51"/>
        <v/>
      </c>
      <c r="HQ33" s="755" t="str">
        <f t="shared" ca="1" si="52"/>
        <v/>
      </c>
      <c r="HR33" s="756" t="str">
        <f ca="1">IF(COUNTIF(HR$10:HR32,OFFSET(A1_原単位2027,17,HL33+2))&gt;=1,"",OFFSET(A1_原単位2027,17,HL33+2)&amp;"")</f>
        <v/>
      </c>
      <c r="HS33" s="759" t="str">
        <f t="shared" ca="1" si="53"/>
        <v/>
      </c>
      <c r="HT33" s="760" t="str">
        <f t="shared" ca="1" si="54"/>
        <v/>
      </c>
      <c r="HU33" s="755" t="str">
        <f t="shared" ca="1" si="55"/>
        <v/>
      </c>
      <c r="HV33" s="756" t="str">
        <f ca="1">IF(COUNTIF(HV$10:HV32,OFFSET(A1_原単位2027,29,HL33+2))&gt;=1,"",OFFSET(A1_原単位2027,29,HL33+2)&amp;"")</f>
        <v/>
      </c>
      <c r="HW33" s="759" t="str">
        <f t="shared" ca="1" si="56"/>
        <v/>
      </c>
      <c r="HX33" s="760" t="str">
        <f t="shared" ca="1" si="57"/>
        <v/>
      </c>
      <c r="HY33" s="755" t="str">
        <f t="shared" ca="1" si="58"/>
        <v/>
      </c>
      <c r="HZ33" s="756" t="str">
        <f ca="1">IF(COUNTIF(HZ$10:HZ32,OFFSET(A1_原単位2027,41,HL33+2))&gt;=1,"",OFFSET(A1_原単位2027,41,HL33+2)&amp;"")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IF(COUNTIF(HN$10:HN33,OFFSET(A1_原単位2027,5,HL34+2))&gt;=1,"",OFFSET(A1_原単位2027,5,HL34+2)&amp;"")</f>
        <v/>
      </c>
      <c r="HO34" s="757" t="str">
        <f t="shared" ca="1" si="50"/>
        <v/>
      </c>
      <c r="HP34" s="758" t="str">
        <f t="shared" ca="1" si="51"/>
        <v/>
      </c>
      <c r="HQ34" s="755" t="str">
        <f t="shared" ca="1" si="52"/>
        <v/>
      </c>
      <c r="HR34" s="756" t="str">
        <f ca="1">IF(COUNTIF(HR$10:HR33,OFFSET(A1_原単位2027,17,HL34+2))&gt;=1,"",OFFSET(A1_原単位2027,17,HL34+2)&amp;"")</f>
        <v/>
      </c>
      <c r="HS34" s="759" t="str">
        <f t="shared" ca="1" si="53"/>
        <v/>
      </c>
      <c r="HT34" s="760" t="str">
        <f t="shared" ca="1" si="54"/>
        <v/>
      </c>
      <c r="HU34" s="755" t="str">
        <f t="shared" ca="1" si="55"/>
        <v/>
      </c>
      <c r="HV34" s="756" t="str">
        <f ca="1">IF(COUNTIF(HV$10:HV33,OFFSET(A1_原単位2027,29,HL34+2))&gt;=1,"",OFFSET(A1_原単位2027,29,HL34+2)&amp;"")</f>
        <v/>
      </c>
      <c r="HW34" s="759" t="str">
        <f t="shared" ca="1" si="56"/>
        <v/>
      </c>
      <c r="HX34" s="760" t="str">
        <f t="shared" ca="1" si="57"/>
        <v/>
      </c>
      <c r="HY34" s="755" t="str">
        <f t="shared" ca="1" si="58"/>
        <v/>
      </c>
      <c r="HZ34" s="756" t="str">
        <f ca="1">IF(COUNTIF(HZ$10:HZ33,OFFSET(A1_原単位2027,41,HL34+2))&gt;=1,"",OFFSET(A1_原単位2027,41,HL34+2)&amp;"")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IF(COUNTIF(HN$10:HN34,OFFSET(A1_原単位2027,5,HL35+2))&gt;=1,"",OFFSET(A1_原単位2027,5,HL35+2)&amp;"")</f>
        <v/>
      </c>
      <c r="HO35" s="757" t="str">
        <f t="shared" ca="1" si="50"/>
        <v/>
      </c>
      <c r="HP35" s="758" t="str">
        <f t="shared" ca="1" si="51"/>
        <v/>
      </c>
      <c r="HQ35" s="755" t="str">
        <f t="shared" ca="1" si="52"/>
        <v/>
      </c>
      <c r="HR35" s="756" t="str">
        <f ca="1">IF(COUNTIF(HR$10:HR34,OFFSET(A1_原単位2027,17,HL35+2))&gt;=1,"",OFFSET(A1_原単位2027,17,HL35+2)&amp;"")</f>
        <v/>
      </c>
      <c r="HS35" s="759" t="str">
        <f t="shared" ca="1" si="53"/>
        <v/>
      </c>
      <c r="HT35" s="760" t="str">
        <f t="shared" ca="1" si="54"/>
        <v/>
      </c>
      <c r="HU35" s="755" t="str">
        <f t="shared" ca="1" si="55"/>
        <v/>
      </c>
      <c r="HV35" s="756" t="str">
        <f ca="1">IF(COUNTIF(HV$10:HV34,OFFSET(A1_原単位2027,29,HL35+2))&gt;=1,"",OFFSET(A1_原単位2027,29,HL35+2)&amp;"")</f>
        <v/>
      </c>
      <c r="HW35" s="759" t="str">
        <f t="shared" ca="1" si="56"/>
        <v/>
      </c>
      <c r="HX35" s="760" t="str">
        <f t="shared" ca="1" si="57"/>
        <v/>
      </c>
      <c r="HY35" s="755" t="str">
        <f t="shared" ca="1" si="58"/>
        <v/>
      </c>
      <c r="HZ35" s="756" t="str">
        <f ca="1">IF(COUNTIF(HZ$10:HZ34,OFFSET(A1_原単位2027,41,HL35+2))&gt;=1,"",OFFSET(A1_原単位2027,41,HL35+2)&amp;"")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IF(COUNTIF(HN$10:HN35,OFFSET(A1_原単位2027,5,HL36+2))&gt;=1,"",OFFSET(A1_原単位2027,5,HL36+2)&amp;"")</f>
        <v/>
      </c>
      <c r="HO36" s="757" t="str">
        <f t="shared" ca="1" si="50"/>
        <v/>
      </c>
      <c r="HP36" s="758" t="str">
        <f t="shared" ca="1" si="51"/>
        <v/>
      </c>
      <c r="HQ36" s="755" t="str">
        <f t="shared" ca="1" si="52"/>
        <v/>
      </c>
      <c r="HR36" s="756" t="str">
        <f ca="1">IF(COUNTIF(HR$10:HR35,OFFSET(A1_原単位2027,17,HL36+2))&gt;=1,"",OFFSET(A1_原単位2027,17,HL36+2)&amp;"")</f>
        <v/>
      </c>
      <c r="HS36" s="759" t="str">
        <f t="shared" ca="1" si="53"/>
        <v/>
      </c>
      <c r="HT36" s="760" t="str">
        <f t="shared" ca="1" si="54"/>
        <v/>
      </c>
      <c r="HU36" s="755" t="str">
        <f t="shared" ca="1" si="55"/>
        <v/>
      </c>
      <c r="HV36" s="756" t="str">
        <f ca="1">IF(COUNTIF(HV$10:HV35,OFFSET(A1_原単位2027,29,HL36+2))&gt;=1,"",OFFSET(A1_原単位2027,29,HL36+2)&amp;"")</f>
        <v/>
      </c>
      <c r="HW36" s="759" t="str">
        <f t="shared" ca="1" si="56"/>
        <v/>
      </c>
      <c r="HX36" s="760" t="str">
        <f t="shared" ca="1" si="57"/>
        <v/>
      </c>
      <c r="HY36" s="755" t="str">
        <f t="shared" ca="1" si="58"/>
        <v/>
      </c>
      <c r="HZ36" s="756" t="str">
        <f ca="1">IF(COUNTIF(HZ$10:HZ35,OFFSET(A1_原単位2027,41,HL36+2))&gt;=1,"",OFFSET(A1_原単位2027,41,HL36+2)&amp;"")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IF(COUNTIF(HN$10:HN36,OFFSET(A1_原単位2027,5,HL37+2))&gt;=1,"",OFFSET(A1_原単位2027,5,HL37+2)&amp;"")</f>
        <v/>
      </c>
      <c r="HO37" s="757" t="str">
        <f t="shared" ca="1" si="50"/>
        <v/>
      </c>
      <c r="HP37" s="758" t="str">
        <f t="shared" ca="1" si="51"/>
        <v/>
      </c>
      <c r="HQ37" s="755" t="str">
        <f t="shared" ca="1" si="52"/>
        <v/>
      </c>
      <c r="HR37" s="756" t="str">
        <f ca="1">IF(COUNTIF(HR$10:HR36,OFFSET(A1_原単位2027,17,HL37+2))&gt;=1,"",OFFSET(A1_原単位2027,17,HL37+2)&amp;"")</f>
        <v/>
      </c>
      <c r="HS37" s="759" t="str">
        <f t="shared" ca="1" si="53"/>
        <v/>
      </c>
      <c r="HT37" s="760" t="str">
        <f t="shared" ca="1" si="54"/>
        <v/>
      </c>
      <c r="HU37" s="755" t="str">
        <f t="shared" ca="1" si="55"/>
        <v/>
      </c>
      <c r="HV37" s="756" t="str">
        <f ca="1">IF(COUNTIF(HV$10:HV36,OFFSET(A1_原単位2027,29,HL37+2))&gt;=1,"",OFFSET(A1_原単位2027,29,HL37+2)&amp;"")</f>
        <v/>
      </c>
      <c r="HW37" s="759" t="str">
        <f t="shared" ca="1" si="56"/>
        <v/>
      </c>
      <c r="HX37" s="760" t="str">
        <f t="shared" ca="1" si="57"/>
        <v/>
      </c>
      <c r="HY37" s="755" t="str">
        <f t="shared" ca="1" si="58"/>
        <v/>
      </c>
      <c r="HZ37" s="756" t="str">
        <f ca="1">IF(COUNTIF(HZ$10:HZ36,OFFSET(A1_原単位2027,41,HL37+2))&gt;=1,"",OFFSET(A1_原単位2027,41,HL37+2)&amp;"")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IF(COUNTIF(HN$10:HN37,OFFSET(A1_原単位2027,5,HL38+2))&gt;=1,"",OFFSET(A1_原単位2027,5,HL38+2)&amp;"")</f>
        <v/>
      </c>
      <c r="HO38" s="757" t="str">
        <f t="shared" ca="1" si="50"/>
        <v/>
      </c>
      <c r="HP38" s="758" t="str">
        <f t="shared" ca="1" si="51"/>
        <v/>
      </c>
      <c r="HQ38" s="755" t="str">
        <f t="shared" ca="1" si="52"/>
        <v/>
      </c>
      <c r="HR38" s="756" t="str">
        <f ca="1">IF(COUNTIF(HR$10:HR37,OFFSET(A1_原単位2027,17,HL38+2))&gt;=1,"",OFFSET(A1_原単位2027,17,HL38+2)&amp;"")</f>
        <v/>
      </c>
      <c r="HS38" s="759" t="str">
        <f t="shared" ca="1" si="53"/>
        <v/>
      </c>
      <c r="HT38" s="760" t="str">
        <f t="shared" ca="1" si="54"/>
        <v/>
      </c>
      <c r="HU38" s="755" t="str">
        <f t="shared" ca="1" si="55"/>
        <v/>
      </c>
      <c r="HV38" s="756" t="str">
        <f ca="1">IF(COUNTIF(HV$10:HV37,OFFSET(A1_原単位2027,29,HL38+2))&gt;=1,"",OFFSET(A1_原単位2027,29,HL38+2)&amp;"")</f>
        <v/>
      </c>
      <c r="HW38" s="759" t="str">
        <f t="shared" ca="1" si="56"/>
        <v/>
      </c>
      <c r="HX38" s="760" t="str">
        <f t="shared" ca="1" si="57"/>
        <v/>
      </c>
      <c r="HY38" s="755" t="str">
        <f t="shared" ca="1" si="58"/>
        <v/>
      </c>
      <c r="HZ38" s="756" t="str">
        <f ca="1">IF(COUNTIF(HZ$10:HZ37,OFFSET(A1_原単位2027,41,HL38+2))&gt;=1,"",OFFSET(A1_原単位2027,41,HL38+2)&amp;"")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IF(COUNTIF(HN$10:HN38,OFFSET(A1_原単位2027,5,HL39+2))&gt;=1,"",OFFSET(A1_原単位2027,5,HL39+2)&amp;"")</f>
        <v/>
      </c>
      <c r="HO39" s="757" t="str">
        <f t="shared" ca="1" si="50"/>
        <v/>
      </c>
      <c r="HP39" s="758" t="str">
        <f t="shared" ca="1" si="51"/>
        <v/>
      </c>
      <c r="HQ39" s="755" t="str">
        <f t="shared" ca="1" si="52"/>
        <v/>
      </c>
      <c r="HR39" s="756" t="str">
        <f ca="1">IF(COUNTIF(HR$10:HR38,OFFSET(A1_原単位2027,17,HL39+2))&gt;=1,"",OFFSET(A1_原単位2027,17,HL39+2)&amp;"")</f>
        <v/>
      </c>
      <c r="HS39" s="759" t="str">
        <f t="shared" ca="1" si="53"/>
        <v/>
      </c>
      <c r="HT39" s="760" t="str">
        <f t="shared" ca="1" si="54"/>
        <v/>
      </c>
      <c r="HU39" s="755" t="str">
        <f t="shared" ca="1" si="55"/>
        <v/>
      </c>
      <c r="HV39" s="756" t="str">
        <f ca="1">IF(COUNTIF(HV$10:HV38,OFFSET(A1_原単位2027,29,HL39+2))&gt;=1,"",OFFSET(A1_原単位2027,29,HL39+2)&amp;"")</f>
        <v/>
      </c>
      <c r="HW39" s="759" t="str">
        <f t="shared" ca="1" si="56"/>
        <v/>
      </c>
      <c r="HX39" s="760" t="str">
        <f t="shared" ca="1" si="57"/>
        <v/>
      </c>
      <c r="HY39" s="755" t="str">
        <f t="shared" ca="1" si="58"/>
        <v/>
      </c>
      <c r="HZ39" s="756" t="str">
        <f ca="1">IF(COUNTIF(HZ$10:HZ38,OFFSET(A1_原単位2027,41,HL39+2))&gt;=1,"",OFFSET(A1_原単位2027,41,HL39+2)&amp;"")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IF(COUNTIF(HN$10:HN39,OFFSET(A1_原単位2027,5,HL40+2))&gt;=1,"",OFFSET(A1_原単位2027,5,HL40+2)&amp;"")</f>
        <v/>
      </c>
      <c r="HO40" s="757" t="str">
        <f t="shared" ca="1" si="50"/>
        <v/>
      </c>
      <c r="HP40" s="758" t="str">
        <f t="shared" ca="1" si="51"/>
        <v/>
      </c>
      <c r="HQ40" s="755" t="str">
        <f t="shared" ca="1" si="52"/>
        <v/>
      </c>
      <c r="HR40" s="756" t="str">
        <f ca="1">IF(COUNTIF(HR$10:HR39,OFFSET(A1_原単位2027,17,HL40+2))&gt;=1,"",OFFSET(A1_原単位2027,17,HL40+2)&amp;"")</f>
        <v/>
      </c>
      <c r="HS40" s="759" t="str">
        <f t="shared" ca="1" si="53"/>
        <v/>
      </c>
      <c r="HT40" s="760" t="str">
        <f t="shared" ca="1" si="54"/>
        <v/>
      </c>
      <c r="HU40" s="755" t="str">
        <f t="shared" ca="1" si="55"/>
        <v/>
      </c>
      <c r="HV40" s="756" t="str">
        <f ca="1">IF(COUNTIF(HV$10:HV39,OFFSET(A1_原単位2027,29,HL40+2))&gt;=1,"",OFFSET(A1_原単位2027,29,HL40+2)&amp;"")</f>
        <v/>
      </c>
      <c r="HW40" s="759" t="str">
        <f t="shared" ca="1" si="56"/>
        <v/>
      </c>
      <c r="HX40" s="760" t="str">
        <f t="shared" ca="1" si="57"/>
        <v/>
      </c>
      <c r="HY40" s="755" t="str">
        <f t="shared" ca="1" si="58"/>
        <v/>
      </c>
      <c r="HZ40" s="756" t="str">
        <f ca="1">IF(COUNTIF(HZ$10:HZ39,OFFSET(A1_原単位2027,41,HL40+2))&gt;=1,"",OFFSET(A1_原単位2027,41,HL40+2)&amp;"")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IF(COUNTIF(HN$10:HN40,OFFSET(A1_原単位2027,5,HL41+2))&gt;=1,"",OFFSET(A1_原単位2027,5,HL41+2)&amp;"")</f>
        <v/>
      </c>
      <c r="HO41" s="757" t="str">
        <f t="shared" ca="1" si="50"/>
        <v/>
      </c>
      <c r="HP41" s="758" t="str">
        <f t="shared" ca="1" si="51"/>
        <v/>
      </c>
      <c r="HQ41" s="755" t="str">
        <f t="shared" ca="1" si="52"/>
        <v/>
      </c>
      <c r="HR41" s="756" t="str">
        <f ca="1">IF(COUNTIF(HR$10:HR40,OFFSET(A1_原単位2027,17,HL41+2))&gt;=1,"",OFFSET(A1_原単位2027,17,HL41+2)&amp;"")</f>
        <v/>
      </c>
      <c r="HS41" s="759" t="str">
        <f t="shared" ca="1" si="53"/>
        <v/>
      </c>
      <c r="HT41" s="760" t="str">
        <f t="shared" ca="1" si="54"/>
        <v/>
      </c>
      <c r="HU41" s="755" t="str">
        <f t="shared" ca="1" si="55"/>
        <v/>
      </c>
      <c r="HV41" s="756" t="str">
        <f ca="1">IF(COUNTIF(HV$10:HV40,OFFSET(A1_原単位2027,29,HL41+2))&gt;=1,"",OFFSET(A1_原単位2027,29,HL41+2)&amp;"")</f>
        <v/>
      </c>
      <c r="HW41" s="759" t="str">
        <f t="shared" ca="1" si="56"/>
        <v/>
      </c>
      <c r="HX41" s="760" t="str">
        <f t="shared" ca="1" si="57"/>
        <v/>
      </c>
      <c r="HY41" s="755" t="str">
        <f t="shared" ca="1" si="58"/>
        <v/>
      </c>
      <c r="HZ41" s="756" t="str">
        <f ca="1">IF(COUNTIF(HZ$10:HZ40,OFFSET(A1_原単位2027,41,HL41+2))&gt;=1,"",OFFSET(A1_原単位2027,41,HL41+2)&amp;"")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OFFSET(A1_原単位2026,6,$HL42+2)</f>
        <v/>
      </c>
      <c r="HN42" s="756" t="str">
        <f ca="1">IF(COUNTIF(HN$10:HN41,OFFSET(A1_原単位2027,5,HL42+2))&gt;=1,"",OFFSET(A1_原単位2027,5,HL42+2)&amp;"")</f>
        <v/>
      </c>
      <c r="HO42" s="757" t="str">
        <f t="shared" ca="1" si="50"/>
        <v/>
      </c>
      <c r="HP42" s="758" t="str">
        <f t="shared" ref="HP42:HP59" ca="1" si="68">IF(HN42="","",HYPERLINK("#"&amp;OFFSET(A1_原単位2027,66,$HL42+2),OFFSET(A1_原単位2027,62,$HL42+2)))</f>
        <v/>
      </c>
      <c r="HQ42" s="755" t="str">
        <f t="shared" ref="HQ42:HQ59" ca="1" si="69">OFFSET(A1_原単位2026,18,$HL42+2)</f>
        <v/>
      </c>
      <c r="HR42" s="756" t="str">
        <f ca="1">IF(COUNTIF(HR$10:HR41,OFFSET(A1_原単位2027,17,HL42+2))&gt;=1,"",OFFSET(A1_原単位2027,17,HL42+2)&amp;"")</f>
        <v/>
      </c>
      <c r="HS42" s="759" t="str">
        <f t="shared" ca="1" si="53"/>
        <v/>
      </c>
      <c r="HT42" s="760" t="str">
        <f t="shared" ref="HT42:HT59" ca="1" si="70">IF(HR42="","",HYPERLINK("#"&amp;OFFSET(A1_原単位2027,67,$HL42+2),OFFSET(A1_原単位2027,63,$HL42+2)))</f>
        <v/>
      </c>
      <c r="HU42" s="755" t="str">
        <f t="shared" ref="HU42:HU59" ca="1" si="71">OFFSET(A1_原単位2026,30,$HL42+2)</f>
        <v/>
      </c>
      <c r="HV42" s="756" t="str">
        <f ca="1">IF(COUNTIF(HV$10:HV41,OFFSET(A1_原単位2027,29,HL42+2))&gt;=1,"",OFFSET(A1_原単位2027,29,HL42+2)&amp;"")</f>
        <v/>
      </c>
      <c r="HW42" s="759" t="str">
        <f t="shared" ca="1" si="56"/>
        <v/>
      </c>
      <c r="HX42" s="760" t="str">
        <f t="shared" ref="HX42:HX59" ca="1" si="72">IF(HV42="","",HYPERLINK("#"&amp;OFFSET(A1_原単位2027,68,$HL42+2),OFFSET(A1_原単位2027,64,$HL42+2)))</f>
        <v/>
      </c>
      <c r="HY42" s="755" t="str">
        <f t="shared" ref="HY42:HY59" ca="1" si="73">OFFSET(A1_原単位2026,42,$HL42+2)</f>
        <v/>
      </c>
      <c r="HZ42" s="756" t="str">
        <f ca="1">IF(COUNTIF(HZ$10:HZ41,OFFSET(A1_原単位2027,41,HL42+2))&gt;=1,"",OFFSET(A1_原単位2027,41,HL42+2)&amp;"")</f>
        <v/>
      </c>
      <c r="IA42" s="761" t="str">
        <f t="shared" ca="1" si="59"/>
        <v/>
      </c>
      <c r="IB42" s="762" t="str">
        <f t="shared" ref="IB42:IB59" ca="1" si="74">IF(HZ42="","",HYPERLINK("#"&amp;OFFSET(A1_原単位2027,69,$HL42+2),OFFSET(A1_原単位2027,65,$HL42+2)))</f>
        <v/>
      </c>
      <c r="IE42" s="244" t="str">
        <f t="shared" ref="IE42:IE59" ca="1" si="75">IF($HN42="","",ADDRESS(ROW(貼付け_2027実績)+5,OFFSET(A1_原単位2027,7,$HL42+2)+COLUMN(貼付け_2027実績)+1,4))</f>
        <v/>
      </c>
      <c r="IF42" s="244" t="str">
        <f t="shared" ref="IF42:IF59" ca="1" si="76">IF($HR42="","",ADDRESS(ROW(貼付け_2027実績)+5,OFFSET(A1_原単位2027,19,$HL42+2)+COLUMN(貼付け_2027実績)+1,4))</f>
        <v/>
      </c>
      <c r="IG42" s="244" t="str">
        <f t="shared" ref="IG42:IG59" ca="1" si="77">IF($HV42="","",ADDRESS(ROW(貼付け_2027実績)+5,OFFSET(A1_原単位2027,31,$HL42+2)+COLUMN(貼付け_2027実績)+1,4))</f>
        <v/>
      </c>
      <c r="IH42" s="244" t="str">
        <f t="shared" ref="IH42:IH59" ca="1" si="78">IF($HZ42="","",ADDRESS(ROW(貼付け_2027実績)+5,OFFSET(A1_原単位2027,43,$HL42+2)+COLUMN(貼付け_2027実績)+1,4))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IF(COUNTIF(HN$10:HN42,OFFSET(A1_原単位2027,5,HL43+2))&gt;=1,"",OFFSET(A1_原単位2027,5,HL43+2)&amp;"")</f>
        <v/>
      </c>
      <c r="HO43" s="757" t="str">
        <f t="shared" ca="1" si="50"/>
        <v/>
      </c>
      <c r="HP43" s="758" t="str">
        <f t="shared" ca="1" si="68"/>
        <v/>
      </c>
      <c r="HQ43" s="755" t="str">
        <f t="shared" ca="1" si="69"/>
        <v/>
      </c>
      <c r="HR43" s="756" t="str">
        <f ca="1">IF(COUNTIF(HR$10:HR42,OFFSET(A1_原単位2027,17,HL43+2))&gt;=1,"",OFFSET(A1_原単位2027,17,HL43+2)&amp;"")</f>
        <v/>
      </c>
      <c r="HS43" s="759" t="str">
        <f t="shared" ca="1" si="53"/>
        <v/>
      </c>
      <c r="HT43" s="760" t="str">
        <f t="shared" ca="1" si="70"/>
        <v/>
      </c>
      <c r="HU43" s="755" t="str">
        <f t="shared" ca="1" si="71"/>
        <v/>
      </c>
      <c r="HV43" s="756" t="str">
        <f ca="1">IF(COUNTIF(HV$10:HV42,OFFSET(A1_原単位2027,29,HL43+2))&gt;=1,"",OFFSET(A1_原単位2027,29,HL43+2)&amp;"")</f>
        <v/>
      </c>
      <c r="HW43" s="759" t="str">
        <f t="shared" ca="1" si="56"/>
        <v/>
      </c>
      <c r="HX43" s="760" t="str">
        <f t="shared" ca="1" si="72"/>
        <v/>
      </c>
      <c r="HY43" s="755" t="str">
        <f t="shared" ca="1" si="73"/>
        <v/>
      </c>
      <c r="HZ43" s="756" t="str">
        <f ca="1">IF(COUNTIF(HZ$10:HZ42,OFFSET(A1_原単位2027,41,HL43+2))&gt;=1,"",OFFSET(A1_原単位2027,41,HL43+2)&amp;"")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IF(COUNTIF(HN$10:HN43,OFFSET(A1_原単位2027,5,HL44+2))&gt;=1,"",OFFSET(A1_原単位2027,5,HL44+2)&amp;"")</f>
        <v/>
      </c>
      <c r="HO44" s="757" t="str">
        <f t="shared" ca="1" si="50"/>
        <v/>
      </c>
      <c r="HP44" s="758" t="str">
        <f t="shared" ca="1" si="68"/>
        <v/>
      </c>
      <c r="HQ44" s="755" t="str">
        <f t="shared" ca="1" si="69"/>
        <v/>
      </c>
      <c r="HR44" s="756" t="str">
        <f ca="1">IF(COUNTIF(HR$10:HR43,OFFSET(A1_原単位2027,17,HL44+2))&gt;=1,"",OFFSET(A1_原単位2027,17,HL44+2)&amp;"")</f>
        <v/>
      </c>
      <c r="HS44" s="759" t="str">
        <f t="shared" ca="1" si="53"/>
        <v/>
      </c>
      <c r="HT44" s="760" t="str">
        <f t="shared" ca="1" si="70"/>
        <v/>
      </c>
      <c r="HU44" s="755" t="str">
        <f t="shared" ca="1" si="71"/>
        <v/>
      </c>
      <c r="HV44" s="756" t="str">
        <f ca="1">IF(COUNTIF(HV$10:HV43,OFFSET(A1_原単位2027,29,HL44+2))&gt;=1,"",OFFSET(A1_原単位2027,29,HL44+2)&amp;"")</f>
        <v/>
      </c>
      <c r="HW44" s="759" t="str">
        <f t="shared" ca="1" si="56"/>
        <v/>
      </c>
      <c r="HX44" s="760" t="str">
        <f t="shared" ca="1" si="72"/>
        <v/>
      </c>
      <c r="HY44" s="755" t="str">
        <f t="shared" ca="1" si="73"/>
        <v/>
      </c>
      <c r="HZ44" s="756" t="str">
        <f ca="1">IF(COUNTIF(HZ$10:HZ43,OFFSET(A1_原単位2027,41,HL44+2))&gt;=1,"",OFFSET(A1_原単位2027,41,HL44+2)&amp;"")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IF(COUNTIF(HN$10:HN44,OFFSET(A1_原単位2027,5,HL45+2))&gt;=1,"",OFFSET(A1_原単位2027,5,HL45+2)&amp;"")</f>
        <v/>
      </c>
      <c r="HO45" s="757" t="str">
        <f t="shared" ca="1" si="50"/>
        <v/>
      </c>
      <c r="HP45" s="758" t="str">
        <f t="shared" ca="1" si="68"/>
        <v/>
      </c>
      <c r="HQ45" s="755" t="str">
        <f t="shared" ca="1" si="69"/>
        <v/>
      </c>
      <c r="HR45" s="756" t="str">
        <f ca="1">IF(COUNTIF(HR$10:HR44,OFFSET(A1_原単位2027,17,HL45+2))&gt;=1,"",OFFSET(A1_原単位2027,17,HL45+2)&amp;"")</f>
        <v/>
      </c>
      <c r="HS45" s="759" t="str">
        <f t="shared" ca="1" si="53"/>
        <v/>
      </c>
      <c r="HT45" s="760" t="str">
        <f t="shared" ca="1" si="70"/>
        <v/>
      </c>
      <c r="HU45" s="755" t="str">
        <f t="shared" ca="1" si="71"/>
        <v/>
      </c>
      <c r="HV45" s="756" t="str">
        <f ca="1">IF(COUNTIF(HV$10:HV44,OFFSET(A1_原単位2027,29,HL45+2))&gt;=1,"",OFFSET(A1_原単位2027,29,HL45+2)&amp;"")</f>
        <v/>
      </c>
      <c r="HW45" s="759" t="str">
        <f t="shared" ca="1" si="56"/>
        <v/>
      </c>
      <c r="HX45" s="760" t="str">
        <f t="shared" ca="1" si="72"/>
        <v/>
      </c>
      <c r="HY45" s="755" t="str">
        <f t="shared" ca="1" si="73"/>
        <v/>
      </c>
      <c r="HZ45" s="756" t="str">
        <f ca="1">IF(COUNTIF(HZ$10:HZ44,OFFSET(A1_原単位2027,41,HL45+2))&gt;=1,"",OFFSET(A1_原単位2027,41,HL45+2)&amp;"")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IF(COUNTIF(HN$10:HN45,OFFSET(A1_原単位2027,5,HL46+2))&gt;=1,"",OFFSET(A1_原単位2027,5,HL46+2)&amp;"")</f>
        <v/>
      </c>
      <c r="HO46" s="757" t="str">
        <f t="shared" ca="1" si="50"/>
        <v/>
      </c>
      <c r="HP46" s="758" t="str">
        <f t="shared" ca="1" si="68"/>
        <v/>
      </c>
      <c r="HQ46" s="755" t="str">
        <f t="shared" ca="1" si="69"/>
        <v/>
      </c>
      <c r="HR46" s="756" t="str">
        <f ca="1">IF(COUNTIF(HR$10:HR45,OFFSET(A1_原単位2027,17,HL46+2))&gt;=1,"",OFFSET(A1_原単位2027,17,HL46+2)&amp;"")</f>
        <v/>
      </c>
      <c r="HS46" s="759" t="str">
        <f t="shared" ca="1" si="53"/>
        <v/>
      </c>
      <c r="HT46" s="760" t="str">
        <f t="shared" ca="1" si="70"/>
        <v/>
      </c>
      <c r="HU46" s="755" t="str">
        <f t="shared" ca="1" si="71"/>
        <v/>
      </c>
      <c r="HV46" s="756" t="str">
        <f ca="1">IF(COUNTIF(HV$10:HV45,OFFSET(A1_原単位2027,29,HL46+2))&gt;=1,"",OFFSET(A1_原単位2027,29,HL46+2)&amp;"")</f>
        <v/>
      </c>
      <c r="HW46" s="759" t="str">
        <f t="shared" ca="1" si="56"/>
        <v/>
      </c>
      <c r="HX46" s="760" t="str">
        <f t="shared" ca="1" si="72"/>
        <v/>
      </c>
      <c r="HY46" s="755" t="str">
        <f t="shared" ca="1" si="73"/>
        <v/>
      </c>
      <c r="HZ46" s="756" t="str">
        <f ca="1">IF(COUNTIF(HZ$10:HZ45,OFFSET(A1_原単位2027,41,HL46+2))&gt;=1,"",OFFSET(A1_原単位2027,41,HL46+2)&amp;"")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IF(COUNTIF(HN$10:HN46,OFFSET(A1_原単位2027,5,HL47+2))&gt;=1,"",OFFSET(A1_原単位2027,5,HL47+2)&amp;"")</f>
        <v/>
      </c>
      <c r="HO47" s="757" t="str">
        <f t="shared" ca="1" si="50"/>
        <v/>
      </c>
      <c r="HP47" s="758" t="str">
        <f t="shared" ca="1" si="68"/>
        <v/>
      </c>
      <c r="HQ47" s="755" t="str">
        <f t="shared" ca="1" si="69"/>
        <v/>
      </c>
      <c r="HR47" s="756" t="str">
        <f ca="1">IF(COUNTIF(HR$10:HR46,OFFSET(A1_原単位2027,17,HL47+2))&gt;=1,"",OFFSET(A1_原単位2027,17,HL47+2)&amp;"")</f>
        <v/>
      </c>
      <c r="HS47" s="759" t="str">
        <f t="shared" ca="1" si="53"/>
        <v/>
      </c>
      <c r="HT47" s="760" t="str">
        <f t="shared" ca="1" si="70"/>
        <v/>
      </c>
      <c r="HU47" s="755" t="str">
        <f t="shared" ca="1" si="71"/>
        <v/>
      </c>
      <c r="HV47" s="756" t="str">
        <f ca="1">IF(COUNTIF(HV$10:HV46,OFFSET(A1_原単位2027,29,HL47+2))&gt;=1,"",OFFSET(A1_原単位2027,29,HL47+2)&amp;"")</f>
        <v/>
      </c>
      <c r="HW47" s="759" t="str">
        <f t="shared" ca="1" si="56"/>
        <v/>
      </c>
      <c r="HX47" s="760" t="str">
        <f t="shared" ca="1" si="72"/>
        <v/>
      </c>
      <c r="HY47" s="755" t="str">
        <f t="shared" ca="1" si="73"/>
        <v/>
      </c>
      <c r="HZ47" s="756" t="str">
        <f ca="1">IF(COUNTIF(HZ$10:HZ46,OFFSET(A1_原単位2027,41,HL47+2))&gt;=1,"",OFFSET(A1_原単位2027,41,HL47+2)&amp;"")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IF(COUNTIF(HN$10:HN47,OFFSET(A1_原単位2027,5,HL48+2))&gt;=1,"",OFFSET(A1_原単位2027,5,HL48+2)&amp;"")</f>
        <v/>
      </c>
      <c r="HO48" s="757" t="str">
        <f t="shared" ca="1" si="50"/>
        <v/>
      </c>
      <c r="HP48" s="758" t="str">
        <f t="shared" ca="1" si="68"/>
        <v/>
      </c>
      <c r="HQ48" s="755" t="str">
        <f t="shared" ca="1" si="69"/>
        <v/>
      </c>
      <c r="HR48" s="756" t="str">
        <f ca="1">IF(COUNTIF(HR$10:HR47,OFFSET(A1_原単位2027,17,HL48+2))&gt;=1,"",OFFSET(A1_原単位2027,17,HL48+2)&amp;"")</f>
        <v/>
      </c>
      <c r="HS48" s="759" t="str">
        <f t="shared" ca="1" si="53"/>
        <v/>
      </c>
      <c r="HT48" s="760" t="str">
        <f t="shared" ca="1" si="70"/>
        <v/>
      </c>
      <c r="HU48" s="755" t="str">
        <f t="shared" ca="1" si="71"/>
        <v/>
      </c>
      <c r="HV48" s="756" t="str">
        <f ca="1">IF(COUNTIF(HV$10:HV47,OFFSET(A1_原単位2027,29,HL48+2))&gt;=1,"",OFFSET(A1_原単位2027,29,HL48+2)&amp;"")</f>
        <v/>
      </c>
      <c r="HW48" s="759" t="str">
        <f t="shared" ca="1" si="56"/>
        <v/>
      </c>
      <c r="HX48" s="760" t="str">
        <f t="shared" ca="1" si="72"/>
        <v/>
      </c>
      <c r="HY48" s="755" t="str">
        <f t="shared" ca="1" si="73"/>
        <v/>
      </c>
      <c r="HZ48" s="756" t="str">
        <f ca="1">IF(COUNTIF(HZ$10:HZ47,OFFSET(A1_原単位2027,41,HL48+2))&gt;=1,"",OFFSET(A1_原単位2027,41,HL48+2)&amp;"")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IF(COUNTIF(HN$10:HN48,OFFSET(A1_原単位2027,5,HL49+2))&gt;=1,"",OFFSET(A1_原単位2027,5,HL49+2)&amp;"")</f>
        <v/>
      </c>
      <c r="HO49" s="757" t="str">
        <f t="shared" ca="1" si="50"/>
        <v/>
      </c>
      <c r="HP49" s="758" t="str">
        <f t="shared" ca="1" si="68"/>
        <v/>
      </c>
      <c r="HQ49" s="755" t="str">
        <f t="shared" ca="1" si="69"/>
        <v/>
      </c>
      <c r="HR49" s="756" t="str">
        <f ca="1">IF(COUNTIF(HR$10:HR48,OFFSET(A1_原単位2027,17,HL49+2))&gt;=1,"",OFFSET(A1_原単位2027,17,HL49+2)&amp;"")</f>
        <v/>
      </c>
      <c r="HS49" s="759" t="str">
        <f t="shared" ca="1" si="53"/>
        <v/>
      </c>
      <c r="HT49" s="760" t="str">
        <f t="shared" ca="1" si="70"/>
        <v/>
      </c>
      <c r="HU49" s="755" t="str">
        <f t="shared" ca="1" si="71"/>
        <v/>
      </c>
      <c r="HV49" s="756" t="str">
        <f ca="1">IF(COUNTIF(HV$10:HV48,OFFSET(A1_原単位2027,29,HL49+2))&gt;=1,"",OFFSET(A1_原単位2027,29,HL49+2)&amp;"")</f>
        <v/>
      </c>
      <c r="HW49" s="759" t="str">
        <f t="shared" ca="1" si="56"/>
        <v/>
      </c>
      <c r="HX49" s="760" t="str">
        <f t="shared" ca="1" si="72"/>
        <v/>
      </c>
      <c r="HY49" s="755" t="str">
        <f t="shared" ca="1" si="73"/>
        <v/>
      </c>
      <c r="HZ49" s="756" t="str">
        <f ca="1">IF(COUNTIF(HZ$10:HZ48,OFFSET(A1_原単位2027,41,HL49+2))&gt;=1,"",OFFSET(A1_原単位2027,41,HL49+2)&amp;"")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IF(COUNTIF(HN$10:HN49,OFFSET(A1_原単位2027,5,HL50+2))&gt;=1,"",OFFSET(A1_原単位2027,5,HL50+2)&amp;"")</f>
        <v/>
      </c>
      <c r="HO50" s="757" t="str">
        <f t="shared" ca="1" si="50"/>
        <v/>
      </c>
      <c r="HP50" s="758" t="str">
        <f t="shared" ca="1" si="68"/>
        <v/>
      </c>
      <c r="HQ50" s="755" t="str">
        <f t="shared" ca="1" si="69"/>
        <v/>
      </c>
      <c r="HR50" s="756" t="str">
        <f ca="1">IF(COUNTIF(HR$10:HR49,OFFSET(A1_原単位2027,17,HL50+2))&gt;=1,"",OFFSET(A1_原単位2027,17,HL50+2)&amp;"")</f>
        <v/>
      </c>
      <c r="HS50" s="759" t="str">
        <f t="shared" ca="1" si="53"/>
        <v/>
      </c>
      <c r="HT50" s="760" t="str">
        <f t="shared" ca="1" si="70"/>
        <v/>
      </c>
      <c r="HU50" s="755" t="str">
        <f t="shared" ca="1" si="71"/>
        <v/>
      </c>
      <c r="HV50" s="756" t="str">
        <f ca="1">IF(COUNTIF(HV$10:HV49,OFFSET(A1_原単位2027,29,HL50+2))&gt;=1,"",OFFSET(A1_原単位2027,29,HL50+2)&amp;"")</f>
        <v/>
      </c>
      <c r="HW50" s="759" t="str">
        <f t="shared" ca="1" si="56"/>
        <v/>
      </c>
      <c r="HX50" s="760" t="str">
        <f t="shared" ca="1" si="72"/>
        <v/>
      </c>
      <c r="HY50" s="755" t="str">
        <f t="shared" ca="1" si="73"/>
        <v/>
      </c>
      <c r="HZ50" s="756" t="str">
        <f ca="1">IF(COUNTIF(HZ$10:HZ49,OFFSET(A1_原単位2027,41,HL50+2))&gt;=1,"",OFFSET(A1_原単位2027,41,HL50+2)&amp;"")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IF(COUNTIF(HN$10:HN50,OFFSET(A1_原単位2027,5,HL51+2))&gt;=1,"",OFFSET(A1_原単位2027,5,HL51+2)&amp;"")</f>
        <v/>
      </c>
      <c r="HO51" s="757" t="str">
        <f t="shared" ca="1" si="50"/>
        <v/>
      </c>
      <c r="HP51" s="758" t="str">
        <f t="shared" ca="1" si="68"/>
        <v/>
      </c>
      <c r="HQ51" s="755" t="str">
        <f t="shared" ca="1" si="69"/>
        <v/>
      </c>
      <c r="HR51" s="756" t="str">
        <f ca="1">IF(COUNTIF(HR$10:HR50,OFFSET(A1_原単位2027,17,HL51+2))&gt;=1,"",OFFSET(A1_原単位2027,17,HL51+2)&amp;"")</f>
        <v/>
      </c>
      <c r="HS51" s="759" t="str">
        <f t="shared" ca="1" si="53"/>
        <v/>
      </c>
      <c r="HT51" s="760" t="str">
        <f t="shared" ca="1" si="70"/>
        <v/>
      </c>
      <c r="HU51" s="755" t="str">
        <f t="shared" ca="1" si="71"/>
        <v/>
      </c>
      <c r="HV51" s="756" t="str">
        <f ca="1">IF(COUNTIF(HV$10:HV50,OFFSET(A1_原単位2027,29,HL51+2))&gt;=1,"",OFFSET(A1_原単位2027,29,HL51+2)&amp;"")</f>
        <v/>
      </c>
      <c r="HW51" s="759" t="str">
        <f t="shared" ca="1" si="56"/>
        <v/>
      </c>
      <c r="HX51" s="760" t="str">
        <f t="shared" ca="1" si="72"/>
        <v/>
      </c>
      <c r="HY51" s="755" t="str">
        <f t="shared" ca="1" si="73"/>
        <v/>
      </c>
      <c r="HZ51" s="756" t="str">
        <f ca="1">IF(COUNTIF(HZ$10:HZ50,OFFSET(A1_原単位2027,41,HL51+2))&gt;=1,"",OFFSET(A1_原単位2027,41,HL51+2)&amp;"")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IF(COUNTIF(HN$10:HN51,OFFSET(A1_原単位2027,5,HL52+2))&gt;=1,"",OFFSET(A1_原単位2027,5,HL52+2)&amp;"")</f>
        <v/>
      </c>
      <c r="HO52" s="757" t="str">
        <f t="shared" ca="1" si="50"/>
        <v/>
      </c>
      <c r="HP52" s="758" t="str">
        <f t="shared" ca="1" si="68"/>
        <v/>
      </c>
      <c r="HQ52" s="755" t="str">
        <f t="shared" ca="1" si="69"/>
        <v/>
      </c>
      <c r="HR52" s="756" t="str">
        <f ca="1">IF(COUNTIF(HR$10:HR51,OFFSET(A1_原単位2027,17,HL52+2))&gt;=1,"",OFFSET(A1_原単位2027,17,HL52+2)&amp;"")</f>
        <v/>
      </c>
      <c r="HS52" s="759" t="str">
        <f t="shared" ca="1" si="53"/>
        <v/>
      </c>
      <c r="HT52" s="760" t="str">
        <f t="shared" ca="1" si="70"/>
        <v/>
      </c>
      <c r="HU52" s="755" t="str">
        <f t="shared" ca="1" si="71"/>
        <v/>
      </c>
      <c r="HV52" s="756" t="str">
        <f ca="1">IF(COUNTIF(HV$10:HV51,OFFSET(A1_原単位2027,29,HL52+2))&gt;=1,"",OFFSET(A1_原単位2027,29,HL52+2)&amp;"")</f>
        <v/>
      </c>
      <c r="HW52" s="759" t="str">
        <f t="shared" ca="1" si="56"/>
        <v/>
      </c>
      <c r="HX52" s="760" t="str">
        <f t="shared" ca="1" si="72"/>
        <v/>
      </c>
      <c r="HY52" s="755" t="str">
        <f t="shared" ca="1" si="73"/>
        <v/>
      </c>
      <c r="HZ52" s="756" t="str">
        <f ca="1">IF(COUNTIF(HZ$10:HZ51,OFFSET(A1_原単位2027,41,HL52+2))&gt;=1,"",OFFSET(A1_原単位2027,41,HL52+2)&amp;"")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IF(COUNTIF(HN$10:HN52,OFFSET(A1_原単位2027,5,HL53+2))&gt;=1,"",OFFSET(A1_原単位2027,5,HL53+2)&amp;"")</f>
        <v/>
      </c>
      <c r="HO53" s="757" t="str">
        <f t="shared" ca="1" si="50"/>
        <v/>
      </c>
      <c r="HP53" s="758" t="str">
        <f t="shared" ca="1" si="68"/>
        <v/>
      </c>
      <c r="HQ53" s="755" t="str">
        <f t="shared" ca="1" si="69"/>
        <v/>
      </c>
      <c r="HR53" s="756" t="str">
        <f ca="1">IF(COUNTIF(HR$10:HR52,OFFSET(A1_原単位2027,17,HL53+2))&gt;=1,"",OFFSET(A1_原単位2027,17,HL53+2)&amp;"")</f>
        <v/>
      </c>
      <c r="HS53" s="759" t="str">
        <f t="shared" ca="1" si="53"/>
        <v/>
      </c>
      <c r="HT53" s="760" t="str">
        <f t="shared" ca="1" si="70"/>
        <v/>
      </c>
      <c r="HU53" s="755" t="str">
        <f t="shared" ca="1" si="71"/>
        <v/>
      </c>
      <c r="HV53" s="756" t="str">
        <f ca="1">IF(COUNTIF(HV$10:HV52,OFFSET(A1_原単位2027,29,HL53+2))&gt;=1,"",OFFSET(A1_原単位2027,29,HL53+2)&amp;"")</f>
        <v/>
      </c>
      <c r="HW53" s="759" t="str">
        <f t="shared" ca="1" si="56"/>
        <v/>
      </c>
      <c r="HX53" s="760" t="str">
        <f t="shared" ca="1" si="72"/>
        <v/>
      </c>
      <c r="HY53" s="755" t="str">
        <f t="shared" ca="1" si="73"/>
        <v/>
      </c>
      <c r="HZ53" s="756" t="str">
        <f ca="1">IF(COUNTIF(HZ$10:HZ52,OFFSET(A1_原単位2027,41,HL53+2))&gt;=1,"",OFFSET(A1_原単位2027,41,HL53+2)&amp;"")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IF(COUNTIF(HN$10:HN53,OFFSET(A1_原単位2027,5,HL54+2))&gt;=1,"",OFFSET(A1_原単位2027,5,HL54+2)&amp;"")</f>
        <v/>
      </c>
      <c r="HO54" s="757" t="str">
        <f t="shared" ca="1" si="50"/>
        <v/>
      </c>
      <c r="HP54" s="758" t="str">
        <f t="shared" ca="1" si="68"/>
        <v/>
      </c>
      <c r="HQ54" s="755" t="str">
        <f t="shared" ca="1" si="69"/>
        <v/>
      </c>
      <c r="HR54" s="756" t="str">
        <f ca="1">IF(COUNTIF(HR$10:HR53,OFFSET(A1_原単位2027,17,HL54+2))&gt;=1,"",OFFSET(A1_原単位2027,17,HL54+2)&amp;"")</f>
        <v/>
      </c>
      <c r="HS54" s="759" t="str">
        <f t="shared" ca="1" si="53"/>
        <v/>
      </c>
      <c r="HT54" s="760" t="str">
        <f t="shared" ca="1" si="70"/>
        <v/>
      </c>
      <c r="HU54" s="755" t="str">
        <f t="shared" ca="1" si="71"/>
        <v/>
      </c>
      <c r="HV54" s="756" t="str">
        <f ca="1">IF(COUNTIF(HV$10:HV53,OFFSET(A1_原単位2027,29,HL54+2))&gt;=1,"",OFFSET(A1_原単位2027,29,HL54+2)&amp;"")</f>
        <v/>
      </c>
      <c r="HW54" s="759" t="str">
        <f t="shared" ca="1" si="56"/>
        <v/>
      </c>
      <c r="HX54" s="760" t="str">
        <f t="shared" ca="1" si="72"/>
        <v/>
      </c>
      <c r="HY54" s="755" t="str">
        <f t="shared" ca="1" si="73"/>
        <v/>
      </c>
      <c r="HZ54" s="756" t="str">
        <f ca="1">IF(COUNTIF(HZ$10:HZ53,OFFSET(A1_原単位2027,41,HL54+2))&gt;=1,"",OFFSET(A1_原単位2027,41,HL54+2)&amp;"")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IF(COUNTIF(HN$10:HN54,OFFSET(A1_原単位2027,5,HL55+2))&gt;=1,"",OFFSET(A1_原単位2027,5,HL55+2)&amp;"")</f>
        <v/>
      </c>
      <c r="HO55" s="757" t="str">
        <f t="shared" ca="1" si="50"/>
        <v/>
      </c>
      <c r="HP55" s="758" t="str">
        <f t="shared" ca="1" si="68"/>
        <v/>
      </c>
      <c r="HQ55" s="755" t="str">
        <f t="shared" ca="1" si="69"/>
        <v/>
      </c>
      <c r="HR55" s="756" t="str">
        <f ca="1">IF(COUNTIF(HR$10:HR54,OFFSET(A1_原単位2027,17,HL55+2))&gt;=1,"",OFFSET(A1_原単位2027,17,HL55+2)&amp;"")</f>
        <v/>
      </c>
      <c r="HS55" s="759" t="str">
        <f t="shared" ca="1" si="53"/>
        <v/>
      </c>
      <c r="HT55" s="760" t="str">
        <f t="shared" ca="1" si="70"/>
        <v/>
      </c>
      <c r="HU55" s="755" t="str">
        <f t="shared" ca="1" si="71"/>
        <v/>
      </c>
      <c r="HV55" s="756" t="str">
        <f ca="1">IF(COUNTIF(HV$10:HV54,OFFSET(A1_原単位2027,29,HL55+2))&gt;=1,"",OFFSET(A1_原単位2027,29,HL55+2)&amp;"")</f>
        <v/>
      </c>
      <c r="HW55" s="759" t="str">
        <f t="shared" ca="1" si="56"/>
        <v/>
      </c>
      <c r="HX55" s="760" t="str">
        <f t="shared" ca="1" si="72"/>
        <v/>
      </c>
      <c r="HY55" s="755" t="str">
        <f t="shared" ca="1" si="73"/>
        <v/>
      </c>
      <c r="HZ55" s="756" t="str">
        <f ca="1">IF(COUNTIF(HZ$10:HZ54,OFFSET(A1_原単位2027,41,HL55+2))&gt;=1,"",OFFSET(A1_原単位2027,41,HL55+2)&amp;"")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IF(COUNTIF(HN$10:HN55,OFFSET(A1_原単位2027,5,HL56+2))&gt;=1,"",OFFSET(A1_原単位2027,5,HL56+2)&amp;"")</f>
        <v/>
      </c>
      <c r="HO56" s="757" t="str">
        <f t="shared" ca="1" si="50"/>
        <v/>
      </c>
      <c r="HP56" s="758" t="str">
        <f t="shared" ca="1" si="68"/>
        <v/>
      </c>
      <c r="HQ56" s="755" t="str">
        <f t="shared" ca="1" si="69"/>
        <v/>
      </c>
      <c r="HR56" s="756" t="str">
        <f ca="1">IF(COUNTIF(HR$10:HR55,OFFSET(A1_原単位2027,17,HL56+2))&gt;=1,"",OFFSET(A1_原単位2027,17,HL56+2)&amp;"")</f>
        <v/>
      </c>
      <c r="HS56" s="759" t="str">
        <f t="shared" ca="1" si="53"/>
        <v/>
      </c>
      <c r="HT56" s="760" t="str">
        <f t="shared" ca="1" si="70"/>
        <v/>
      </c>
      <c r="HU56" s="755" t="str">
        <f t="shared" ca="1" si="71"/>
        <v/>
      </c>
      <c r="HV56" s="756" t="str">
        <f ca="1">IF(COUNTIF(HV$10:HV55,OFFSET(A1_原単位2027,29,HL56+2))&gt;=1,"",OFFSET(A1_原単位2027,29,HL56+2)&amp;"")</f>
        <v/>
      </c>
      <c r="HW56" s="759" t="str">
        <f t="shared" ca="1" si="56"/>
        <v/>
      </c>
      <c r="HX56" s="760" t="str">
        <f t="shared" ca="1" si="72"/>
        <v/>
      </c>
      <c r="HY56" s="755" t="str">
        <f t="shared" ca="1" si="73"/>
        <v/>
      </c>
      <c r="HZ56" s="756" t="str">
        <f ca="1">IF(COUNTIF(HZ$10:HZ55,OFFSET(A1_原単位2027,41,HL56+2))&gt;=1,"",OFFSET(A1_原単位2027,41,HL56+2)&amp;"")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IF(COUNTIF(HN$10:HN56,OFFSET(A1_原単位2027,5,HL57+2))&gt;=1,"",OFFSET(A1_原単位2027,5,HL57+2)&amp;"")</f>
        <v/>
      </c>
      <c r="HO57" s="757" t="str">
        <f t="shared" ca="1" si="50"/>
        <v/>
      </c>
      <c r="HP57" s="758" t="str">
        <f t="shared" ca="1" si="68"/>
        <v/>
      </c>
      <c r="HQ57" s="755" t="str">
        <f t="shared" ca="1" si="69"/>
        <v/>
      </c>
      <c r="HR57" s="756" t="str">
        <f ca="1">IF(COUNTIF(HR$10:HR56,OFFSET(A1_原単位2027,17,HL57+2))&gt;=1,"",OFFSET(A1_原単位2027,17,HL57+2)&amp;"")</f>
        <v/>
      </c>
      <c r="HS57" s="759" t="str">
        <f t="shared" ca="1" si="53"/>
        <v/>
      </c>
      <c r="HT57" s="760" t="str">
        <f t="shared" ca="1" si="70"/>
        <v/>
      </c>
      <c r="HU57" s="755" t="str">
        <f t="shared" ca="1" si="71"/>
        <v/>
      </c>
      <c r="HV57" s="756" t="str">
        <f ca="1">IF(COUNTIF(HV$10:HV56,OFFSET(A1_原単位2027,29,HL57+2))&gt;=1,"",OFFSET(A1_原単位2027,29,HL57+2)&amp;"")</f>
        <v/>
      </c>
      <c r="HW57" s="759" t="str">
        <f t="shared" ca="1" si="56"/>
        <v/>
      </c>
      <c r="HX57" s="760" t="str">
        <f t="shared" ca="1" si="72"/>
        <v/>
      </c>
      <c r="HY57" s="755" t="str">
        <f t="shared" ca="1" si="73"/>
        <v/>
      </c>
      <c r="HZ57" s="756" t="str">
        <f ca="1">IF(COUNTIF(HZ$10:HZ56,OFFSET(A1_原単位2027,41,HL57+2))&gt;=1,"",OFFSET(A1_原単位2027,41,HL57+2)&amp;"")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IF(COUNTIF(HN$10:HN57,OFFSET(A1_原単位2027,5,HL58+2))&gt;=1,"",OFFSET(A1_原単位2027,5,HL58+2)&amp;"")</f>
        <v/>
      </c>
      <c r="HO58" s="757" t="str">
        <f t="shared" ca="1" si="50"/>
        <v/>
      </c>
      <c r="HP58" s="758" t="str">
        <f t="shared" ca="1" si="68"/>
        <v/>
      </c>
      <c r="HQ58" s="755" t="str">
        <f t="shared" ca="1" si="69"/>
        <v/>
      </c>
      <c r="HR58" s="756" t="str">
        <f ca="1">IF(COUNTIF(HR$10:HR57,OFFSET(A1_原単位2027,17,HL58+2))&gt;=1,"",OFFSET(A1_原単位2027,17,HL58+2)&amp;"")</f>
        <v/>
      </c>
      <c r="HS58" s="759" t="str">
        <f t="shared" ca="1" si="53"/>
        <v/>
      </c>
      <c r="HT58" s="760" t="str">
        <f t="shared" ca="1" si="70"/>
        <v/>
      </c>
      <c r="HU58" s="755" t="str">
        <f t="shared" ca="1" si="71"/>
        <v/>
      </c>
      <c r="HV58" s="756" t="str">
        <f ca="1">IF(COUNTIF(HV$10:HV57,OFFSET(A1_原単位2027,29,HL58+2))&gt;=1,"",OFFSET(A1_原単位2027,29,HL58+2)&amp;"")</f>
        <v/>
      </c>
      <c r="HW58" s="759" t="str">
        <f t="shared" ca="1" si="56"/>
        <v/>
      </c>
      <c r="HX58" s="760" t="str">
        <f t="shared" ca="1" si="72"/>
        <v/>
      </c>
      <c r="HY58" s="755" t="str">
        <f t="shared" ca="1" si="73"/>
        <v/>
      </c>
      <c r="HZ58" s="756" t="str">
        <f ca="1">IF(COUNTIF(HZ$10:HZ57,OFFSET(A1_原単位2027,41,HL58+2))&gt;=1,"",OFFSET(A1_原単位2027,41,HL58+2)&amp;"")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IF(COUNTIF(HN$10:HN58,OFFSET(A1_原単位2027,5,HL59+2))&gt;=1,"",OFFSET(A1_原単位2027,5,HL59+2)&amp;"")</f>
        <v/>
      </c>
      <c r="HO59" s="767" t="str">
        <f t="shared" ca="1" si="50"/>
        <v/>
      </c>
      <c r="HP59" s="768" t="str">
        <f t="shared" ca="1" si="68"/>
        <v/>
      </c>
      <c r="HQ59" s="765" t="str">
        <f t="shared" ca="1" si="69"/>
        <v/>
      </c>
      <c r="HR59" s="766" t="str">
        <f ca="1">IF(COUNTIF(HR$10:HR58,OFFSET(A1_原単位2027,17,HL59+2))&gt;=1,"",OFFSET(A1_原単位2027,17,HL59+2)&amp;"")</f>
        <v/>
      </c>
      <c r="HS59" s="769" t="str">
        <f t="shared" ca="1" si="53"/>
        <v/>
      </c>
      <c r="HT59" s="770" t="str">
        <f t="shared" ca="1" si="70"/>
        <v/>
      </c>
      <c r="HU59" s="765" t="str">
        <f t="shared" ca="1" si="71"/>
        <v/>
      </c>
      <c r="HV59" s="766" t="str">
        <f ca="1">IF(COUNTIF(HV$10:HV58,OFFSET(A1_原単位2027,29,HL59+2))&gt;=1,"",OFFSET(A1_原単位2027,29,HL59+2)&amp;"")</f>
        <v/>
      </c>
      <c r="HW59" s="769" t="str">
        <f t="shared" ca="1" si="56"/>
        <v/>
      </c>
      <c r="HX59" s="770" t="str">
        <f t="shared" ca="1" si="72"/>
        <v/>
      </c>
      <c r="HY59" s="765" t="str">
        <f t="shared" ca="1" si="73"/>
        <v/>
      </c>
      <c r="HZ59" s="766" t="str">
        <f ca="1">IF(COUNTIF(HZ$10:HZ58,OFFSET(A1_原単位2027,41,HL59+2))&gt;=1,"",OFFSET(A1_原単位2027,41,HL59+2)&amp;"")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19.8">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ht="20.100000000000001" customHeight="1"/>
    <row r="225" spans="1:242" s="193" customFormat="1" ht="20.100000000000001" hidden="1" customHeight="1">
      <c r="A225" s="201" t="s">
        <v>4330</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4331</v>
      </c>
      <c r="E226" s="180"/>
      <c r="F226" s="1084" t="s">
        <v>4260</v>
      </c>
      <c r="G226" s="1085" t="s">
        <v>4261</v>
      </c>
      <c r="H226" s="1085"/>
      <c r="I226" s="640" t="s">
        <v>4262</v>
      </c>
      <c r="J226" s="641"/>
      <c r="K226" s="216" t="str">
        <f ca="1">OFFSET(貼付け_2027実績,4,SUM(COLUMN()-COLUMN(貼付け_2027実績)))</f>
        <v>横浜1</v>
      </c>
      <c r="L226" s="217"/>
      <c r="M226" s="217"/>
      <c r="N226" s="218"/>
      <c r="O226" s="216" t="str">
        <f ca="1">OFFSET(貼付け_2027実績,4,SUM(COLUMN()-COLUMN(貼付け_2027実績)))</f>
        <v>横浜2</v>
      </c>
      <c r="P226" s="217"/>
      <c r="Q226" s="217"/>
      <c r="R226" s="218"/>
      <c r="S226" s="216" t="str">
        <f ca="1">OFFSET(貼付け_2027実績,4,SUM(COLUMN()-COLUMN(貼付け_2027実績)))</f>
        <v>横浜3</v>
      </c>
      <c r="T226" s="217"/>
      <c r="U226" s="217"/>
      <c r="V226" s="218"/>
      <c r="W226" s="216" t="str">
        <f ca="1">OFFSET(貼付け_2027実績,4,SUM(COLUMN()-COLUMN(貼付け_2027実績)))</f>
        <v>県域1</v>
      </c>
      <c r="X226" s="217"/>
      <c r="Y226" s="217"/>
      <c r="Z226" s="218"/>
      <c r="AA226" s="216" t="str">
        <f ca="1">OFFSET(貼付け_2027実績,4,SUM(COLUMN()-COLUMN(貼付け_2027実績)))</f>
        <v>県域2</v>
      </c>
      <c r="AB226" s="217"/>
      <c r="AC226" s="217"/>
      <c r="AD226" s="218"/>
      <c r="AE226" s="216" t="str">
        <f ca="1">OFFSET(貼付け_2027実績,4,SUM(COLUMN()-COLUMN(貼付け_2027実績)))</f>
        <v>県域3</v>
      </c>
      <c r="AF226" s="217"/>
      <c r="AG226" s="217"/>
      <c r="AH226" s="218"/>
      <c r="AI226" s="216" t="str">
        <f ca="1">OFFSET(貼付け_2027実績,4,SUM(COLUMN()-COLUMN(貼付け_2027実績)))</f>
        <v>エネルギー管理指定工場等1</v>
      </c>
      <c r="AJ226" s="217"/>
      <c r="AK226" s="217"/>
      <c r="AL226" s="218"/>
      <c r="AM226" s="216" t="str">
        <f ca="1">OFFSET(貼付け_2027実績,4,SUM(COLUMN()-COLUMN(貼付け_2027実績)))</f>
        <v>エネルギー管理指定工場等2</v>
      </c>
      <c r="AN226" s="217"/>
      <c r="AO226" s="217"/>
      <c r="AP226" s="218"/>
      <c r="AQ226" s="216" t="str">
        <f ca="1">OFFSET(貼付け_2027実績,4,SUM(COLUMN()-COLUMN(貼付け_2027実績)))</f>
        <v>エネルギー管理指定工場等3</v>
      </c>
      <c r="AR226" s="217"/>
      <c r="AS226" s="217"/>
      <c r="AT226" s="218"/>
      <c r="AU226" s="216" t="str">
        <f ca="1">OFFSET(貼付け_2027実績,4,SUM(COLUMN()-COLUMN(貼付け_2027実績)))</f>
        <v>エネルギー管理指定工場等4</v>
      </c>
      <c r="AV226" s="217"/>
      <c r="AW226" s="217"/>
      <c r="AX226" s="218"/>
      <c r="AY226" s="216" t="str">
        <f ca="1">OFFSET(貼付け_2027実績,4,SUM(COLUMN()-COLUMN(貼付け_2027実績)))</f>
        <v>エネルギー管理指定工場等5</v>
      </c>
      <c r="AZ226" s="217"/>
      <c r="BA226" s="217"/>
      <c r="BB226" s="218"/>
      <c r="BC226" s="216" t="str">
        <f ca="1">OFFSET(貼付け_2027実績,4,SUM(COLUMN()-COLUMN(貼付け_2027実績)))</f>
        <v>エネルギー管理指定工場等6</v>
      </c>
      <c r="BD226" s="217"/>
      <c r="BE226" s="217"/>
      <c r="BF226" s="218"/>
      <c r="BG226" s="216" t="str">
        <f ca="1">OFFSET(貼付け_2027実績,4,SUM(COLUMN()-COLUMN(貼付け_2027実績)))</f>
        <v>エネルギー管理指定工場等7</v>
      </c>
      <c r="BH226" s="217"/>
      <c r="BI226" s="217"/>
      <c r="BJ226" s="218"/>
      <c r="BK226" s="216" t="str">
        <f ca="1">OFFSET(貼付け_2027実績,4,SUM(COLUMN()-COLUMN(貼付け_2027実績)))</f>
        <v>エネルギー管理指定工場等8</v>
      </c>
      <c r="BL226" s="217"/>
      <c r="BM226" s="217"/>
      <c r="BN226" s="218"/>
      <c r="BO226" s="216" t="str">
        <f ca="1">OFFSET(貼付け_2027実績,4,SUM(COLUMN()-COLUMN(貼付け_2027実績)))</f>
        <v>エネルギー管理指定工場等9</v>
      </c>
      <c r="BP226" s="217"/>
      <c r="BQ226" s="217"/>
      <c r="BR226" s="218"/>
      <c r="BS226" s="216" t="str">
        <f ca="1">OFFSET(貼付け_2027実績,4,SUM(COLUMN()-COLUMN(貼付け_2027実績)))</f>
        <v>エネルギー管理指定工場等10</v>
      </c>
      <c r="BT226" s="217"/>
      <c r="BU226" s="217"/>
      <c r="BV226" s="218"/>
      <c r="BW226" s="216">
        <f ca="1">OFFSET(貼付け_2027実績,4,SUM(COLUMN()-COLUMN(貼付け_2027実績)))</f>
        <v>0</v>
      </c>
      <c r="BX226" s="217"/>
      <c r="BY226" s="217"/>
      <c r="BZ226" s="218"/>
      <c r="CA226" s="216" t="str">
        <f ca="1">OFFSET(貼付け_2027実績,4,SUM(COLUMN()-COLUMN(貼付け_2027実績)))</f>
        <v>県域4</v>
      </c>
      <c r="CB226" s="217"/>
      <c r="CC226" s="217"/>
      <c r="CD226" s="218"/>
      <c r="CE226" s="216" t="str">
        <f ca="1">OFFSET(貼付け_2027実績,4,SUM(COLUMN()-COLUMN(貼付け_2027実績)))</f>
        <v>県域5</v>
      </c>
      <c r="CF226" s="217"/>
      <c r="CG226" s="217"/>
      <c r="CH226" s="218"/>
      <c r="CI226" s="216" t="str">
        <f ca="1">OFFSET(貼付け_2027実績,4,SUM(COLUMN()-COLUMN(貼付け_2027実績)))</f>
        <v>県域6</v>
      </c>
      <c r="CJ226" s="217"/>
      <c r="CK226" s="217"/>
      <c r="CL226" s="218"/>
      <c r="CM226" s="216" t="str">
        <f ca="1">OFFSET(貼付け_2027実績,4,SUM(COLUMN()-COLUMN(貼付け_2027実績)))</f>
        <v>県域7</v>
      </c>
      <c r="CN226" s="217"/>
      <c r="CO226" s="217"/>
      <c r="CP226" s="218"/>
      <c r="CQ226" s="216" t="str">
        <f ca="1">OFFSET(貼付け_2027実績,4,SUM(COLUMN()-COLUMN(貼付け_2027実績)))</f>
        <v>県域8</v>
      </c>
      <c r="CR226" s="217"/>
      <c r="CS226" s="217"/>
      <c r="CT226" s="218"/>
      <c r="CU226" s="216" t="str">
        <f ca="1">OFFSET(貼付け_2027実績,4,SUM(COLUMN()-COLUMN(貼付け_2027実績)))</f>
        <v>県域9</v>
      </c>
      <c r="CV226" s="217"/>
      <c r="CW226" s="217"/>
      <c r="CX226" s="218"/>
      <c r="CY226" s="216" t="str">
        <f ca="1">OFFSET(貼付け_2027実績,4,SUM(COLUMN()-COLUMN(貼付け_2027実績)))</f>
        <v>県域10</v>
      </c>
      <c r="CZ226" s="217"/>
      <c r="DA226" s="217"/>
      <c r="DB226" s="218"/>
      <c r="DC226" s="216" t="str">
        <f ca="1">OFFSET(貼付け_2027実績,4,SUM(COLUMN()-COLUMN(貼付け_2027実績)))</f>
        <v>横浜3</v>
      </c>
      <c r="DD226" s="217"/>
      <c r="DE226" s="217"/>
      <c r="DF226" s="218"/>
      <c r="DG226" s="216" t="str">
        <f ca="1">OFFSET(貼付け_2027実績,4,SUM(COLUMN()-COLUMN(貼付け_2027実績)))</f>
        <v>横浜4</v>
      </c>
      <c r="DH226" s="217"/>
      <c r="DI226" s="217"/>
      <c r="DJ226" s="218"/>
      <c r="DK226" s="216" t="str">
        <f ca="1">OFFSET(貼付け_2027実績,4,SUM(COLUMN()-COLUMN(貼付け_2027実績)))</f>
        <v>横浜5</v>
      </c>
      <c r="DL226" s="217"/>
      <c r="DM226" s="217"/>
      <c r="DN226" s="218"/>
      <c r="DO226" s="216" t="str">
        <f ca="1">OFFSET(貼付け_2027実績,4,SUM(COLUMN()-COLUMN(貼付け_2027実績)))</f>
        <v>横浜6</v>
      </c>
      <c r="DP226" s="217"/>
      <c r="DQ226" s="217"/>
      <c r="DR226" s="218"/>
      <c r="DS226" s="216" t="str">
        <f ca="1">OFFSET(貼付け_2027実績,4,SUM(COLUMN()-COLUMN(貼付け_2027実績)))</f>
        <v>横浜7</v>
      </c>
      <c r="DT226" s="217"/>
      <c r="DU226" s="217"/>
      <c r="DV226" s="218"/>
      <c r="DW226" s="216" t="str">
        <f ca="1">OFFSET(貼付け_2027実績,4,SUM(COLUMN()-COLUMN(貼付け_2027実績)))</f>
        <v>横浜8</v>
      </c>
      <c r="DX226" s="217"/>
      <c r="DY226" s="217"/>
      <c r="DZ226" s="218"/>
      <c r="EA226" s="216" t="str">
        <f ca="1">OFFSET(貼付け_2027実績,4,SUM(COLUMN()-COLUMN(貼付け_2027実績)))</f>
        <v>横浜9</v>
      </c>
      <c r="EB226" s="217"/>
      <c r="EC226" s="217"/>
      <c r="ED226" s="218"/>
      <c r="EE226" s="216" t="str">
        <f ca="1">OFFSET(貼付け_2027実績,4,SUM(COLUMN()-COLUMN(貼付け_2027実績)))</f>
        <v>横浜10</v>
      </c>
      <c r="EF226" s="217"/>
      <c r="EG226" s="217"/>
      <c r="EH226" s="218"/>
      <c r="EI226" s="216" t="str">
        <f ca="1">OFFSET(貼付け_2027実績,4,SUM(COLUMN()-COLUMN(貼付け_2027実績)))</f>
        <v>川崎1</v>
      </c>
      <c r="EJ226" s="217"/>
      <c r="EK226" s="217"/>
      <c r="EL226" s="218"/>
      <c r="EM226" s="216" t="str">
        <f ca="1">OFFSET(貼付け_2027実績,4,SUM(COLUMN()-COLUMN(貼付け_2027実績)))</f>
        <v>川崎2</v>
      </c>
      <c r="EN226" s="217"/>
      <c r="EO226" s="217"/>
      <c r="EP226" s="218"/>
      <c r="EQ226" s="216" t="str">
        <f ca="1">OFFSET(貼付け_2027実績,4,SUM(COLUMN()-COLUMN(貼付け_2027実績)))</f>
        <v>川崎3</v>
      </c>
      <c r="ER226" s="217"/>
      <c r="ES226" s="217"/>
      <c r="ET226" s="218"/>
      <c r="EU226" s="216" t="str">
        <f ca="1">OFFSET(貼付け_2027実績,4,SUM(COLUMN()-COLUMN(貼付け_2027実績)))</f>
        <v>川崎6</v>
      </c>
      <c r="EV226" s="217"/>
      <c r="EW226" s="217"/>
      <c r="EX226" s="218"/>
      <c r="EY226" s="216" t="str">
        <f ca="1">OFFSET(貼付け_2027実績,4,SUM(COLUMN()-COLUMN(貼付け_2027実績)))</f>
        <v>川崎7</v>
      </c>
      <c r="EZ226" s="217"/>
      <c r="FA226" s="217"/>
      <c r="FB226" s="218"/>
      <c r="FC226" s="216" t="str">
        <f ca="1">OFFSET(貼付け_2027実績,4,SUM(COLUMN()-COLUMN(貼付け_2027実績)))</f>
        <v>川崎8</v>
      </c>
      <c r="FD226" s="217"/>
      <c r="FE226" s="217"/>
      <c r="FF226" s="218"/>
      <c r="FG226" s="216" t="str">
        <f ca="1">OFFSET(貼付け_2027実績,4,SUM(COLUMN()-COLUMN(貼付け_2027実績)))</f>
        <v>川崎9</v>
      </c>
      <c r="FH226" s="217"/>
      <c r="FI226" s="217"/>
      <c r="FJ226" s="218"/>
      <c r="FK226" s="216" t="str">
        <f ca="1">OFFSET(貼付け_2027実績,4,SUM(COLUMN()-COLUMN(貼付け_2027実績)))</f>
        <v>川崎10</v>
      </c>
      <c r="FL226" s="217"/>
      <c r="FM226" s="217"/>
      <c r="FN226" s="218"/>
      <c r="FO226" s="216" t="str">
        <f ca="1">OFFSET(貼付け_2027実績,4,SUM(COLUMN()-COLUMN(貼付け_2027実績)))</f>
        <v>川崎11</v>
      </c>
      <c r="FP226" s="217"/>
      <c r="FQ226" s="217"/>
      <c r="FR226" s="218"/>
      <c r="FS226" s="216" t="str">
        <f ca="1">OFFSET(貼付け_2027実績,4,SUM(COLUMN()-COLUMN(貼付け_2027実績)))</f>
        <v>川崎12</v>
      </c>
      <c r="FT226" s="217"/>
      <c r="FU226" s="217"/>
      <c r="FV226" s="218"/>
      <c r="FW226" s="216" t="str">
        <f ca="1">OFFSET(貼付け_2027実績,4,SUM(COLUMN()-COLUMN(貼付け_2027実績)))</f>
        <v>川崎13</v>
      </c>
      <c r="FX226" s="217"/>
      <c r="FY226" s="217"/>
      <c r="FZ226" s="218"/>
      <c r="GA226" s="216" t="str">
        <f ca="1">OFFSET(貼付け_2027実績,4,SUM(COLUMN()-COLUMN(貼付け_2027実績)))</f>
        <v>川崎14</v>
      </c>
      <c r="GB226" s="217"/>
      <c r="GC226" s="217"/>
      <c r="GD226" s="218"/>
      <c r="GE226" s="216" t="str">
        <f ca="1">OFFSET(貼付け_2027実績,4,SUM(COLUMN()-COLUMN(貼付け_2027実績)))</f>
        <v>川崎15</v>
      </c>
      <c r="GF226" s="217"/>
      <c r="GG226" s="217"/>
      <c r="GH226" s="218"/>
      <c r="GI226" s="216" t="str">
        <f ca="1">OFFSET(貼付け_2027実績,4,SUM(COLUMN()-COLUMN(貼付け_2027実績)))</f>
        <v>川崎16</v>
      </c>
      <c r="GJ226" s="217"/>
      <c r="GK226" s="217"/>
      <c r="GL226" s="218"/>
      <c r="GM226" s="216" t="str">
        <f ca="1">OFFSET(貼付け_2027実績,4,SUM(COLUMN()-COLUMN(貼付け_2027実績)))</f>
        <v>川崎17</v>
      </c>
      <c r="GN226" s="217"/>
      <c r="GO226" s="217"/>
      <c r="GP226" s="218"/>
      <c r="GQ226" s="216" t="str">
        <f ca="1">OFFSET(貼付け_2027実績,4,SUM(COLUMN()-COLUMN(貼付け_2027実績)))</f>
        <v>川崎18</v>
      </c>
      <c r="GR226" s="217"/>
      <c r="GS226" s="217"/>
      <c r="GT226" s="218"/>
      <c r="GU226" s="216" t="str">
        <f ca="1">OFFSET(貼付け_2027実績,4,SUM(COLUMN()-COLUMN(貼付け_2027実績)))</f>
        <v>川崎19</v>
      </c>
      <c r="GV226" s="217"/>
      <c r="GW226" s="217"/>
      <c r="GX226" s="218"/>
      <c r="GY226" s="216" t="str">
        <f ca="1">OFFSET(貼付け_2027実績,4,SUM(COLUMN()-COLUMN(貼付け_2027実績)))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SUMPRODUCT(OFFSET(貼付け_2027実績,$F228,6,5,1),OFFSET(貼付け_2027実績,$F228,SUM(COLUMN()-COLUMN(貼付け_2027実績)),5,1))</f>
        <v>0</v>
      </c>
      <c r="J228" s="224">
        <f ca="1">SUMPRODUCT(OFFSET(貼付け_2027実績,$F228,6,5,1),OFFSET(貼付け_2027実績,$F228,SUM(COLUMN()-COLUMN(貼付け_2027実績)),5,1))</f>
        <v>0</v>
      </c>
      <c r="K228" s="224">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24">
        <f t="shared" ca="1" si="85"/>
        <v>0</v>
      </c>
      <c r="M228" s="224">
        <f t="shared" ca="1" si="85"/>
        <v>0</v>
      </c>
      <c r="N228" s="224">
        <f t="shared" ca="1" si="85"/>
        <v>0</v>
      </c>
      <c r="O228" s="224">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SUMPRODUCT(OFFSET(貼付け_2027実績,$G230,5,($H230-$G230+1),1),OFFSET(貼付け_2027実績,$G230,SUM(COLUMN()-COLUMN(貼付け_2027実績)),($H230-$G230+1),1))*0.0258</f>
        <v>0</v>
      </c>
      <c r="L230" s="225"/>
      <c r="M230" s="225"/>
      <c r="N230" s="225"/>
      <c r="O230" s="224">
        <f ca="1">SUMPRODUCT(OFFSET(貼付け_2027実績,$G230,5,($H230-$G230+1),1),OFFSET(貼付け_2027実績,$G230,SUM(COLUMN()-COLUMN(貼付け_2027実績)),($H230-$G230+1),1))*0.0258</f>
        <v>0</v>
      </c>
      <c r="P230" s="225"/>
      <c r="Q230" s="225"/>
      <c r="R230" s="225"/>
      <c r="S230" s="224">
        <f ca="1">SUMPRODUCT(OFFSET(貼付け_2027実績,$G230,5,($H230-$G230+1),1),OFFSET(貼付け_2027実績,$G230,SUM(COLUMN()-COLUMN(貼付け_2027実績)),($H230-$G230+1),1))*0.0258</f>
        <v>0</v>
      </c>
      <c r="T230" s="225"/>
      <c r="U230" s="225"/>
      <c r="V230" s="225"/>
      <c r="W230" s="224">
        <f ca="1">SUMPRODUCT(OFFSET(貼付け_2027実績,$G230,5,($H230-$G230+1),1),OFFSET(貼付け_2027実績,$G230,SUM(COLUMN()-COLUMN(貼付け_2027実績)),($H230-$G230+1),1))*0.0258</f>
        <v>0</v>
      </c>
      <c r="X230" s="225"/>
      <c r="Y230" s="225"/>
      <c r="Z230" s="225"/>
      <c r="AA230" s="224">
        <f ca="1">SUMPRODUCT(OFFSET(貼付け_2027実績,$G230,5,($H230-$G230+1),1),OFFSET(貼付け_2027実績,$G230,SUM(COLUMN()-COLUMN(貼付け_2027実績)),($H230-$G230+1),1))*0.0258</f>
        <v>0</v>
      </c>
      <c r="AB230" s="225"/>
      <c r="AC230" s="225"/>
      <c r="AD230" s="225"/>
      <c r="AE230" s="224">
        <f ca="1">SUMPRODUCT(OFFSET(貼付け_2027実績,$G230,5,($H230-$G230+1),1),OFFSET(貼付け_2027実績,$G230,SUM(COLUMN()-COLUMN(貼付け_2027実績)),($H230-$G230+1),1))*0.0258</f>
        <v>0</v>
      </c>
      <c r="AF230" s="225"/>
      <c r="AG230" s="225"/>
      <c r="AH230" s="225"/>
      <c r="AI230" s="224">
        <f ca="1">SUMPRODUCT(OFFSET(貼付け_2027実績,$G230,5,($H230-$G230+1),1),OFFSET(貼付け_2027実績,$G230,SUM(COLUMN()-COLUMN(貼付け_2027実績)),($H230-$G230+1),1))*0.0258</f>
        <v>0</v>
      </c>
      <c r="AJ230" s="225"/>
      <c r="AK230" s="225"/>
      <c r="AL230" s="225"/>
      <c r="AM230" s="224">
        <f ca="1">SUMPRODUCT(OFFSET(貼付け_2027実績,$G230,5,($H230-$G230+1),1),OFFSET(貼付け_2027実績,$G230,SUM(COLUMN()-COLUMN(貼付け_2027実績)),($H230-$G230+1),1))*0.0258</f>
        <v>0</v>
      </c>
      <c r="AN230" s="225"/>
      <c r="AO230" s="225"/>
      <c r="AP230" s="225"/>
      <c r="AQ230" s="224">
        <f ca="1">SUMPRODUCT(OFFSET(貼付け_2027実績,$G230,5,($H230-$G230+1),1),OFFSET(貼付け_2027実績,$G230,SUM(COLUMN()-COLUMN(貼付け_2027実績)),($H230-$G230+1),1))*0.0258</f>
        <v>0</v>
      </c>
      <c r="AR230" s="225"/>
      <c r="AS230" s="225"/>
      <c r="AT230" s="225"/>
      <c r="AU230" s="224">
        <f ca="1">SUMPRODUCT(OFFSET(貼付け_2027実績,$G230,5,($H230-$G230+1),1),OFFSET(貼付け_2027実績,$G230,SUM(COLUMN()-COLUMN(貼付け_2027実績)),($H230-$G230+1),1))*0.0258</f>
        <v>0</v>
      </c>
      <c r="AV230" s="225"/>
      <c r="AW230" s="225"/>
      <c r="AX230" s="225"/>
      <c r="AY230" s="224">
        <f ca="1">SUMPRODUCT(OFFSET(貼付け_2027実績,$G230,5,($H230-$G230+1),1),OFFSET(貼付け_2027実績,$G230,SUM(COLUMN()-COLUMN(貼付け_2027実績)),($H230-$G230+1),1))*0.0258</f>
        <v>0</v>
      </c>
      <c r="AZ230" s="225"/>
      <c r="BA230" s="225"/>
      <c r="BB230" s="225"/>
      <c r="BC230" s="224">
        <f ca="1">SUMPRODUCT(OFFSET(貼付け_2027実績,$G230,5,($H230-$G230+1),1),OFFSET(貼付け_2027実績,$G230,SUM(COLUMN()-COLUMN(貼付け_2027実績)),($H230-$G230+1),1))*0.0258</f>
        <v>0</v>
      </c>
      <c r="BD230" s="225"/>
      <c r="BE230" s="225"/>
      <c r="BF230" s="225"/>
      <c r="BG230" s="224">
        <f ca="1">SUMPRODUCT(OFFSET(貼付け_2027実績,$G230,5,($H230-$G230+1),1),OFFSET(貼付け_2027実績,$G230,SUM(COLUMN()-COLUMN(貼付け_2027実績)),($H230-$G230+1),1))*0.0258</f>
        <v>0</v>
      </c>
      <c r="BH230" s="225"/>
      <c r="BI230" s="225"/>
      <c r="BJ230" s="225"/>
      <c r="BK230" s="224">
        <f ca="1">SUMPRODUCT(OFFSET(貼付け_2027実績,$G230,5,($H230-$G230+1),1),OFFSET(貼付け_2027実績,$G230,SUM(COLUMN()-COLUMN(貼付け_2027実績)),($H230-$G230+1),1))*0.0258</f>
        <v>0</v>
      </c>
      <c r="BL230" s="225"/>
      <c r="BM230" s="225"/>
      <c r="BN230" s="225"/>
      <c r="BO230" s="224">
        <f ca="1">SUMPRODUCT(OFFSET(貼付け_2027実績,$G230,5,($H230-$G230+1),1),OFFSET(貼付け_2027実績,$G230,SUM(COLUMN()-COLUMN(貼付け_2027実績)),($H230-$G230+1),1))*0.0258</f>
        <v>0</v>
      </c>
      <c r="BP230" s="225"/>
      <c r="BQ230" s="225"/>
      <c r="BR230" s="225"/>
      <c r="BS230" s="224">
        <f ca="1">SUMPRODUCT(OFFSET(貼付け_2027実績,$G230,5,($H230-$G230+1),1),OFFSET(貼付け_2027実績,$G230,SUM(COLUMN()-COLUMN(貼付け_2027実績)),($H230-$G230+1),1))*0.0258</f>
        <v>0</v>
      </c>
      <c r="BT230" s="225"/>
      <c r="BU230" s="225"/>
      <c r="BV230" s="225"/>
      <c r="BW230" s="224">
        <f ca="1">SUMPRODUCT(OFFSET(貼付け_2027実績,$G230,5,($H230-$G230+1),1),OFFSET(貼付け_2027実績,$G230,SUM(COLUMN()-COLUMN(貼付け_2027実績)),($H230-$G230+1),1))*0.0258</f>
        <v>0</v>
      </c>
      <c r="BX230" s="225"/>
      <c r="BY230" s="225"/>
      <c r="BZ230" s="225"/>
      <c r="CA230" s="224">
        <f ca="1">SUMPRODUCT(OFFSET(貼付け_2027実績,$G230,5,($H230-$G230+1),1),OFFSET(貼付け_2027実績,$G230,SUM(COLUMN()-COLUMN(貼付け_2027実績)),($H230-$G230+1),1))*0.0258</f>
        <v>0</v>
      </c>
      <c r="CB230" s="225"/>
      <c r="CC230" s="225"/>
      <c r="CD230" s="225"/>
      <c r="CE230" s="224">
        <f ca="1">SUMPRODUCT(OFFSET(貼付け_2027実績,$G230,5,($H230-$G230+1),1),OFFSET(貼付け_2027実績,$G230,SUM(COLUMN()-COLUMN(貼付け_2027実績)),($H230-$G230+1),1))*0.0258</f>
        <v>0</v>
      </c>
      <c r="CF230" s="225"/>
      <c r="CG230" s="225"/>
      <c r="CH230" s="225"/>
      <c r="CI230" s="224">
        <f ca="1">SUMPRODUCT(OFFSET(貼付け_2027実績,$G230,5,($H230-$G230+1),1),OFFSET(貼付け_2027実績,$G230,SUM(COLUMN()-COLUMN(貼付け_2027実績)),($H230-$G230+1),1))*0.0258</f>
        <v>0</v>
      </c>
      <c r="CJ230" s="225"/>
      <c r="CK230" s="225"/>
      <c r="CL230" s="225"/>
      <c r="CM230" s="224">
        <f ca="1">SUMPRODUCT(OFFSET(貼付け_2027実績,$G230,5,($H230-$G230+1),1),OFFSET(貼付け_2027実績,$G230,SUM(COLUMN()-COLUMN(貼付け_2027実績)),($H230-$G230+1),1))*0.0258</f>
        <v>0</v>
      </c>
      <c r="CN230" s="225"/>
      <c r="CO230" s="225"/>
      <c r="CP230" s="225"/>
      <c r="CQ230" s="224">
        <f ca="1">SUMPRODUCT(OFFSET(貼付け_2027実績,$G230,5,($H230-$G230+1),1),OFFSET(貼付け_2027実績,$G230,SUM(COLUMN()-COLUMN(貼付け_2027実績)),($H230-$G230+1),1))*0.0258</f>
        <v>0</v>
      </c>
      <c r="CR230" s="225"/>
      <c r="CS230" s="225"/>
      <c r="CT230" s="225"/>
      <c r="CU230" s="224">
        <f ca="1">SUMPRODUCT(OFFSET(貼付け_2027実績,$G230,5,($H230-$G230+1),1),OFFSET(貼付け_2027実績,$G230,SUM(COLUMN()-COLUMN(貼付け_2027実績)),($H230-$G230+1),1))*0.0258</f>
        <v>0</v>
      </c>
      <c r="CV230" s="225"/>
      <c r="CW230" s="225"/>
      <c r="CX230" s="225"/>
      <c r="CY230" s="224">
        <f ca="1">SUMPRODUCT(OFFSET(貼付け_2027実績,$G230,5,($H230-$G230+1),1),OFFSET(貼付け_2027実績,$G230,SUM(COLUMN()-COLUMN(貼付け_2027実績)),($H230-$G230+1),1))*0.0258</f>
        <v>0</v>
      </c>
      <c r="CZ230" s="225"/>
      <c r="DA230" s="225"/>
      <c r="DB230" s="225"/>
      <c r="DC230" s="224">
        <f ca="1">SUMPRODUCT(OFFSET(貼付け_2027実績,$G230,5,($H230-$G230+1),1),OFFSET(貼付け_2027実績,$G230,SUM(COLUMN()-COLUMN(貼付け_2027実績)),($H230-$G230+1),1))*0.0258</f>
        <v>0</v>
      </c>
      <c r="DD230" s="225"/>
      <c r="DE230" s="225"/>
      <c r="DF230" s="225"/>
      <c r="DG230" s="224">
        <f ca="1">SUMPRODUCT(OFFSET(貼付け_2027実績,$G230,5,($H230-$G230+1),1),OFFSET(貼付け_2027実績,$G230,SUM(COLUMN()-COLUMN(貼付け_2027実績)),($H230-$G230+1),1))*0.0258</f>
        <v>0</v>
      </c>
      <c r="DH230" s="225"/>
      <c r="DI230" s="225"/>
      <c r="DJ230" s="225"/>
      <c r="DK230" s="224">
        <f ca="1">SUMPRODUCT(OFFSET(貼付け_2027実績,$G230,5,($H230-$G230+1),1),OFFSET(貼付け_2027実績,$G230,SUM(COLUMN()-COLUMN(貼付け_2027実績)),($H230-$G230+1),1))*0.0258</f>
        <v>0</v>
      </c>
      <c r="DL230" s="225"/>
      <c r="DM230" s="225"/>
      <c r="DN230" s="225"/>
      <c r="DO230" s="224">
        <f ca="1">SUMPRODUCT(OFFSET(貼付け_2027実績,$G230,5,($H230-$G230+1),1),OFFSET(貼付け_2027実績,$G230,SUM(COLUMN()-COLUMN(貼付け_2027実績)),($H230-$G230+1),1))*0.0258</f>
        <v>0</v>
      </c>
      <c r="DP230" s="225"/>
      <c r="DQ230" s="225"/>
      <c r="DR230" s="225"/>
      <c r="DS230" s="224">
        <f ca="1">SUMPRODUCT(OFFSET(貼付け_2027実績,$G230,5,($H230-$G230+1),1),OFFSET(貼付け_2027実績,$G230,SUM(COLUMN()-COLUMN(貼付け_2027実績)),($H230-$G230+1),1))*0.0258</f>
        <v>0</v>
      </c>
      <c r="DT230" s="225"/>
      <c r="DU230" s="225"/>
      <c r="DV230" s="225"/>
      <c r="DW230" s="224">
        <f ca="1">SUMPRODUCT(OFFSET(貼付け_2027実績,$G230,5,($H230-$G230+1),1),OFFSET(貼付け_2027実績,$G230,SUM(COLUMN()-COLUMN(貼付け_2027実績)),($H230-$G230+1),1))*0.0258</f>
        <v>0</v>
      </c>
      <c r="DX230" s="225"/>
      <c r="DY230" s="225"/>
      <c r="DZ230" s="225"/>
      <c r="EA230" s="224">
        <f ca="1">SUMPRODUCT(OFFSET(貼付け_2027実績,$G230,5,($H230-$G230+1),1),OFFSET(貼付け_2027実績,$G230,SUM(COLUMN()-COLUMN(貼付け_2027実績)),($H230-$G230+1),1))*0.0258</f>
        <v>0</v>
      </c>
      <c r="EB230" s="225"/>
      <c r="EC230" s="225"/>
      <c r="ED230" s="225"/>
      <c r="EE230" s="224">
        <f ca="1">SUMPRODUCT(OFFSET(貼付け_2027実績,$G230,5,($H230-$G230+1),1),OFFSET(貼付け_2027実績,$G230,SUM(COLUMN()-COLUMN(貼付け_2027実績)),($H230-$G230+1),1))*0.0258</f>
        <v>0</v>
      </c>
      <c r="EF230" s="225"/>
      <c r="EG230" s="225"/>
      <c r="EH230" s="225"/>
      <c r="EI230" s="224">
        <f ca="1">SUMPRODUCT(OFFSET(貼付け_2027実績,$G230,5,($H230-$G230+1),1),OFFSET(貼付け_2027実績,$G230,SUM(COLUMN()-COLUMN(貼付け_2027実績)),($H230-$G230+1),1))*0.0258</f>
        <v>0</v>
      </c>
      <c r="EJ230" s="225"/>
      <c r="EK230" s="225"/>
      <c r="EL230" s="225"/>
      <c r="EM230" s="224">
        <f ca="1">SUMPRODUCT(OFFSET(貼付け_2027実績,$G230,5,($H230-$G230+1),1),OFFSET(貼付け_2027実績,$G230,SUM(COLUMN()-COLUMN(貼付け_2027実績)),($H230-$G230+1),1))*0.0258</f>
        <v>0</v>
      </c>
      <c r="EN230" s="225"/>
      <c r="EO230" s="225"/>
      <c r="EP230" s="225"/>
      <c r="EQ230" s="224">
        <f ca="1">SUMPRODUCT(OFFSET(貼付け_2027実績,$G230,5,($H230-$G230+1),1),OFFSET(貼付け_2027実績,$G230,SUM(COLUMN()-COLUMN(貼付け_2027実績)),($H230-$G230+1),1))*0.0258</f>
        <v>0</v>
      </c>
      <c r="ER230" s="225"/>
      <c r="ES230" s="225"/>
      <c r="ET230" s="225"/>
      <c r="EU230" s="224">
        <f ca="1">SUMPRODUCT(OFFSET(貼付け_2027実績,$G230,5,($H230-$G230+1),1),OFFSET(貼付け_2027実績,$G230,SUM(COLUMN()-COLUMN(貼付け_2027実績)),($H230-$G230+1),1))*0.0258</f>
        <v>0</v>
      </c>
      <c r="EV230" s="225"/>
      <c r="EW230" s="225"/>
      <c r="EX230" s="225"/>
      <c r="EY230" s="224">
        <f ca="1">SUMPRODUCT(OFFSET(貼付け_2027実績,$G230,5,($H230-$G230+1),1),OFFSET(貼付け_2027実績,$G230,SUM(COLUMN()-COLUMN(貼付け_2027実績)),($H230-$G230+1),1))*0.0258</f>
        <v>0</v>
      </c>
      <c r="EZ230" s="225"/>
      <c r="FA230" s="225"/>
      <c r="FB230" s="225"/>
      <c r="FC230" s="224">
        <f ca="1">SUMPRODUCT(OFFSET(貼付け_2027実績,$G230,5,($H230-$G230+1),1),OFFSET(貼付け_2027実績,$G230,SUM(COLUMN()-COLUMN(貼付け_2027実績)),($H230-$G230+1),1))*0.0258</f>
        <v>0</v>
      </c>
      <c r="FD230" s="225"/>
      <c r="FE230" s="225"/>
      <c r="FF230" s="225"/>
      <c r="FG230" s="224">
        <f ca="1">SUMPRODUCT(OFFSET(貼付け_2027実績,$G230,5,($H230-$G230+1),1),OFFSET(貼付け_2027実績,$G230,SUM(COLUMN()-COLUMN(貼付け_2027実績)),($H230-$G230+1),1))*0.0258</f>
        <v>0</v>
      </c>
      <c r="FH230" s="225"/>
      <c r="FI230" s="225"/>
      <c r="FJ230" s="225"/>
      <c r="FK230" s="224">
        <f ca="1">SUMPRODUCT(OFFSET(貼付け_2027実績,$G230,5,($H230-$G230+1),1),OFFSET(貼付け_2027実績,$G230,SUM(COLUMN()-COLUMN(貼付け_2027実績)),($H230-$G230+1),1))*0.0258</f>
        <v>0</v>
      </c>
      <c r="FL230" s="225"/>
      <c r="FM230" s="225"/>
      <c r="FN230" s="225"/>
      <c r="FO230" s="224">
        <f ca="1">SUMPRODUCT(OFFSET(貼付け_2027実績,$G230,5,($H230-$G230+1),1),OFFSET(貼付け_2027実績,$G230,SUM(COLUMN()-COLUMN(貼付け_2027実績)),($H230-$G230+1),1))*0.0258</f>
        <v>0</v>
      </c>
      <c r="FP230" s="225"/>
      <c r="FQ230" s="225"/>
      <c r="FR230" s="225"/>
      <c r="FS230" s="224">
        <f ca="1">SUMPRODUCT(OFFSET(貼付け_2027実績,$G230,5,($H230-$G230+1),1),OFFSET(貼付け_2027実績,$G230,SUM(COLUMN()-COLUMN(貼付け_2027実績)),($H230-$G230+1),1))*0.0258</f>
        <v>0</v>
      </c>
      <c r="FT230" s="225"/>
      <c r="FU230" s="225"/>
      <c r="FV230" s="225"/>
      <c r="FW230" s="224">
        <f ca="1">SUMPRODUCT(OFFSET(貼付け_2027実績,$G230,5,($H230-$G230+1),1),OFFSET(貼付け_2027実績,$G230,SUM(COLUMN()-COLUMN(貼付け_2027実績)),($H230-$G230+1),1))*0.0258</f>
        <v>0</v>
      </c>
      <c r="FX230" s="225"/>
      <c r="FY230" s="225"/>
      <c r="FZ230" s="225"/>
      <c r="GA230" s="224">
        <f ca="1">SUMPRODUCT(OFFSET(貼付け_2027実績,$G230,5,($H230-$G230+1),1),OFFSET(貼付け_2027実績,$G230,SUM(COLUMN()-COLUMN(貼付け_2027実績)),($H230-$G230+1),1))*0.0258</f>
        <v>0</v>
      </c>
      <c r="GB230" s="225"/>
      <c r="GC230" s="225"/>
      <c r="GD230" s="225"/>
      <c r="GE230" s="224">
        <f ca="1">SUMPRODUCT(OFFSET(貼付け_2027実績,$G230,5,($H230-$G230+1),1),OFFSET(貼付け_2027実績,$G230,SUM(COLUMN()-COLUMN(貼付け_2027実績)),($H230-$G230+1),1))*0.0258</f>
        <v>0</v>
      </c>
      <c r="GF230" s="225"/>
      <c r="GG230" s="225"/>
      <c r="GH230" s="225"/>
      <c r="GI230" s="224">
        <f ca="1">SUMPRODUCT(OFFSET(貼付け_2027実績,$G230,5,($H230-$G230+1),1),OFFSET(貼付け_2027実績,$G230,SUM(COLUMN()-COLUMN(貼付け_2027実績)),($H230-$G230+1),1))*0.0258</f>
        <v>0</v>
      </c>
      <c r="GJ230" s="225"/>
      <c r="GK230" s="225"/>
      <c r="GL230" s="225"/>
      <c r="GM230" s="224">
        <f ca="1">SUMPRODUCT(OFFSET(貼付け_2027実績,$G230,5,($H230-$G230+1),1),OFFSET(貼付け_2027実績,$G230,SUM(COLUMN()-COLUMN(貼付け_2027実績)),($H230-$G230+1),1))*0.0258</f>
        <v>0</v>
      </c>
      <c r="GN230" s="225"/>
      <c r="GO230" s="225"/>
      <c r="GP230" s="225"/>
      <c r="GQ230" s="224">
        <f ca="1">SUMPRODUCT(OFFSET(貼付け_2027実績,$G230,5,($H230-$G230+1),1),OFFSET(貼付け_2027実績,$G230,SUM(COLUMN()-COLUMN(貼付け_2027実績)),($H230-$G230+1),1))*0.0258</f>
        <v>0</v>
      </c>
      <c r="GR230" s="225"/>
      <c r="GS230" s="225"/>
      <c r="GT230" s="225"/>
      <c r="GU230" s="224">
        <f ca="1">SUMPRODUCT(OFFSET(貼付け_2027実績,$G230,5,($H230-$G230+1),1),OFFSET(貼付け_2027実績,$G230,SUM(COLUMN()-COLUMN(貼付け_2027実績)),($H230-$G230+1),1))*0.0258</f>
        <v>0</v>
      </c>
      <c r="GV230" s="225"/>
      <c r="GW230" s="225"/>
      <c r="GX230" s="225"/>
      <c r="GY230" s="224">
        <f ca="1">SUMPRODUCT(OFFSET(貼付け_2027実績,$G230,5,($H230-$G230+1),1),OFFSET(貼付け_2027実績,$G230,SUM(COLUMN()-COLUMN(貼付け_2027実績)),($H230-$G230+1),1))*0.0258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OFFSET(貼付け_2027実績,$G232,SUM(COLUMN()-COLUMN(貼付け_2027実績))-1)</f>
        <v>0</v>
      </c>
      <c r="M232" s="224" t="str">
        <f ca="1">IFERROR(K232/L232,"")</f>
        <v/>
      </c>
      <c r="N232" s="226"/>
      <c r="O232" s="224">
        <f ca="1">O231-Q229-R229</f>
        <v>0</v>
      </c>
      <c r="P232" s="224">
        <f ca="1">OFFSET(貼付け_2027実績,$G232,SUM(COLUMN()-COLUMN(貼付け_2027実績))-1)</f>
        <v>0</v>
      </c>
      <c r="Q232" s="224" t="str">
        <f ca="1">IFERROR(O232/P232,"")</f>
        <v/>
      </c>
      <c r="R232" s="226"/>
      <c r="S232" s="224">
        <f ca="1">S231-U229-V229</f>
        <v>0</v>
      </c>
      <c r="T232" s="224">
        <f ca="1">OFFSET(貼付け_2027実績,$G232,SUM(COLUMN()-COLUMN(貼付け_2027実績))-1)</f>
        <v>0</v>
      </c>
      <c r="U232" s="224" t="str">
        <f ca="1">IFERROR(S232/T232,"")</f>
        <v/>
      </c>
      <c r="V232" s="226"/>
      <c r="W232" s="224">
        <f ca="1">W231-Y229-Z229</f>
        <v>0</v>
      </c>
      <c r="X232" s="224">
        <f ca="1">OFFSET(貼付け_2027実績,$G232,SUM(COLUMN()-COLUMN(貼付け_2027実績))-1)</f>
        <v>0</v>
      </c>
      <c r="Y232" s="224" t="str">
        <f ca="1">IFERROR(W232/X232,"")</f>
        <v/>
      </c>
      <c r="Z232" s="226"/>
      <c r="AA232" s="224">
        <f ca="1">AA231-AC229-AD229</f>
        <v>0</v>
      </c>
      <c r="AB232" s="224">
        <f ca="1">OFFSET(貼付け_2027実績,$G232,SUM(COLUMN()-COLUMN(貼付け_2027実績))-1)</f>
        <v>0</v>
      </c>
      <c r="AC232" s="224" t="str">
        <f ca="1">IFERROR(AA232/AB232,"")</f>
        <v/>
      </c>
      <c r="AD232" s="226"/>
      <c r="AE232" s="224">
        <f ca="1">AE231-AG229-AH229</f>
        <v>0</v>
      </c>
      <c r="AF232" s="224">
        <f ca="1">OFFSET(貼付け_2027実績,$G232,SUM(COLUMN()-COLUMN(貼付け_2027実績))-1)</f>
        <v>0</v>
      </c>
      <c r="AG232" s="224" t="str">
        <f ca="1">IFERROR(AE232/AF232,"")</f>
        <v/>
      </c>
      <c r="AH232" s="226"/>
      <c r="AI232" s="224">
        <f ca="1">AI231-AK229-AL229</f>
        <v>0</v>
      </c>
      <c r="AJ232" s="224">
        <f ca="1">OFFSET(貼付け_2027実績,$G232,SUM(COLUMN()-COLUMN(貼付け_2027実績))-1)</f>
        <v>0</v>
      </c>
      <c r="AK232" s="224" t="str">
        <f ca="1">IFERROR(AI232/AJ232,"")</f>
        <v/>
      </c>
      <c r="AL232" s="226"/>
      <c r="AM232" s="224">
        <f ca="1">AM231-AO229-AP229</f>
        <v>0</v>
      </c>
      <c r="AN232" s="224">
        <f ca="1">OFFSET(貼付け_2027実績,$G232,SUM(COLUMN()-COLUMN(貼付け_2027実績))-1)</f>
        <v>0</v>
      </c>
      <c r="AO232" s="224" t="str">
        <f ca="1">IFERROR(AM232/AN232,"")</f>
        <v/>
      </c>
      <c r="AP232" s="226"/>
      <c r="AQ232" s="224">
        <f ca="1">AQ231-AS229-AT229</f>
        <v>0</v>
      </c>
      <c r="AR232" s="224">
        <f ca="1">OFFSET(貼付け_2027実績,$G232,SUM(COLUMN()-COLUMN(貼付け_2027実績))-1)</f>
        <v>0</v>
      </c>
      <c r="AS232" s="224" t="str">
        <f ca="1">IFERROR(AQ232/AR232,"")</f>
        <v/>
      </c>
      <c r="AT232" s="226"/>
      <c r="AU232" s="224">
        <f ca="1">AU231-AW229-AX229</f>
        <v>0</v>
      </c>
      <c r="AV232" s="224">
        <f ca="1">OFFSET(貼付け_2027実績,$G232,SUM(COLUMN()-COLUMN(貼付け_2027実績))-1)</f>
        <v>0</v>
      </c>
      <c r="AW232" s="224" t="str">
        <f ca="1">IFERROR(AU232/AV232,"")</f>
        <v/>
      </c>
      <c r="AX232" s="226"/>
      <c r="AY232" s="224">
        <f ca="1">AY231-BA229-BB229</f>
        <v>0</v>
      </c>
      <c r="AZ232" s="224">
        <f ca="1">OFFSET(貼付け_2027実績,$G232,SUM(COLUMN()-COLUMN(貼付け_2027実績))-1)</f>
        <v>0</v>
      </c>
      <c r="BA232" s="224" t="str">
        <f ca="1">IFERROR(AY232/AZ232,"")</f>
        <v/>
      </c>
      <c r="BB232" s="226"/>
      <c r="BC232" s="224">
        <f ca="1">BC231-BE229-BF229</f>
        <v>0</v>
      </c>
      <c r="BD232" s="224">
        <f ca="1">OFFSET(貼付け_2027実績,$G232,SUM(COLUMN()-COLUMN(貼付け_2027実績))-1)</f>
        <v>0</v>
      </c>
      <c r="BE232" s="224" t="str">
        <f ca="1">IFERROR(BC232/BD232,"")</f>
        <v/>
      </c>
      <c r="BF232" s="226"/>
      <c r="BG232" s="224">
        <f ca="1">BG231-BI229-BJ229</f>
        <v>0</v>
      </c>
      <c r="BH232" s="224">
        <f ca="1">OFFSET(貼付け_2027実績,$G232,SUM(COLUMN()-COLUMN(貼付け_2027実績))-1)</f>
        <v>0</v>
      </c>
      <c r="BI232" s="224" t="str">
        <f ca="1">IFERROR(BG232/BH232,"")</f>
        <v/>
      </c>
      <c r="BJ232" s="226"/>
      <c r="BK232" s="224">
        <f ca="1">BK231-BM229-BN229</f>
        <v>0</v>
      </c>
      <c r="BL232" s="224">
        <f ca="1">OFFSET(貼付け_2027実績,$G232,SUM(COLUMN()-COLUMN(貼付け_2027実績))-1)</f>
        <v>0</v>
      </c>
      <c r="BM232" s="224" t="str">
        <f ca="1">IFERROR(BK232/BL232,"")</f>
        <v/>
      </c>
      <c r="BN232" s="226"/>
      <c r="BO232" s="224">
        <f ca="1">BO231-BQ229-BR229</f>
        <v>0</v>
      </c>
      <c r="BP232" s="224">
        <f ca="1">OFFSET(貼付け_2027実績,$G232,SUM(COLUMN()-COLUMN(貼付け_2027実績))-1)</f>
        <v>0</v>
      </c>
      <c r="BQ232" s="224" t="str">
        <f ca="1">IFERROR(BO232/BP232,"")</f>
        <v/>
      </c>
      <c r="BR232" s="226"/>
      <c r="BS232" s="224">
        <f ca="1">BS231-BU229-BV229</f>
        <v>0</v>
      </c>
      <c r="BT232" s="224">
        <f ca="1">OFFSET(貼付け_2027実績,$G232,SUM(COLUMN()-COLUMN(貼付け_2027実績))-1)</f>
        <v>0</v>
      </c>
      <c r="BU232" s="224" t="str">
        <f ca="1">IFERROR(BS232/BT232,"")</f>
        <v/>
      </c>
      <c r="BV232" s="226"/>
      <c r="BW232" s="224">
        <f ca="1">BW231-BY229-BZ229</f>
        <v>0</v>
      </c>
      <c r="BX232" s="224">
        <f ca="1">OFFSET(貼付け_2027実績,$G232,SUM(COLUMN()-COLUMN(貼付け_2027実績))-1)</f>
        <v>0</v>
      </c>
      <c r="BY232" s="224" t="str">
        <f ca="1">IFERROR(BW232/BX232,"")</f>
        <v/>
      </c>
      <c r="BZ232" s="226"/>
      <c r="CA232" s="224">
        <f ca="1">CA231-CC229-CD229</f>
        <v>0</v>
      </c>
      <c r="CB232" s="224">
        <f ca="1">OFFSET(貼付け_2027実績,$G232,SUM(COLUMN()-COLUMN(貼付け_2027実績))-1)</f>
        <v>0</v>
      </c>
      <c r="CC232" s="224" t="str">
        <f ca="1">IFERROR(CA232/CB232,"")</f>
        <v/>
      </c>
      <c r="CD232" s="226"/>
      <c r="CE232" s="224">
        <f ca="1">CE231-CG229-CH229</f>
        <v>0</v>
      </c>
      <c r="CF232" s="224">
        <f ca="1">OFFSET(貼付け_2027実績,$G232,SUM(COLUMN()-COLUMN(貼付け_2027実績))-1)</f>
        <v>0</v>
      </c>
      <c r="CG232" s="224" t="str">
        <f ca="1">IFERROR(CE232/CF232,"")</f>
        <v/>
      </c>
      <c r="CH232" s="226"/>
      <c r="CI232" s="224">
        <f ca="1">CI231-CK229-CL229</f>
        <v>0</v>
      </c>
      <c r="CJ232" s="224">
        <f ca="1">OFFSET(貼付け_2027実績,$G232,SUM(COLUMN()-COLUMN(貼付け_2027実績))-1)</f>
        <v>0</v>
      </c>
      <c r="CK232" s="224" t="str">
        <f ca="1">IFERROR(CI232/CJ232,"")</f>
        <v/>
      </c>
      <c r="CL232" s="226"/>
      <c r="CM232" s="224">
        <f ca="1">CM231-CO229-CP229</f>
        <v>0</v>
      </c>
      <c r="CN232" s="224">
        <f ca="1">OFFSET(貼付け_2027実績,$G232,SUM(COLUMN()-COLUMN(貼付け_2027実績))-1)</f>
        <v>0</v>
      </c>
      <c r="CO232" s="224" t="str">
        <f ca="1">IFERROR(CM232/CN232,"")</f>
        <v/>
      </c>
      <c r="CP232" s="226"/>
      <c r="CQ232" s="224">
        <f ca="1">CQ231-CS229-CT229</f>
        <v>0</v>
      </c>
      <c r="CR232" s="224">
        <f ca="1">OFFSET(貼付け_2027実績,$G232,SUM(COLUMN()-COLUMN(貼付け_2027実績))-1)</f>
        <v>0</v>
      </c>
      <c r="CS232" s="224" t="str">
        <f ca="1">IFERROR(CQ232/CR232,"")</f>
        <v/>
      </c>
      <c r="CT232" s="226"/>
      <c r="CU232" s="224">
        <f ca="1">CU231-CW229-CX229</f>
        <v>0</v>
      </c>
      <c r="CV232" s="224">
        <f ca="1">OFFSET(貼付け_2027実績,$G232,SUM(COLUMN()-COLUMN(貼付け_2027実績))-1)</f>
        <v>0</v>
      </c>
      <c r="CW232" s="224" t="str">
        <f ca="1">IFERROR(CU232/CV232,"")</f>
        <v/>
      </c>
      <c r="CX232" s="226"/>
      <c r="CY232" s="224">
        <f ca="1">CY231-DA229-DB229</f>
        <v>0</v>
      </c>
      <c r="CZ232" s="224">
        <f ca="1">OFFSET(貼付け_2027実績,$G232,SUM(COLUMN()-COLUMN(貼付け_2027実績))-1)</f>
        <v>0</v>
      </c>
      <c r="DA232" s="224" t="str">
        <f ca="1">IFERROR(CY232/CZ232,"")</f>
        <v/>
      </c>
      <c r="DB232" s="226"/>
      <c r="DC232" s="224">
        <f ca="1">DC231-DE229-DF229</f>
        <v>0</v>
      </c>
      <c r="DD232" s="224">
        <f ca="1">OFFSET(貼付け_2027実績,$G232,SUM(COLUMN()-COLUMN(貼付け_2027実績))-1)</f>
        <v>0</v>
      </c>
      <c r="DE232" s="224" t="str">
        <f ca="1">IFERROR(DC232/DD232,"")</f>
        <v/>
      </c>
      <c r="DF232" s="226"/>
      <c r="DG232" s="224">
        <f ca="1">DG231-DI229-DJ229</f>
        <v>0</v>
      </c>
      <c r="DH232" s="224">
        <f ca="1">OFFSET(貼付け_2027実績,$G232,SUM(COLUMN()-COLUMN(貼付け_2027実績))-1)</f>
        <v>0</v>
      </c>
      <c r="DI232" s="224" t="str">
        <f ca="1">IFERROR(DG232/DH232,"")</f>
        <v/>
      </c>
      <c r="DJ232" s="226"/>
      <c r="DK232" s="224">
        <f ca="1">DK231-DM229-DN229</f>
        <v>0</v>
      </c>
      <c r="DL232" s="224">
        <f ca="1">OFFSET(貼付け_2027実績,$G232,SUM(COLUMN()-COLUMN(貼付け_2027実績))-1)</f>
        <v>0</v>
      </c>
      <c r="DM232" s="224" t="str">
        <f ca="1">IFERROR(DK232/DL232,"")</f>
        <v/>
      </c>
      <c r="DN232" s="226"/>
      <c r="DO232" s="224">
        <f ca="1">DO231-DQ229-DR229</f>
        <v>0</v>
      </c>
      <c r="DP232" s="224">
        <f ca="1">OFFSET(貼付け_2027実績,$G232,SUM(COLUMN()-COLUMN(貼付け_2027実績))-1)</f>
        <v>0</v>
      </c>
      <c r="DQ232" s="224" t="str">
        <f ca="1">IFERROR(DO232/DP232,"")</f>
        <v/>
      </c>
      <c r="DR232" s="226"/>
      <c r="DS232" s="224">
        <f ca="1">DS231-DU229-DV229</f>
        <v>0</v>
      </c>
      <c r="DT232" s="224">
        <f ca="1">OFFSET(貼付け_2027実績,$G232,SUM(COLUMN()-COLUMN(貼付け_2027実績))-1)</f>
        <v>0</v>
      </c>
      <c r="DU232" s="224" t="str">
        <f ca="1">IFERROR(DS232/DT232,"")</f>
        <v/>
      </c>
      <c r="DV232" s="226"/>
      <c r="DW232" s="224">
        <f ca="1">DW231-DY229-DZ229</f>
        <v>0</v>
      </c>
      <c r="DX232" s="224">
        <f ca="1">OFFSET(貼付け_2027実績,$G232,SUM(COLUMN()-COLUMN(貼付け_2027実績))-1)</f>
        <v>0</v>
      </c>
      <c r="DY232" s="224" t="str">
        <f ca="1">IFERROR(DW232/DX232,"")</f>
        <v/>
      </c>
      <c r="DZ232" s="226"/>
      <c r="EA232" s="224">
        <f ca="1">EA231-EC229-ED229</f>
        <v>0</v>
      </c>
      <c r="EB232" s="224">
        <f ca="1">OFFSET(貼付け_2027実績,$G232,SUM(COLUMN()-COLUMN(貼付け_2027実績))-1)</f>
        <v>0</v>
      </c>
      <c r="EC232" s="224" t="str">
        <f ca="1">IFERROR(EA232/EB232,"")</f>
        <v/>
      </c>
      <c r="ED232" s="226"/>
      <c r="EE232" s="224">
        <f ca="1">EE231-EG229-EH229</f>
        <v>0</v>
      </c>
      <c r="EF232" s="224">
        <f ca="1">OFFSET(貼付け_2027実績,$G232,SUM(COLUMN()-COLUMN(貼付け_2027実績))-1)</f>
        <v>0</v>
      </c>
      <c r="EG232" s="224" t="str">
        <f ca="1">IFERROR(EE232/EF232,"")</f>
        <v/>
      </c>
      <c r="EH232" s="226"/>
      <c r="EI232" s="224">
        <f ca="1">EI231-EK229-EL229</f>
        <v>0</v>
      </c>
      <c r="EJ232" s="224">
        <f ca="1">OFFSET(貼付け_2027実績,$G232,SUM(COLUMN()-COLUMN(貼付け_2027実績))-1)</f>
        <v>0</v>
      </c>
      <c r="EK232" s="224" t="str">
        <f ca="1">IFERROR(EI232/EJ232,"")</f>
        <v/>
      </c>
      <c r="EL232" s="226"/>
      <c r="EM232" s="224">
        <f ca="1">EM231-EO229-EP229</f>
        <v>0</v>
      </c>
      <c r="EN232" s="224">
        <f ca="1">OFFSET(貼付け_2027実績,$G232,SUM(COLUMN()-COLUMN(貼付け_2027実績))-1)</f>
        <v>0</v>
      </c>
      <c r="EO232" s="224" t="str">
        <f ca="1">IFERROR(EM232/EN232,"")</f>
        <v/>
      </c>
      <c r="EP232" s="226"/>
      <c r="EQ232" s="224">
        <f ca="1">EQ231-ES229-ET229</f>
        <v>0</v>
      </c>
      <c r="ER232" s="224">
        <f ca="1">OFFSET(貼付け_2027実績,$G232,SUM(COLUMN()-COLUMN(貼付け_2027実績))-1)</f>
        <v>0</v>
      </c>
      <c r="ES232" s="224" t="str">
        <f ca="1">IFERROR(EQ232/ER232,"")</f>
        <v/>
      </c>
      <c r="ET232" s="226"/>
      <c r="EU232" s="224">
        <f ca="1">EU231-EW229-EX229</f>
        <v>0</v>
      </c>
      <c r="EV232" s="224">
        <f ca="1">OFFSET(貼付け_2027実績,$G232,SUM(COLUMN()-COLUMN(貼付け_2027実績))-1)</f>
        <v>0</v>
      </c>
      <c r="EW232" s="224" t="str">
        <f ca="1">IFERROR(EU232/EV232,"")</f>
        <v/>
      </c>
      <c r="EX232" s="226"/>
      <c r="EY232" s="224">
        <f ca="1">EY231-FA229-FB229</f>
        <v>0</v>
      </c>
      <c r="EZ232" s="224">
        <f ca="1">OFFSET(貼付け_2027実績,$G232,SUM(COLUMN()-COLUMN(貼付け_2027実績))-1)</f>
        <v>0</v>
      </c>
      <c r="FA232" s="224" t="str">
        <f ca="1">IFERROR(EY232/EZ232,"")</f>
        <v/>
      </c>
      <c r="FB232" s="226"/>
      <c r="FC232" s="224">
        <f ca="1">FC231-FE229-FF229</f>
        <v>0</v>
      </c>
      <c r="FD232" s="224">
        <f ca="1">OFFSET(貼付け_2027実績,$G232,SUM(COLUMN()-COLUMN(貼付け_2027実績))-1)</f>
        <v>0</v>
      </c>
      <c r="FE232" s="224" t="str">
        <f ca="1">IFERROR(FC232/FD232,"")</f>
        <v/>
      </c>
      <c r="FF232" s="226"/>
      <c r="FG232" s="224">
        <f ca="1">FG231-FI229-FJ229</f>
        <v>0</v>
      </c>
      <c r="FH232" s="224">
        <f ca="1">OFFSET(貼付け_2027実績,$G232,SUM(COLUMN()-COLUMN(貼付け_2027実績))-1)</f>
        <v>0</v>
      </c>
      <c r="FI232" s="224" t="str">
        <f ca="1">IFERROR(FG232/FH232,"")</f>
        <v/>
      </c>
      <c r="FJ232" s="226"/>
      <c r="FK232" s="224">
        <f ca="1">FK231-FM229-FN229</f>
        <v>0</v>
      </c>
      <c r="FL232" s="224">
        <f ca="1">OFFSET(貼付け_2027実績,$G232,SUM(COLUMN()-COLUMN(貼付け_2027実績))-1)</f>
        <v>0</v>
      </c>
      <c r="FM232" s="224" t="str">
        <f ca="1">IFERROR(FK232/FL232,"")</f>
        <v/>
      </c>
      <c r="FN232" s="226"/>
      <c r="FO232" s="224">
        <f ca="1">FO231-FQ229-FR229</f>
        <v>0</v>
      </c>
      <c r="FP232" s="224">
        <f ca="1">OFFSET(貼付け_2027実績,$G232,SUM(COLUMN()-COLUMN(貼付け_2027実績))-1)</f>
        <v>0</v>
      </c>
      <c r="FQ232" s="224" t="str">
        <f ca="1">IFERROR(FO232/FP232,"")</f>
        <v/>
      </c>
      <c r="FR232" s="226"/>
      <c r="FS232" s="224">
        <f ca="1">FS231-FU229-FV229</f>
        <v>0</v>
      </c>
      <c r="FT232" s="224">
        <f ca="1">OFFSET(貼付け_2027実績,$G232,SUM(COLUMN()-COLUMN(貼付け_2027実績))-1)</f>
        <v>0</v>
      </c>
      <c r="FU232" s="224" t="str">
        <f ca="1">IFERROR(FS232/FT232,"")</f>
        <v/>
      </c>
      <c r="FV232" s="226"/>
      <c r="FW232" s="224">
        <f ca="1">FW231-FY229-FZ229</f>
        <v>0</v>
      </c>
      <c r="FX232" s="224">
        <f ca="1">OFFSET(貼付け_2027実績,$G232,SUM(COLUMN()-COLUMN(貼付け_2027実績))-1)</f>
        <v>0</v>
      </c>
      <c r="FY232" s="224" t="str">
        <f ca="1">IFERROR(FW232/FX232,"")</f>
        <v/>
      </c>
      <c r="FZ232" s="226"/>
      <c r="GA232" s="224">
        <f ca="1">GA231-GC229-GD229</f>
        <v>0</v>
      </c>
      <c r="GB232" s="224">
        <f ca="1">OFFSET(貼付け_2027実績,$G232,SUM(COLUMN()-COLUMN(貼付け_2027実績))-1)</f>
        <v>0</v>
      </c>
      <c r="GC232" s="224" t="str">
        <f ca="1">IFERROR(GA232/GB232,"")</f>
        <v/>
      </c>
      <c r="GD232" s="226"/>
      <c r="GE232" s="224">
        <f ca="1">GE231-GG229-GH229</f>
        <v>0</v>
      </c>
      <c r="GF232" s="224">
        <f ca="1">OFFSET(貼付け_2027実績,$G232,SUM(COLUMN()-COLUMN(貼付け_2027実績))-1)</f>
        <v>0</v>
      </c>
      <c r="GG232" s="224" t="str">
        <f ca="1">IFERROR(GE232/GF232,"")</f>
        <v/>
      </c>
      <c r="GH232" s="226"/>
      <c r="GI232" s="224">
        <f ca="1">GI231-GK229-GL229</f>
        <v>0</v>
      </c>
      <c r="GJ232" s="224">
        <f ca="1">OFFSET(貼付け_2027実績,$G232,SUM(COLUMN()-COLUMN(貼付け_2027実績))-1)</f>
        <v>0</v>
      </c>
      <c r="GK232" s="224" t="str">
        <f ca="1">IFERROR(GI232/GJ232,"")</f>
        <v/>
      </c>
      <c r="GL232" s="226"/>
      <c r="GM232" s="224">
        <f ca="1">GM231-GO229-GP229</f>
        <v>0</v>
      </c>
      <c r="GN232" s="224">
        <f ca="1">OFFSET(貼付け_2027実績,$G232,SUM(COLUMN()-COLUMN(貼付け_2027実績))-1)</f>
        <v>0</v>
      </c>
      <c r="GO232" s="224" t="str">
        <f ca="1">IFERROR(GM232/GN232,"")</f>
        <v/>
      </c>
      <c r="GP232" s="226"/>
      <c r="GQ232" s="224">
        <f ca="1">GQ231-GS229-GT229</f>
        <v>0</v>
      </c>
      <c r="GR232" s="224">
        <f ca="1">OFFSET(貼付け_2027実績,$G232,SUM(COLUMN()-COLUMN(貼付け_2027実績))-1)</f>
        <v>0</v>
      </c>
      <c r="GS232" s="224" t="str">
        <f ca="1">IFERROR(GQ232/GR232,"")</f>
        <v/>
      </c>
      <c r="GT232" s="226"/>
      <c r="GU232" s="224">
        <f ca="1">GU231-GW229-GX229</f>
        <v>0</v>
      </c>
      <c r="GV232" s="224">
        <f ca="1">OFFSET(貼付け_2027実績,$G232,SUM(COLUMN()-COLUMN(貼付け_2027実績))-1)</f>
        <v>0</v>
      </c>
      <c r="GW232" s="224" t="str">
        <f ca="1">IFERROR(GU232/GV232,"")</f>
        <v/>
      </c>
      <c r="GX232" s="226"/>
      <c r="GY232" s="224">
        <f ca="1">GY231-HA229-HB229</f>
        <v>0</v>
      </c>
      <c r="GZ232" s="224">
        <f ca="1">OFFSET(貼付け_2027実績,$G232,SUM(COLUMN()-COLUMN(貼付け_2027実績))-1)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SUMPRODUCT(OFFSET(貼付け_2027実績,$F233,4,5,1),OFFSET(貼付け_2027実績,$F233,SUM(COLUMN()-COLUMN(貼付け_2027実績)),5,1))</f>
        <v>0</v>
      </c>
      <c r="J233" s="224">
        <f ca="1">SUMPRODUCT(OFFSET(貼付け_2027実績,$F233,4,5,1),OFFSET(貼付け_2027実績,$F233,SUM(COLUMN()-COLUMN(貼付け_2027実績)),5,1))</f>
        <v>0</v>
      </c>
      <c r="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26"/>
      <c r="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26"/>
      <c r="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26"/>
      <c r="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26"/>
      <c r="A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26"/>
      <c r="A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26"/>
      <c r="A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26"/>
      <c r="A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26"/>
      <c r="A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26"/>
      <c r="A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26"/>
      <c r="A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26"/>
      <c r="B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26"/>
      <c r="B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26"/>
      <c r="B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26"/>
      <c r="B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26"/>
      <c r="B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26"/>
      <c r="B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26"/>
      <c r="C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26"/>
      <c r="C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26"/>
      <c r="C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26"/>
      <c r="C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26"/>
      <c r="C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26"/>
      <c r="C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26"/>
      <c r="C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26"/>
      <c r="D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26"/>
      <c r="D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26"/>
      <c r="D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26"/>
      <c r="D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26"/>
      <c r="D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26"/>
      <c r="D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26"/>
      <c r="E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26"/>
      <c r="E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26"/>
      <c r="E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26"/>
      <c r="E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26"/>
      <c r="E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26"/>
      <c r="E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26"/>
      <c r="E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26"/>
      <c r="F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26"/>
      <c r="F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26"/>
      <c r="F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26"/>
      <c r="F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26"/>
      <c r="F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26"/>
      <c r="F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26"/>
      <c r="G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26"/>
      <c r="G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26"/>
      <c r="G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26"/>
      <c r="G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26"/>
      <c r="G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26"/>
      <c r="G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26"/>
      <c r="G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SUMPRODUCT(OFFSET(貼付け_2027実績,$F234,5,5,1),OFFSET(貼付け_2027実績,$F234,SUM(COLUMN()-COLUMN(貼付け_2027実績)),5,1))</f>
        <v>0</v>
      </c>
      <c r="J234" s="224">
        <f ca="1">SUMPRODUCT(OFFSET(貼付け_2027実績,$F234,5,5,1),OFFSET(貼付け_2027実績,$F234,SUM(COLUMN()-COLUMN(貼付け_2027実績)),5,1))</f>
        <v>0</v>
      </c>
      <c r="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26"/>
      <c r="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26"/>
      <c r="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26"/>
      <c r="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26"/>
      <c r="A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26"/>
      <c r="A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26"/>
      <c r="A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26"/>
      <c r="A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26"/>
      <c r="A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26"/>
      <c r="A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26"/>
      <c r="A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26"/>
      <c r="B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26"/>
      <c r="B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26"/>
      <c r="B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26"/>
      <c r="B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26"/>
      <c r="B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26"/>
      <c r="B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26"/>
      <c r="C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26"/>
      <c r="C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26"/>
      <c r="C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26"/>
      <c r="C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26"/>
      <c r="C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26"/>
      <c r="C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26"/>
      <c r="C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26"/>
      <c r="D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26"/>
      <c r="D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26"/>
      <c r="D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26"/>
      <c r="D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26"/>
      <c r="D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26"/>
      <c r="D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26"/>
      <c r="E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26"/>
      <c r="E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26"/>
      <c r="E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26"/>
      <c r="E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26"/>
      <c r="E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26"/>
      <c r="E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26"/>
      <c r="E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26"/>
      <c r="F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26"/>
      <c r="F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26"/>
      <c r="F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26"/>
      <c r="F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26"/>
      <c r="F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26"/>
      <c r="F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26"/>
      <c r="G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26"/>
      <c r="G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26"/>
      <c r="G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26"/>
      <c r="G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26"/>
      <c r="G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26"/>
      <c r="G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26"/>
      <c r="G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26"/>
      <c r="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26"/>
      <c r="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26"/>
      <c r="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26"/>
      <c r="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26"/>
      <c r="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26"/>
      <c r="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26"/>
      <c r="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26"/>
      <c r="A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26"/>
      <c r="A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26"/>
      <c r="A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26"/>
      <c r="A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26"/>
      <c r="A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26"/>
      <c r="A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26"/>
      <c r="A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26"/>
      <c r="A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26"/>
      <c r="A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26"/>
      <c r="A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26"/>
      <c r="A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26"/>
      <c r="A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26"/>
      <c r="A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26"/>
      <c r="B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26"/>
      <c r="B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26"/>
      <c r="B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26"/>
      <c r="B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26"/>
      <c r="B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26"/>
      <c r="B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26"/>
      <c r="B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26"/>
      <c r="B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26"/>
      <c r="B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26"/>
      <c r="B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26"/>
      <c r="B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26"/>
      <c r="B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26"/>
      <c r="B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26"/>
      <c r="C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26"/>
      <c r="C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26"/>
      <c r="C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26"/>
      <c r="C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26"/>
      <c r="C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26"/>
      <c r="C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26"/>
      <c r="C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26"/>
      <c r="C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26"/>
      <c r="C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26"/>
      <c r="C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26"/>
      <c r="C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26"/>
      <c r="C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26"/>
      <c r="C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26"/>
      <c r="D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26"/>
      <c r="D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26"/>
      <c r="D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26"/>
      <c r="D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26"/>
      <c r="D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26"/>
      <c r="D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26"/>
      <c r="D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26"/>
      <c r="D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26"/>
      <c r="D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26"/>
      <c r="D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26"/>
      <c r="D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26"/>
      <c r="D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26"/>
      <c r="D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26"/>
      <c r="E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26"/>
      <c r="E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26"/>
      <c r="E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26"/>
      <c r="E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26"/>
      <c r="E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26"/>
      <c r="E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26"/>
      <c r="E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26"/>
      <c r="E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26"/>
      <c r="E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26"/>
      <c r="E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26"/>
      <c r="E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26"/>
      <c r="E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26"/>
      <c r="E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26"/>
      <c r="F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26"/>
      <c r="F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26"/>
      <c r="F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26"/>
      <c r="F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26"/>
      <c r="F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26"/>
      <c r="F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26"/>
      <c r="F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26"/>
      <c r="F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26"/>
      <c r="F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26"/>
      <c r="F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26"/>
      <c r="F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26"/>
      <c r="F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26"/>
      <c r="F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26"/>
      <c r="G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26"/>
      <c r="G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26"/>
      <c r="G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26"/>
      <c r="G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26"/>
      <c r="G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26"/>
      <c r="G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26"/>
      <c r="G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26"/>
      <c r="G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26"/>
      <c r="G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26"/>
      <c r="G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26"/>
      <c r="G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26"/>
      <c r="G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26"/>
      <c r="G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26"/>
      <c r="H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26"/>
      <c r="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26"/>
      <c r="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26"/>
      <c r="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26"/>
      <c r="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26"/>
      <c r="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26"/>
      <c r="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26"/>
      <c r="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26"/>
      <c r="A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26"/>
      <c r="A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26"/>
      <c r="A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26"/>
      <c r="A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26"/>
      <c r="A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26"/>
      <c r="A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26"/>
      <c r="A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26"/>
      <c r="A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26"/>
      <c r="A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26"/>
      <c r="A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26"/>
      <c r="A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26"/>
      <c r="A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26"/>
      <c r="A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26"/>
      <c r="B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26"/>
      <c r="B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26"/>
      <c r="B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26"/>
      <c r="B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26"/>
      <c r="B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26"/>
      <c r="B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26"/>
      <c r="B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26"/>
      <c r="B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26"/>
      <c r="B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26"/>
      <c r="B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26"/>
      <c r="B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26"/>
      <c r="B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26"/>
      <c r="B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26"/>
      <c r="C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26"/>
      <c r="C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26"/>
      <c r="C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26"/>
      <c r="C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26"/>
      <c r="C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26"/>
      <c r="C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26"/>
      <c r="C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26"/>
      <c r="C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26"/>
      <c r="C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26"/>
      <c r="C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26"/>
      <c r="C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26"/>
      <c r="C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26"/>
      <c r="C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26"/>
      <c r="D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26"/>
      <c r="D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26"/>
      <c r="D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26"/>
      <c r="D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26"/>
      <c r="D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26"/>
      <c r="D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26"/>
      <c r="D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26"/>
      <c r="D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26"/>
      <c r="D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26"/>
      <c r="D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26"/>
      <c r="D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26"/>
      <c r="D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26"/>
      <c r="D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26"/>
      <c r="E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26"/>
      <c r="E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26"/>
      <c r="E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26"/>
      <c r="E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26"/>
      <c r="E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26"/>
      <c r="E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26"/>
      <c r="E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26"/>
      <c r="E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26"/>
      <c r="E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26"/>
      <c r="E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26"/>
      <c r="E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26"/>
      <c r="E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26"/>
      <c r="E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26"/>
      <c r="F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26"/>
      <c r="F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26"/>
      <c r="F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26"/>
      <c r="F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26"/>
      <c r="F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26"/>
      <c r="F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26"/>
      <c r="F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26"/>
      <c r="F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26"/>
      <c r="F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26"/>
      <c r="F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26"/>
      <c r="F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26"/>
      <c r="F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26"/>
      <c r="F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26"/>
      <c r="G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26"/>
      <c r="G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26"/>
      <c r="G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26"/>
      <c r="G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26"/>
      <c r="G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26"/>
      <c r="G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26"/>
      <c r="G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26"/>
      <c r="G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26"/>
      <c r="G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26"/>
      <c r="G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26"/>
      <c r="G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26"/>
      <c r="G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26"/>
      <c r="G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26"/>
      <c r="H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26"/>
      <c r="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26"/>
      <c r="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26"/>
      <c r="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26"/>
      <c r="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26"/>
      <c r="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26"/>
      <c r="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26"/>
      <c r="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26"/>
      <c r="A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26"/>
      <c r="A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26"/>
      <c r="A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26"/>
      <c r="A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26"/>
      <c r="A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26"/>
      <c r="A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26"/>
      <c r="A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26"/>
      <c r="A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26"/>
      <c r="A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26"/>
      <c r="A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26"/>
      <c r="A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26"/>
      <c r="A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26"/>
      <c r="A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26"/>
      <c r="B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26"/>
      <c r="B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26"/>
      <c r="B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26"/>
      <c r="B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26"/>
      <c r="B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26"/>
      <c r="B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26"/>
      <c r="B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26"/>
      <c r="B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26"/>
      <c r="B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26"/>
      <c r="B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26"/>
      <c r="B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26"/>
      <c r="B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26"/>
      <c r="B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26"/>
      <c r="C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26"/>
      <c r="C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26"/>
      <c r="C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26"/>
      <c r="C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26"/>
      <c r="C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26"/>
      <c r="C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26"/>
      <c r="C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26"/>
      <c r="C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26"/>
      <c r="C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26"/>
      <c r="C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26"/>
      <c r="C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26"/>
      <c r="C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26"/>
      <c r="C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26"/>
      <c r="D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26"/>
      <c r="D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26"/>
      <c r="D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26"/>
      <c r="D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26"/>
      <c r="D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26"/>
      <c r="D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26"/>
      <c r="D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26"/>
      <c r="D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26"/>
      <c r="D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26"/>
      <c r="D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26"/>
      <c r="D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26"/>
      <c r="D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26"/>
      <c r="D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26"/>
      <c r="E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26"/>
      <c r="E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26"/>
      <c r="E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26"/>
      <c r="E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26"/>
      <c r="E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26"/>
      <c r="E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26"/>
      <c r="E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26"/>
      <c r="E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26"/>
      <c r="E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26"/>
      <c r="E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26"/>
      <c r="E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26"/>
      <c r="E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26"/>
      <c r="E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26"/>
      <c r="F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26"/>
      <c r="F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26"/>
      <c r="F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26"/>
      <c r="F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26"/>
      <c r="F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26"/>
      <c r="F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26"/>
      <c r="F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26"/>
      <c r="F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26"/>
      <c r="F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26"/>
      <c r="F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26"/>
      <c r="F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26"/>
      <c r="F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26"/>
      <c r="F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26"/>
      <c r="G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26"/>
      <c r="G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26"/>
      <c r="G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26"/>
      <c r="G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26"/>
      <c r="G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26"/>
      <c r="G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26"/>
      <c r="G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26"/>
      <c r="G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26"/>
      <c r="G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26"/>
      <c r="G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26"/>
      <c r="G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26"/>
      <c r="G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26"/>
      <c r="G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26"/>
      <c r="H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26"/>
      <c r="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26"/>
      <c r="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26"/>
      <c r="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26"/>
      <c r="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26"/>
      <c r="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26"/>
      <c r="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26"/>
      <c r="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26"/>
      <c r="A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26"/>
      <c r="A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26"/>
      <c r="A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26"/>
      <c r="A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26"/>
      <c r="A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26"/>
      <c r="A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26"/>
      <c r="A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26"/>
      <c r="A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26"/>
      <c r="A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26"/>
      <c r="A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26"/>
      <c r="A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26"/>
      <c r="A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26"/>
      <c r="A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26"/>
      <c r="B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26"/>
      <c r="B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26"/>
      <c r="B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26"/>
      <c r="B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26"/>
      <c r="B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26"/>
      <c r="B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26"/>
      <c r="B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26"/>
      <c r="B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26"/>
      <c r="B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26"/>
      <c r="B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26"/>
      <c r="B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26"/>
      <c r="B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26"/>
      <c r="B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26"/>
      <c r="C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26"/>
      <c r="C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26"/>
      <c r="C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26"/>
      <c r="C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26"/>
      <c r="C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26"/>
      <c r="C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26"/>
      <c r="C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26"/>
      <c r="C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26"/>
      <c r="C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26"/>
      <c r="C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26"/>
      <c r="C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26"/>
      <c r="C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26"/>
      <c r="C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26"/>
      <c r="D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26"/>
      <c r="D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26"/>
      <c r="D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26"/>
      <c r="D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26"/>
      <c r="D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26"/>
      <c r="D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26"/>
      <c r="D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26"/>
      <c r="D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26"/>
      <c r="D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26"/>
      <c r="D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26"/>
      <c r="D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26"/>
      <c r="D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26"/>
      <c r="D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26"/>
      <c r="E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26"/>
      <c r="E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26"/>
      <c r="E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26"/>
      <c r="E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26"/>
      <c r="E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26"/>
      <c r="E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26"/>
      <c r="E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26"/>
      <c r="E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26"/>
      <c r="E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26"/>
      <c r="E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26"/>
      <c r="E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26"/>
      <c r="E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26"/>
      <c r="E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26"/>
      <c r="F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26"/>
      <c r="F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26"/>
      <c r="F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26"/>
      <c r="F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26"/>
      <c r="F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26"/>
      <c r="F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26"/>
      <c r="F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26"/>
      <c r="F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26"/>
      <c r="F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26"/>
      <c r="F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26"/>
      <c r="F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26"/>
      <c r="F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26"/>
      <c r="F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26"/>
      <c r="G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26"/>
      <c r="G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26"/>
      <c r="G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26"/>
      <c r="G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26"/>
      <c r="G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26"/>
      <c r="G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26"/>
      <c r="G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26"/>
      <c r="G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26"/>
      <c r="G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26"/>
      <c r="G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26"/>
      <c r="G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26"/>
      <c r="G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26"/>
      <c r="G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26"/>
      <c r="H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26"/>
      <c r="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26"/>
      <c r="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26"/>
      <c r="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26"/>
      <c r="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26"/>
      <c r="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26"/>
      <c r="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26"/>
      <c r="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26"/>
      <c r="A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26"/>
      <c r="A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26"/>
      <c r="A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26"/>
      <c r="A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26"/>
      <c r="A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26"/>
      <c r="A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26"/>
      <c r="A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26"/>
      <c r="A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26"/>
      <c r="A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26"/>
      <c r="A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26"/>
      <c r="A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26"/>
      <c r="A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26"/>
      <c r="A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26"/>
      <c r="B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26"/>
      <c r="B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26"/>
      <c r="B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26"/>
      <c r="B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26"/>
      <c r="B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26"/>
      <c r="B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26"/>
      <c r="B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26"/>
      <c r="B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26"/>
      <c r="B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26"/>
      <c r="B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26"/>
      <c r="B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26"/>
      <c r="B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26"/>
      <c r="B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26"/>
      <c r="C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26"/>
      <c r="C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26"/>
      <c r="C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26"/>
      <c r="C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26"/>
      <c r="C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26"/>
      <c r="C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26"/>
      <c r="C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26"/>
      <c r="C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26"/>
      <c r="C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26"/>
      <c r="C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26"/>
      <c r="C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26"/>
      <c r="C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26"/>
      <c r="C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26"/>
      <c r="D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26"/>
      <c r="D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26"/>
      <c r="D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26"/>
      <c r="D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26"/>
      <c r="D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26"/>
      <c r="D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26"/>
      <c r="D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26"/>
      <c r="D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26"/>
      <c r="D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26"/>
      <c r="D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26"/>
      <c r="D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26"/>
      <c r="D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26"/>
      <c r="D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26"/>
      <c r="E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26"/>
      <c r="E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26"/>
      <c r="E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26"/>
      <c r="E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26"/>
      <c r="E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26"/>
      <c r="E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26"/>
      <c r="E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26"/>
      <c r="E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26"/>
      <c r="E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26"/>
      <c r="E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26"/>
      <c r="E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26"/>
      <c r="E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26"/>
      <c r="E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26"/>
      <c r="F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26"/>
      <c r="F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26"/>
      <c r="F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26"/>
      <c r="F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26"/>
      <c r="F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26"/>
      <c r="F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26"/>
      <c r="F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26"/>
      <c r="F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26"/>
      <c r="F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26"/>
      <c r="F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26"/>
      <c r="F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26"/>
      <c r="F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26"/>
      <c r="F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26"/>
      <c r="G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26"/>
      <c r="G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26"/>
      <c r="G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26"/>
      <c r="G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26"/>
      <c r="G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26"/>
      <c r="G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26"/>
      <c r="G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26"/>
      <c r="G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26"/>
      <c r="G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26"/>
      <c r="G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26"/>
      <c r="G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26"/>
      <c r="G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26"/>
      <c r="G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26"/>
      <c r="H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26"/>
      <c r="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26"/>
      <c r="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26"/>
      <c r="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26"/>
      <c r="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26"/>
      <c r="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26"/>
      <c r="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26"/>
      <c r="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26"/>
      <c r="A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26"/>
      <c r="A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26"/>
      <c r="A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26"/>
      <c r="A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26"/>
      <c r="A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26"/>
      <c r="A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26"/>
      <c r="A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26"/>
      <c r="A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26"/>
      <c r="A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26"/>
      <c r="A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26"/>
      <c r="A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26"/>
      <c r="A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26"/>
      <c r="A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26"/>
      <c r="B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26"/>
      <c r="B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26"/>
      <c r="B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26"/>
      <c r="B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26"/>
      <c r="B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26"/>
      <c r="B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26"/>
      <c r="B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26"/>
      <c r="B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26"/>
      <c r="B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26"/>
      <c r="B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26"/>
      <c r="B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26"/>
      <c r="B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26"/>
      <c r="B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26"/>
      <c r="C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26"/>
      <c r="C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26"/>
      <c r="C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26"/>
      <c r="C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26"/>
      <c r="C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26"/>
      <c r="C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26"/>
      <c r="C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26"/>
      <c r="C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26"/>
      <c r="C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26"/>
      <c r="C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26"/>
      <c r="C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26"/>
      <c r="C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26"/>
      <c r="C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26"/>
      <c r="D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26"/>
      <c r="D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26"/>
      <c r="D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26"/>
      <c r="D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26"/>
      <c r="D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26"/>
      <c r="D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26"/>
      <c r="D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26"/>
      <c r="D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26"/>
      <c r="D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26"/>
      <c r="D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26"/>
      <c r="D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26"/>
      <c r="D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26"/>
      <c r="D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26"/>
      <c r="E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26"/>
      <c r="E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26"/>
      <c r="E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26"/>
      <c r="E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26"/>
      <c r="E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26"/>
      <c r="E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26"/>
      <c r="E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26"/>
      <c r="E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26"/>
      <c r="E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26"/>
      <c r="E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26"/>
      <c r="E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26"/>
      <c r="E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26"/>
      <c r="E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26"/>
      <c r="F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26"/>
      <c r="F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26"/>
      <c r="F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26"/>
      <c r="F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26"/>
      <c r="F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26"/>
      <c r="F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26"/>
      <c r="F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26"/>
      <c r="F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26"/>
      <c r="F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26"/>
      <c r="F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26"/>
      <c r="F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26"/>
      <c r="F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26"/>
      <c r="F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26"/>
      <c r="G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26"/>
      <c r="G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26"/>
      <c r="G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26"/>
      <c r="G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26"/>
      <c r="G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26"/>
      <c r="G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26"/>
      <c r="G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26"/>
      <c r="G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26"/>
      <c r="G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26"/>
      <c r="G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26"/>
      <c r="G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26"/>
      <c r="G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26"/>
      <c r="G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26"/>
      <c r="H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SUMPRODUCT(OFFSET(貼付け_2027実績,$F241,4,10,1),OFFSET(貼付け_2027実績,$F241,SUM(COLUMN()-COLUMN(貼付け_2027実績)),10,1))*1000</f>
        <v>0</v>
      </c>
      <c r="J241" s="224">
        <f ca="1">SUMPRODUCT(OFFSET(貼付け_2027実績,$F241,4,10,1),OFFSET(貼付け_2027実績,$F241,SUM(COLUMN()-COLUMN(貼付け_2027実績)),10,1))*1000</f>
        <v>0</v>
      </c>
      <c r="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26"/>
      <c r="M241" s="226"/>
      <c r="N241" s="226"/>
      <c r="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26"/>
      <c r="Q241" s="226"/>
      <c r="R241" s="226"/>
      <c r="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26"/>
      <c r="U241" s="226"/>
      <c r="V241" s="226"/>
      <c r="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26"/>
      <c r="Y241" s="226"/>
      <c r="Z241" s="226"/>
      <c r="A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26"/>
      <c r="AC241" s="226"/>
      <c r="AD241" s="226"/>
      <c r="A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26"/>
      <c r="AG241" s="226"/>
      <c r="AH241" s="226"/>
      <c r="A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26"/>
      <c r="AK241" s="226"/>
      <c r="AL241" s="226"/>
      <c r="A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26"/>
      <c r="AO241" s="226"/>
      <c r="AP241" s="226"/>
      <c r="A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26"/>
      <c r="AS241" s="226"/>
      <c r="AT241" s="226"/>
      <c r="A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26"/>
      <c r="AW241" s="226"/>
      <c r="AX241" s="226"/>
      <c r="A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26"/>
      <c r="BA241" s="226"/>
      <c r="BB241" s="226"/>
      <c r="B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26"/>
      <c r="BE241" s="226"/>
      <c r="BF241" s="226"/>
      <c r="B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26"/>
      <c r="BI241" s="226"/>
      <c r="BJ241" s="226"/>
      <c r="B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26"/>
      <c r="BM241" s="226"/>
      <c r="BN241" s="226"/>
      <c r="B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26"/>
      <c r="BQ241" s="226"/>
      <c r="BR241" s="226"/>
      <c r="B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26"/>
      <c r="BU241" s="226"/>
      <c r="BV241" s="226"/>
      <c r="B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26"/>
      <c r="BY241" s="226"/>
      <c r="BZ241" s="226"/>
      <c r="C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26"/>
      <c r="CC241" s="226"/>
      <c r="CD241" s="226"/>
      <c r="C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26"/>
      <c r="CG241" s="226"/>
      <c r="CH241" s="226"/>
      <c r="C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26"/>
      <c r="CK241" s="226"/>
      <c r="CL241" s="226"/>
      <c r="C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26"/>
      <c r="CO241" s="226"/>
      <c r="CP241" s="226"/>
      <c r="C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26"/>
      <c r="CS241" s="226"/>
      <c r="CT241" s="226"/>
      <c r="C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26"/>
      <c r="CW241" s="226"/>
      <c r="CX241" s="226"/>
      <c r="C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26"/>
      <c r="DA241" s="226"/>
      <c r="DB241" s="226"/>
      <c r="D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26"/>
      <c r="DE241" s="226"/>
      <c r="DF241" s="226"/>
      <c r="D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26"/>
      <c r="DI241" s="226"/>
      <c r="DJ241" s="226"/>
      <c r="D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26"/>
      <c r="DM241" s="226"/>
      <c r="DN241" s="226"/>
      <c r="D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26"/>
      <c r="DQ241" s="226"/>
      <c r="DR241" s="226"/>
      <c r="D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26"/>
      <c r="DU241" s="226"/>
      <c r="DV241" s="226"/>
      <c r="D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26"/>
      <c r="DY241" s="226"/>
      <c r="DZ241" s="226"/>
      <c r="E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26"/>
      <c r="EC241" s="226"/>
      <c r="ED241" s="226"/>
      <c r="E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26"/>
      <c r="EG241" s="226"/>
      <c r="EH241" s="226"/>
      <c r="E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26"/>
      <c r="EK241" s="226"/>
      <c r="EL241" s="226"/>
      <c r="E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26"/>
      <c r="EO241" s="226"/>
      <c r="EP241" s="226"/>
      <c r="E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26"/>
      <c r="ES241" s="226"/>
      <c r="ET241" s="226"/>
      <c r="E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26"/>
      <c r="EW241" s="226"/>
      <c r="EX241" s="226"/>
      <c r="E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26"/>
      <c r="FA241" s="226"/>
      <c r="FB241" s="226"/>
      <c r="F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26"/>
      <c r="FE241" s="226"/>
      <c r="FF241" s="226"/>
      <c r="F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26"/>
      <c r="FI241" s="226"/>
      <c r="FJ241" s="226"/>
      <c r="F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26"/>
      <c r="FM241" s="226"/>
      <c r="FN241" s="226"/>
      <c r="F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26"/>
      <c r="FQ241" s="226"/>
      <c r="FR241" s="226"/>
      <c r="F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26"/>
      <c r="FU241" s="226"/>
      <c r="FV241" s="226"/>
      <c r="F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26"/>
      <c r="FY241" s="226"/>
      <c r="FZ241" s="226"/>
      <c r="G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26"/>
      <c r="GC241" s="226"/>
      <c r="GD241" s="226"/>
      <c r="G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26"/>
      <c r="GG241" s="226"/>
      <c r="GH241" s="226"/>
      <c r="G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26"/>
      <c r="GK241" s="226"/>
      <c r="GL241" s="226"/>
      <c r="G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26"/>
      <c r="GO241" s="226"/>
      <c r="GP241" s="226"/>
      <c r="G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26"/>
      <c r="GS241" s="226"/>
      <c r="GT241" s="226"/>
      <c r="G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26"/>
      <c r="GW241" s="226"/>
      <c r="GX241" s="226"/>
      <c r="G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SUMPRODUCT(OFFSET(貼付け_2027実績,$F242,5,10,1),OFFSET(貼付け_2027実績,$F242,SUM(COLUMN()-COLUMN(貼付け_2027実績)),10,1))*1000</f>
        <v>0</v>
      </c>
      <c r="J242" s="224">
        <f ca="1">SUMPRODUCT(OFFSET(貼付け_2027実績,$F242,5,10,1),OFFSET(貼付け_2027実績,$F242,SUM(COLUMN()-COLUMN(貼付け_2027実績)),10,1))*1000</f>
        <v>0</v>
      </c>
      <c r="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226"/>
      <c r="M242" s="226"/>
      <c r="N242" s="226"/>
      <c r="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226"/>
      <c r="Q242" s="226"/>
      <c r="R242" s="226"/>
      <c r="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226"/>
      <c r="U242" s="226"/>
      <c r="V242" s="226"/>
      <c r="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226"/>
      <c r="Y242" s="226"/>
      <c r="Z242" s="226"/>
      <c r="A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226"/>
      <c r="AC242" s="226"/>
      <c r="AD242" s="226"/>
      <c r="A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226"/>
      <c r="AG242" s="226"/>
      <c r="AH242" s="226"/>
      <c r="A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226"/>
      <c r="AK242" s="226"/>
      <c r="AL242" s="226"/>
      <c r="A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226"/>
      <c r="AO242" s="226"/>
      <c r="AP242" s="226"/>
      <c r="A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226"/>
      <c r="AS242" s="226"/>
      <c r="AT242" s="226"/>
      <c r="A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226"/>
      <c r="AW242" s="226"/>
      <c r="AX242" s="226"/>
      <c r="A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226"/>
      <c r="BA242" s="226"/>
      <c r="BB242" s="226"/>
      <c r="B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226"/>
      <c r="BE242" s="226"/>
      <c r="BF242" s="226"/>
      <c r="B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226"/>
      <c r="BI242" s="226"/>
      <c r="BJ242" s="226"/>
      <c r="B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226"/>
      <c r="BM242" s="226"/>
      <c r="BN242" s="226"/>
      <c r="B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226"/>
      <c r="BQ242" s="226"/>
      <c r="BR242" s="226"/>
      <c r="B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226"/>
      <c r="BU242" s="226"/>
      <c r="BV242" s="226"/>
      <c r="B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226"/>
      <c r="BY242" s="226"/>
      <c r="BZ242" s="226"/>
      <c r="C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226"/>
      <c r="CC242" s="226"/>
      <c r="CD242" s="226"/>
      <c r="C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226"/>
      <c r="CG242" s="226"/>
      <c r="CH242" s="226"/>
      <c r="C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226"/>
      <c r="CK242" s="226"/>
      <c r="CL242" s="226"/>
      <c r="C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226"/>
      <c r="CO242" s="226"/>
      <c r="CP242" s="226"/>
      <c r="C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226"/>
      <c r="CS242" s="226"/>
      <c r="CT242" s="226"/>
      <c r="C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226"/>
      <c r="CW242" s="226"/>
      <c r="CX242" s="226"/>
      <c r="C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226"/>
      <c r="DA242" s="226"/>
      <c r="DB242" s="226"/>
      <c r="D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226"/>
      <c r="DE242" s="226"/>
      <c r="DF242" s="226"/>
      <c r="D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226"/>
      <c r="DI242" s="226"/>
      <c r="DJ242" s="226"/>
      <c r="D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226"/>
      <c r="DM242" s="226"/>
      <c r="DN242" s="226"/>
      <c r="D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226"/>
      <c r="DQ242" s="226"/>
      <c r="DR242" s="226"/>
      <c r="D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226"/>
      <c r="DU242" s="226"/>
      <c r="DV242" s="226"/>
      <c r="D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226"/>
      <c r="DY242" s="226"/>
      <c r="DZ242" s="226"/>
      <c r="E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226"/>
      <c r="EC242" s="226"/>
      <c r="ED242" s="226"/>
      <c r="E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226"/>
      <c r="EG242" s="226"/>
      <c r="EH242" s="226"/>
      <c r="E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226"/>
      <c r="EK242" s="226"/>
      <c r="EL242" s="226"/>
      <c r="E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226"/>
      <c r="EO242" s="226"/>
      <c r="EP242" s="226"/>
      <c r="E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226"/>
      <c r="ES242" s="226"/>
      <c r="ET242" s="226"/>
      <c r="E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226"/>
      <c r="EW242" s="226"/>
      <c r="EX242" s="226"/>
      <c r="E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226"/>
      <c r="FA242" s="226"/>
      <c r="FB242" s="226"/>
      <c r="F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226"/>
      <c r="FE242" s="226"/>
      <c r="FF242" s="226"/>
      <c r="F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226"/>
      <c r="FI242" s="226"/>
      <c r="FJ242" s="226"/>
      <c r="F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226"/>
      <c r="FM242" s="226"/>
      <c r="FN242" s="226"/>
      <c r="F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226"/>
      <c r="FQ242" s="226"/>
      <c r="FR242" s="226"/>
      <c r="F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226"/>
      <c r="FU242" s="226"/>
      <c r="FV242" s="226"/>
      <c r="F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226"/>
      <c r="FY242" s="226"/>
      <c r="FZ242" s="226"/>
      <c r="G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226"/>
      <c r="GC242" s="226"/>
      <c r="GD242" s="226"/>
      <c r="G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226"/>
      <c r="GG242" s="226"/>
      <c r="GH242" s="226"/>
      <c r="G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226"/>
      <c r="GK242" s="226"/>
      <c r="GL242" s="226"/>
      <c r="G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226"/>
      <c r="GO242" s="226"/>
      <c r="GP242" s="226"/>
      <c r="G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226"/>
      <c r="GS242" s="226"/>
      <c r="GT242" s="226"/>
      <c r="G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226"/>
      <c r="GW242" s="226"/>
      <c r="GX242" s="226"/>
      <c r="G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26"/>
      <c r="M243" s="226"/>
      <c r="N243" s="226"/>
      <c r="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26"/>
      <c r="Q243" s="226"/>
      <c r="R243" s="226"/>
      <c r="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26"/>
      <c r="U243" s="226"/>
      <c r="V243" s="226"/>
      <c r="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26"/>
      <c r="Y243" s="226"/>
      <c r="Z243" s="226"/>
      <c r="A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26"/>
      <c r="AC243" s="226"/>
      <c r="AD243" s="226"/>
      <c r="A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26"/>
      <c r="AG243" s="226"/>
      <c r="AH243" s="226"/>
      <c r="A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26"/>
      <c r="AK243" s="226"/>
      <c r="AL243" s="226"/>
      <c r="A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26"/>
      <c r="AO243" s="226"/>
      <c r="AP243" s="226"/>
      <c r="A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26"/>
      <c r="AS243" s="226"/>
      <c r="AT243" s="226"/>
      <c r="A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26"/>
      <c r="AW243" s="226"/>
      <c r="AX243" s="226"/>
      <c r="A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26"/>
      <c r="BA243" s="226"/>
      <c r="BB243" s="226"/>
      <c r="B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26"/>
      <c r="BE243" s="226"/>
      <c r="BF243" s="226"/>
      <c r="B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26"/>
      <c r="BI243" s="226"/>
      <c r="BJ243" s="226"/>
      <c r="B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26"/>
      <c r="BM243" s="226"/>
      <c r="BN243" s="226"/>
      <c r="B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26"/>
      <c r="BQ243" s="226"/>
      <c r="BR243" s="226"/>
      <c r="B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26"/>
      <c r="BU243" s="226"/>
      <c r="BV243" s="226"/>
      <c r="B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26"/>
      <c r="BY243" s="226"/>
      <c r="BZ243" s="226"/>
      <c r="C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26"/>
      <c r="CC243" s="226"/>
      <c r="CD243" s="226"/>
      <c r="C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26"/>
      <c r="CG243" s="226"/>
      <c r="CH243" s="226"/>
      <c r="C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26"/>
      <c r="CK243" s="226"/>
      <c r="CL243" s="226"/>
      <c r="C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26"/>
      <c r="CO243" s="226"/>
      <c r="CP243" s="226"/>
      <c r="C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26"/>
      <c r="CS243" s="226"/>
      <c r="CT243" s="226"/>
      <c r="C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26"/>
      <c r="CW243" s="226"/>
      <c r="CX243" s="226"/>
      <c r="C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26"/>
      <c r="DA243" s="226"/>
      <c r="DB243" s="226"/>
      <c r="D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26"/>
      <c r="DE243" s="226"/>
      <c r="DF243" s="226"/>
      <c r="D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26"/>
      <c r="DI243" s="226"/>
      <c r="DJ243" s="226"/>
      <c r="D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26"/>
      <c r="DM243" s="226"/>
      <c r="DN243" s="226"/>
      <c r="D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26"/>
      <c r="DQ243" s="226"/>
      <c r="DR243" s="226"/>
      <c r="D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26"/>
      <c r="DU243" s="226"/>
      <c r="DV243" s="226"/>
      <c r="D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26"/>
      <c r="DY243" s="226"/>
      <c r="DZ243" s="226"/>
      <c r="E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26"/>
      <c r="EC243" s="226"/>
      <c r="ED243" s="226"/>
      <c r="E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26"/>
      <c r="EG243" s="226"/>
      <c r="EH243" s="226"/>
      <c r="E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26"/>
      <c r="EK243" s="226"/>
      <c r="EL243" s="226"/>
      <c r="E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26"/>
      <c r="EO243" s="226"/>
      <c r="EP243" s="226"/>
      <c r="E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26"/>
      <c r="ES243" s="226"/>
      <c r="ET243" s="226"/>
      <c r="E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26"/>
      <c r="EW243" s="226"/>
      <c r="EX243" s="226"/>
      <c r="E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26"/>
      <c r="FA243" s="226"/>
      <c r="FB243" s="226"/>
      <c r="F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26"/>
      <c r="FE243" s="226"/>
      <c r="FF243" s="226"/>
      <c r="F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26"/>
      <c r="FI243" s="226"/>
      <c r="FJ243" s="226"/>
      <c r="F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26"/>
      <c r="FM243" s="226"/>
      <c r="FN243" s="226"/>
      <c r="F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26"/>
      <c r="FQ243" s="226"/>
      <c r="FR243" s="226"/>
      <c r="F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26"/>
      <c r="FU243" s="226"/>
      <c r="FV243" s="226"/>
      <c r="F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26"/>
      <c r="FY243" s="226"/>
      <c r="FZ243" s="226"/>
      <c r="G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26"/>
      <c r="GC243" s="226"/>
      <c r="GD243" s="226"/>
      <c r="G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26"/>
      <c r="GG243" s="226"/>
      <c r="GH243" s="226"/>
      <c r="G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26"/>
      <c r="GK243" s="226"/>
      <c r="GL243" s="226"/>
      <c r="G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26"/>
      <c r="GO243" s="226"/>
      <c r="GP243" s="226"/>
      <c r="G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26"/>
      <c r="GS243" s="226"/>
      <c r="GT243" s="226"/>
      <c r="G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26"/>
      <c r="GW243" s="226"/>
      <c r="GX243" s="226"/>
      <c r="G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26"/>
      <c r="HA243" s="226"/>
      <c r="HB243" s="226"/>
      <c r="IE243" s="219"/>
      <c r="IF243" s="219"/>
      <c r="IG243" s="219"/>
      <c r="IH243" s="219"/>
    </row>
    <row r="244" spans="1:242" hidden="1"/>
    <row r="245" spans="1:242" s="193" customFormat="1" ht="20.100000000000001" hidden="1" customHeight="1">
      <c r="A245" s="201" t="s">
        <v>4332</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4333</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2027</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2027年度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"~"&amp;D248-1&amp;"/"&amp;D248</f>
        <v>~2026/2027</v>
      </c>
      <c r="D249" s="655" t="str">
        <f>""</f>
        <v/>
      </c>
      <c r="E249" s="775" t="str">
        <f t="shared" ref="E249:AJ249" ca="1" si="97">IF(OFFSET(A1_原単位2026,6,E$247+2)="",OFFSET(A1_原単位2026,3,E$247+2),OFFSET(A1_原単位2026,6,E$247+2))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IF(OFFSET(A1_原単位2026,6,O$247+2)="",OFFSET(A1_原単位2026,3,O$247+2),OFFSET(A1_原単位2026,6,O$247+2))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IF(OFFSET(A1_原単位2026,6,AK$247+2)="",OFFSET(A1_原単位2026,3,AK$247+2),OFFSET(A1_原単位2026,6,AK$247+2))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IFERROR(OFFSET(貼付け_2027実績,5,E248+1),"")&amp;""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IFERROR(OFFSET(貼付け_2027実績,5,O248+1),"")&amp;""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IFERROR(OFFSET(貼付け_2027実績,5,AK248+1),"")&amp;""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"~"&amp;D248-1&amp;"&amp;"&amp;D248</f>
        <v>~2026&amp;2027</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IF(OFFSET(貼付け_2027実績,2,12)="■",BD249,IFERROR(INDEX($BD249:$DA249,MATCH(E250,$BD249:$DA249,0)),""))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IF(OFFSET(貼付け_2027実績,2,12)="■",BN249,IFERROR(INDEX($BD249:$DA249,MATCH(O250,$BD249:$DA249,0)),""))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IF(OFFSET(貼付け_2027実績,2,12)="■",CJ249,IFERROR(INDEX($BD249:$DA249,MATCH(AK250,$BD249:$DA249,0)),""))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OFFSET(A1_名称2027,E$247+2,$D252)&amp;""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OFFSET(A1_名称2027,O$247+2,$D252)&amp;""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OFFSET(A1_名称2027,AK$247+2,$D252)&amp;""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IFERROR(OFFSET(貼付け_2027実績,$D254,E253+1)&amp;"","")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IFERROR(OFFSET(貼付け_2027実績,$D254,O253+1)&amp;"","")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IFERROR(OFFSET(貼付け_2027実績,$D254,AK253+1)&amp;"","")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IFERROR(OFFSET(貼付け_2027実績,$D255,E253),"")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IFERROR(OFFSET(貼付け_2027実績,$D255,O253),"")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IFERROR(OFFSET(貼付け_2027実績,$D255,AK253),"")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IFERROR(OFFSET(A1_集計2027,$D256,E253),"")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IFERROR(OFFSET(A1_集計2027,$D256,O253),"")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IFERROR(OFFSET(A1_集計2027,$D256,AK253),"")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IFERROR(OFFSET(貼付け_2027実績,$D257,E253),"")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IFERROR(OFFSET(貼付け_2027実績,$D257,O253),"")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IFERROR(OFFSET(貼付け_2027実績,$D257,AK253),"")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IFERROR(1-(E258/OFFSET(A1_原単位2026,$D259,E$247+2)),"")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IFERROR(1-(AK258/OFFSET(A1_原単位2026,$D259,AK$247+2)),"")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2027</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2027年度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"~"&amp;D260-1&amp;"/"&amp;D260</f>
        <v>~2026/2027</v>
      </c>
      <c r="D261" s="655" t="str">
        <f>""</f>
        <v/>
      </c>
      <c r="E261" s="775" t="str">
        <f t="shared" ref="E261:AJ261" ca="1" si="118">IF(OFFSET(A1_原単位2026,18,E$247+2)="",OFFSET(A1_原単位2026,15,E$247+2),OFFSET(A1_原単位2026,18,E$247+2))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IF(OFFSET(A1_原単位2026,18,O$247+2)="",OFFSET(A1_原単位2026,15,O$247+2),OFFSET(A1_原単位2026,18,O$247+2))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IF(OFFSET(A1_原単位2026,18,AK$247+2)="",OFFSET(A1_原単位2026,15,AK$247+2),OFFSET(A1_原単位2026,18,AK$247+2))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IFERROR(OFFSET(貼付け_2027実績,5,E260+1),"")&amp;""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IFERROR(OFFSET(貼付け_2027実績,5,O260+1),"")&amp;""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IFERROR(OFFSET(貼付け_2027実績,5,AK260+1),"")&amp;""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"~"&amp;D260-1&amp;"&amp;"&amp;D260</f>
        <v>~2026&amp;2027</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IF(OFFSET(貼付け_2027実績,2,12)="■",BD261,IFERROR(INDEX($BD261:$DA261,MATCH(E262,$BD261:$DA261,0)),""))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IF(OFFSET(貼付け_2027実績,2,12)="■",BN261,IFERROR(INDEX($BD261:$DA261,MATCH(O262,$BD261:$DA261,0)),""))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IF(OFFSET(貼付け_2027実績,2,12)="■",CJ261,IFERROR(INDEX($BD261:$DA261,MATCH(AK262,$BD261:$DA261,0)),""))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t="shared" ref="E264:AJ264" ca="1" si="124">OFFSET(A1_名称2027,E$247+2,$D264)&amp;""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OFFSET(A1_名称2027,O$247+2,$D264)&amp;""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OFFSET(A1_名称2027,AK$247+2,$D264)&amp;""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IFERROR(OFFSET(貼付け_2027実績,$D266,E265+1)&amp;"","")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IFERROR(OFFSET(貼付け_2027実績,$D266,O265+1)&amp;"","")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IFERROR(OFFSET(貼付け_2027実績,$D266,AK265+1)&amp;"","")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IFERROR(OFFSET(貼付け_2027実績,$D267,E265),"")&amp;""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IFERROR(OFFSET(貼付け_2027実績,$D267,O265),"")&amp;""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IFERROR(OFFSET(貼付け_2027実績,$D267,AK265),"")&amp;""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IFERROR(OFFSET(A1_集計2027,$D268,E265),"")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IFERROR(OFFSET(A1_集計2027,$D268,O265),"")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IFERROR(OFFSET(A1_集計2027,$D268,AK265),"")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IFERROR(OFFSET(貼付け_2027実績,$D269,E265),"")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IFERROR(OFFSET(貼付け_2027実績,$D269,O265),"")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IFERROR(OFFSET(貼付け_2027実績,$D269,AK265),"")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IFERROR(1-(E270/OFFSET(A1_原単位2026,$D271,E$247+2)),"")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IFERROR(1-(AK270/OFFSET(A1_原単位2026,$D271,AK$247+2)),"")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2027</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2027年度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"~"&amp;D272-1&amp;"/"&amp;D272</f>
        <v>~2026/2027</v>
      </c>
      <c r="D273" s="655" t="str">
        <f>""</f>
        <v/>
      </c>
      <c r="E273" s="775" t="str">
        <f t="shared" ref="E273:AJ273" ca="1" si="139">IF(OFFSET(A1_原単位2026,30,E$247+2)="",OFFSET(A1_原単位2026,27,E$247+2),OFFSET(A1_原単位2026,30,E$247+2))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IF(OFFSET(A1_原単位2026,30,O$247+2)="",OFFSET(A1_原単位2026,27,O$247+2),OFFSET(A1_原単位2026,30,O$247+2))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IF(OFFSET(A1_原単位2026,30,AK$247+2)="",OFFSET(A1_原単位2026,27,AK$247+2),OFFSET(A1_原単位2026,30,AK$247+2))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IFERROR(OFFSET(貼付け_2027実績,5,E272+1),"")&amp;""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IFERROR(OFFSET(貼付け_2027実績,5,O272+1),"")&amp;""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IFERROR(OFFSET(貼付け_2027実績,5,AK272+1),"")&amp;""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"~"&amp;D272-1&amp;"&amp;"&amp;D272</f>
        <v>~2026&amp;2027</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IF(OFFSET(貼付け_2027実績,2,12)="■",BD273,IFERROR(INDEX($BD273:$DA273,MATCH(E274,$BD273:$DA273,0)),""))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IF(OFFSET(貼付け_2027実績,2,12)="■",BN273,IFERROR(INDEX($BD273:$DA273,MATCH(O274,$BD273:$DA273,0)),""))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IF(OFFSET(貼付け_2027実績,2,12)="■",CJ273,IFERROR(INDEX($BD273:$DA273,MATCH(AK274,$BD273:$DA273,0)),""))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OFFSET(A1_名称2027,E$247+2,$D276)&amp;""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OFFSET(A1_名称2027,O$247+2,$D276)&amp;""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OFFSET(A1_名称2027,AK$247+2,$D276)&amp;""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IFERROR(OFFSET(貼付け_2027実績,$D278,E277+1)&amp;"","")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IFERROR(OFFSET(貼付け_2027実績,$D278,O277+1)&amp;"","")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IFERROR(OFFSET(貼付け_2027実績,$D278,AK277+1)&amp;"","")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IFERROR(OFFSET(貼付け_2027実績,$D279,E277),"")&amp;""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IFERROR(OFFSET(貼付け_2027実績,$D279,O277),"")&amp;""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IFERROR(OFFSET(貼付け_2027実績,$D279,AK277),"")&amp;""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IFERROR(OFFSET(A1_集計2027,$D280,E277),"")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IFERROR(OFFSET(A1_集計2027,$D280,O277),"")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IFERROR(OFFSET(A1_集計2027,$D280,AK277),"")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IFERROR(OFFSET(貼付け_2027実績,$D281,E277),"")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IFERROR(OFFSET(貼付け_2027実績,$D281,O277),"")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IFERROR(OFFSET(貼付け_2027実績,$D281,AK277),"")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IFERROR(1-(E282/OFFSET(A1_原単位2026,$D283,E$247+2)),"")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IFERROR(1-(AK282/OFFSET(A1_原単位2026,$D283,AK$247+2)),"")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2027</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2027年度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"~"&amp;D284-1&amp;"/"&amp;D284</f>
        <v>~2026/2027</v>
      </c>
      <c r="D285" s="655" t="str">
        <f>""</f>
        <v/>
      </c>
      <c r="E285" s="775" t="str">
        <f t="shared" ref="E285:AJ285" ca="1" si="160">IF(OFFSET(A1_原単位2026,42,E$247+2)="",OFFSET(A1_原単位2026,39,E$247+2),OFFSET(A1_原単位2026,42,E$247+2))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IF(OFFSET(A1_原単位2026,42,O$247+2)="",OFFSET(A1_原単位2026,39,O$247+2),OFFSET(A1_原単位2026,42,O$247+2))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IF(OFFSET(A1_原単位2026,42,AK$247+2)="",OFFSET(A1_原単位2026,39,AK$247+2),OFFSET(A1_原単位2026,42,AK$247+2))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IFERROR(OFFSET(貼付け_2027実績,5,E284+1),"")&amp;""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IFERROR(OFFSET(貼付け_2027実績,5,O284+1),"")&amp;""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IFERROR(OFFSET(貼付け_2027実績,5,AK284+1),"")&amp;""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"~"&amp;D284-1&amp;"&amp;"&amp;D284</f>
        <v>~2026&amp;2027</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IF(OFFSET(貼付け_2027実績,2,12)="■",BD285,IFERROR(INDEX($BD285:$DA285,MATCH(E286,$BD285:$DA285,0)),""))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IF(OFFSET(貼付け_2027実績,2,12)="■",BN285,IFERROR(INDEX($BD285:$DA285,MATCH(O286,$BD285:$DA285,0)),""))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IF(OFFSET(貼付け_2027実績,2,12)="■",CJ285,IFERROR(INDEX($BD285:$DA285,MATCH(AK286,$BD285:$DA285,0)),""))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OFFSET(A1_名称2027,E$247+2,$D288)&amp;""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OFFSET(A1_名称2027,O$247+2,$D288)&amp;""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OFFSET(A1_名称2027,AK$247+2,$D288)&amp;""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IFERROR(OFFSET(貼付け_2027実績,$D290,E289+1)&amp;"","")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IFERROR(OFFSET(貼付け_2027実績,$D290,O289+1)&amp;"","")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IFERROR(OFFSET(貼付け_2027実績,$D290,AK289+1)&amp;"","")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IFERROR(OFFSET(貼付け_2027実績,$D291,E289),"")&amp;""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IFERROR(OFFSET(貼付け_2027実績,$D291,O289),"")&amp;""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IFERROR(OFFSET(貼付け_2027実績,$D291,AK289),"")&amp;""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IFERROR(OFFSET(A1_集計2027,$D292,E289),"")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IFERROR(OFFSET(A1_集計2027,$D292,O289),"")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IFERROR(OFFSET(A1_集計2027,$D292,AK289),"")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IFERROR(OFFSET(貼付け_2027実績,$D293,E289),"")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IFERROR(OFFSET(貼付け_2027実績,$D293,O289),"")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IFERROR(OFFSET(貼付け_2027実績,$D293,AK289),"")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IFERROR(1-(E294/OFFSET(A1_原単位2026,$D295,E$247+2)),"")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IFERROR(1-(AK294/OFFSET(A1_原単位2026,$D295,AK$247+2)),"")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710"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t="18.600000000000001" hidden="1" thickBot="1">
      <c r="B298" s="1081" t="s">
        <v>4303</v>
      </c>
      <c r="C298" s="1082"/>
      <c r="D298" s="1083"/>
      <c r="E298" s="669" t="str">
        <f ca="1">IF(E252="",E249,E252)</f>
        <v/>
      </c>
      <c r="F298" s="670" t="str">
        <f t="shared" ref="F298:BB298" ca="1" si="180">IF(F252="",F249,F252)</f>
        <v/>
      </c>
      <c r="G298" s="670" t="str">
        <f t="shared" ca="1" si="180"/>
        <v/>
      </c>
      <c r="H298" s="670" t="str">
        <f t="shared" ca="1" si="180"/>
        <v/>
      </c>
      <c r="I298" s="670" t="str">
        <f t="shared" ca="1" si="180"/>
        <v/>
      </c>
      <c r="J298" s="670" t="str">
        <f t="shared" ca="1" si="180"/>
        <v/>
      </c>
      <c r="K298" s="670" t="str">
        <f t="shared" ca="1" si="180"/>
        <v/>
      </c>
      <c r="L298" s="670" t="str">
        <f t="shared" ca="1" si="180"/>
        <v/>
      </c>
      <c r="M298" s="670" t="str">
        <f t="shared" ca="1" si="180"/>
        <v/>
      </c>
      <c r="N298" s="670" t="str">
        <f t="shared" ca="1" si="180"/>
        <v/>
      </c>
      <c r="O298" s="670" t="str">
        <f t="shared" ca="1" si="180"/>
        <v/>
      </c>
      <c r="P298" s="670" t="str">
        <f t="shared" ca="1" si="180"/>
        <v/>
      </c>
      <c r="Q298" s="670" t="str">
        <f t="shared" ca="1" si="180"/>
        <v/>
      </c>
      <c r="R298" s="670" t="str">
        <f t="shared" ca="1" si="180"/>
        <v/>
      </c>
      <c r="S298" s="670" t="str">
        <f t="shared" ca="1" si="180"/>
        <v/>
      </c>
      <c r="T298" s="670" t="str">
        <f t="shared" ca="1" si="180"/>
        <v/>
      </c>
      <c r="U298" s="670" t="str">
        <f t="shared" ca="1" si="180"/>
        <v/>
      </c>
      <c r="V298" s="670" t="str">
        <f t="shared" ca="1" si="180"/>
        <v/>
      </c>
      <c r="W298" s="670" t="str">
        <f t="shared" ca="1" si="180"/>
        <v/>
      </c>
      <c r="X298" s="670" t="str">
        <f t="shared" ca="1" si="180"/>
        <v/>
      </c>
      <c r="Y298" s="670" t="str">
        <f t="shared" ca="1" si="180"/>
        <v/>
      </c>
      <c r="Z298" s="670" t="str">
        <f t="shared" ca="1" si="180"/>
        <v/>
      </c>
      <c r="AA298" s="670" t="str">
        <f t="shared" ca="1" si="180"/>
        <v/>
      </c>
      <c r="AB298" s="670" t="str">
        <f t="shared" ca="1" si="180"/>
        <v/>
      </c>
      <c r="AC298" s="670" t="str">
        <f t="shared" ca="1" si="180"/>
        <v/>
      </c>
      <c r="AD298" s="670" t="str">
        <f t="shared" ca="1" si="180"/>
        <v/>
      </c>
      <c r="AE298" s="670" t="str">
        <f t="shared" ca="1" si="180"/>
        <v/>
      </c>
      <c r="AF298" s="670" t="str">
        <f t="shared" ca="1" si="180"/>
        <v/>
      </c>
      <c r="AG298" s="670" t="str">
        <f t="shared" ca="1" si="180"/>
        <v/>
      </c>
      <c r="AH298" s="670" t="str">
        <f t="shared" ca="1" si="180"/>
        <v/>
      </c>
      <c r="AI298" s="670" t="str">
        <f t="shared" ca="1" si="180"/>
        <v/>
      </c>
      <c r="AJ298" s="670" t="str">
        <f t="shared" ca="1" si="180"/>
        <v/>
      </c>
      <c r="AK298" s="670" t="str">
        <f t="shared" ca="1" si="180"/>
        <v/>
      </c>
      <c r="AL298" s="670" t="str">
        <f t="shared" ca="1" si="180"/>
        <v/>
      </c>
      <c r="AM298" s="670" t="str">
        <f t="shared" ca="1" si="180"/>
        <v/>
      </c>
      <c r="AN298" s="670" t="str">
        <f t="shared" ca="1" si="180"/>
        <v/>
      </c>
      <c r="AO298" s="670" t="str">
        <f t="shared" ca="1" si="180"/>
        <v/>
      </c>
      <c r="AP298" s="670" t="str">
        <f t="shared" ca="1" si="180"/>
        <v/>
      </c>
      <c r="AQ298" s="670" t="str">
        <f t="shared" ca="1" si="180"/>
        <v/>
      </c>
      <c r="AR298" s="670" t="str">
        <f t="shared" ca="1" si="180"/>
        <v/>
      </c>
      <c r="AS298" s="670" t="str">
        <f t="shared" ca="1" si="180"/>
        <v/>
      </c>
      <c r="AT298" s="670" t="str">
        <f t="shared" ca="1" si="180"/>
        <v/>
      </c>
      <c r="AU298" s="670" t="str">
        <f t="shared" ca="1" si="180"/>
        <v/>
      </c>
      <c r="AV298" s="670" t="str">
        <f t="shared" ca="1" si="180"/>
        <v/>
      </c>
      <c r="AW298" s="670" t="str">
        <f t="shared" ca="1" si="180"/>
        <v/>
      </c>
      <c r="AX298" s="670" t="str">
        <f t="shared" ca="1" si="180"/>
        <v/>
      </c>
      <c r="AY298" s="670" t="str">
        <f t="shared" ca="1" si="180"/>
        <v/>
      </c>
      <c r="AZ298" s="670" t="str">
        <f t="shared" ca="1" si="180"/>
        <v/>
      </c>
      <c r="BA298" s="670" t="str">
        <f t="shared" ca="1" si="180"/>
        <v/>
      </c>
      <c r="BB298" s="671" t="str">
        <f t="shared" ca="1" si="180"/>
        <v/>
      </c>
    </row>
    <row r="299" spans="1:242" ht="18.600000000000001" hidden="1" thickBot="1">
      <c r="B299" s="1081" t="s">
        <v>4303</v>
      </c>
      <c r="C299" s="1082"/>
      <c r="D299" s="1083"/>
      <c r="E299" s="669" t="str">
        <f t="shared" ref="E299:AJ299" ca="1" si="181">IF(E253="",OFFSET(A1_原単位2026,53,E247+2),IFERROR(OFFSET(貼付け_2027実績,6,E253+1)&amp;"",""))</f>
        <v/>
      </c>
      <c r="F299" s="670" t="str">
        <f t="shared" ca="1" si="181"/>
        <v/>
      </c>
      <c r="G299" s="670" t="str">
        <f t="shared" ca="1" si="181"/>
        <v/>
      </c>
      <c r="H299" s="670" t="str">
        <f t="shared" ca="1" si="181"/>
        <v/>
      </c>
      <c r="I299" s="670" t="str">
        <f t="shared" ca="1" si="181"/>
        <v/>
      </c>
      <c r="J299" s="670" t="str">
        <f t="shared" ca="1" si="181"/>
        <v/>
      </c>
      <c r="K299" s="670" t="str">
        <f t="shared" ca="1" si="181"/>
        <v/>
      </c>
      <c r="L299" s="670" t="str">
        <f t="shared" ca="1" si="181"/>
        <v/>
      </c>
      <c r="M299" s="670" t="str">
        <f t="shared" ca="1" si="181"/>
        <v/>
      </c>
      <c r="N299" s="670" t="str">
        <f t="shared" ca="1" si="181"/>
        <v/>
      </c>
      <c r="O299" s="670" t="str">
        <f t="shared" ca="1" si="181"/>
        <v/>
      </c>
      <c r="P299" s="670" t="str">
        <f t="shared" ca="1" si="181"/>
        <v/>
      </c>
      <c r="Q299" s="670" t="str">
        <f t="shared" ca="1" si="181"/>
        <v/>
      </c>
      <c r="R299" s="670" t="str">
        <f t="shared" ca="1" si="181"/>
        <v/>
      </c>
      <c r="S299" s="670" t="str">
        <f t="shared" ca="1" si="181"/>
        <v/>
      </c>
      <c r="T299" s="670" t="str">
        <f t="shared" ca="1" si="181"/>
        <v/>
      </c>
      <c r="U299" s="670" t="str">
        <f t="shared" ca="1" si="181"/>
        <v/>
      </c>
      <c r="V299" s="670" t="str">
        <f t="shared" ca="1" si="181"/>
        <v/>
      </c>
      <c r="W299" s="670" t="str">
        <f t="shared" ca="1" si="181"/>
        <v/>
      </c>
      <c r="X299" s="670" t="str">
        <f t="shared" ca="1" si="181"/>
        <v/>
      </c>
      <c r="Y299" s="670" t="str">
        <f t="shared" ca="1" si="181"/>
        <v/>
      </c>
      <c r="Z299" s="670" t="str">
        <f t="shared" ca="1" si="181"/>
        <v/>
      </c>
      <c r="AA299" s="670" t="str">
        <f t="shared" ca="1" si="181"/>
        <v/>
      </c>
      <c r="AB299" s="670" t="str">
        <f t="shared" ca="1" si="181"/>
        <v/>
      </c>
      <c r="AC299" s="670" t="str">
        <f t="shared" ca="1" si="181"/>
        <v/>
      </c>
      <c r="AD299" s="670" t="str">
        <f t="shared" ca="1" si="181"/>
        <v/>
      </c>
      <c r="AE299" s="670" t="str">
        <f t="shared" ca="1" si="181"/>
        <v/>
      </c>
      <c r="AF299" s="670" t="str">
        <f t="shared" ca="1" si="181"/>
        <v/>
      </c>
      <c r="AG299" s="670" t="str">
        <f t="shared" ca="1" si="181"/>
        <v/>
      </c>
      <c r="AH299" s="670" t="str">
        <f t="shared" ca="1" si="181"/>
        <v/>
      </c>
      <c r="AI299" s="670" t="str">
        <f t="shared" ca="1" si="181"/>
        <v/>
      </c>
      <c r="AJ299" s="670" t="str">
        <f t="shared" ca="1" si="181"/>
        <v/>
      </c>
      <c r="AK299" s="670" t="str">
        <f t="shared" ref="AK299:BB299" ca="1" si="182">IF(AK253="",OFFSET(A1_原単位2026,53,AK247+2),IFERROR(OFFSET(貼付け_2027実績,6,AK253+1)&amp;"",""))</f>
        <v/>
      </c>
      <c r="AL299" s="670" t="str">
        <f t="shared" ca="1" si="182"/>
        <v/>
      </c>
      <c r="AM299" s="670" t="str">
        <f t="shared" ca="1" si="182"/>
        <v/>
      </c>
      <c r="AN299" s="670" t="str">
        <f t="shared" ca="1" si="182"/>
        <v/>
      </c>
      <c r="AO299" s="670" t="str">
        <f t="shared" ca="1" si="182"/>
        <v/>
      </c>
      <c r="AP299" s="670" t="str">
        <f t="shared" ca="1" si="182"/>
        <v/>
      </c>
      <c r="AQ299" s="670" t="str">
        <f t="shared" ca="1" si="182"/>
        <v/>
      </c>
      <c r="AR299" s="670" t="str">
        <f t="shared" ca="1" si="182"/>
        <v/>
      </c>
      <c r="AS299" s="670" t="str">
        <f t="shared" ca="1" si="182"/>
        <v/>
      </c>
      <c r="AT299" s="670" t="str">
        <f t="shared" ca="1" si="182"/>
        <v/>
      </c>
      <c r="AU299" s="670" t="str">
        <f t="shared" ca="1" si="182"/>
        <v/>
      </c>
      <c r="AV299" s="670" t="str">
        <f t="shared" ca="1" si="182"/>
        <v/>
      </c>
      <c r="AW299" s="670" t="str">
        <f t="shared" ca="1" si="182"/>
        <v/>
      </c>
      <c r="AX299" s="670" t="str">
        <f t="shared" ca="1" si="182"/>
        <v/>
      </c>
      <c r="AY299" s="670" t="str">
        <f t="shared" ca="1" si="182"/>
        <v/>
      </c>
      <c r="AZ299" s="670" t="str">
        <f t="shared" ca="1" si="182"/>
        <v/>
      </c>
      <c r="BA299" s="670" t="str">
        <f t="shared" ca="1" si="182"/>
        <v/>
      </c>
      <c r="BB299" s="671" t="str">
        <f t="shared" ca="1" si="182"/>
        <v/>
      </c>
    </row>
    <row r="300" spans="1:242" hidden="1">
      <c r="A300" s="179">
        <v>54</v>
      </c>
      <c r="B300" s="1098" t="s">
        <v>4304</v>
      </c>
      <c r="C300" s="672" t="s">
        <v>4054</v>
      </c>
      <c r="D300" s="673"/>
      <c r="E300" s="674" t="str">
        <f ca="1">E255</f>
        <v/>
      </c>
      <c r="F300" s="674" t="str">
        <f t="shared" ref="F300:BB300" ca="1" si="183">F255</f>
        <v/>
      </c>
      <c r="G300" s="674" t="str">
        <f t="shared" ca="1" si="183"/>
        <v/>
      </c>
      <c r="H300" s="674" t="str">
        <f t="shared" ca="1" si="183"/>
        <v/>
      </c>
      <c r="I300" s="674" t="str">
        <f t="shared" ca="1" si="183"/>
        <v/>
      </c>
      <c r="J300" s="674" t="str">
        <f t="shared" ca="1" si="183"/>
        <v/>
      </c>
      <c r="K300" s="674" t="str">
        <f t="shared" ca="1" si="183"/>
        <v/>
      </c>
      <c r="L300" s="674" t="str">
        <f t="shared" ca="1" si="183"/>
        <v/>
      </c>
      <c r="M300" s="674" t="str">
        <f t="shared" ca="1" si="183"/>
        <v/>
      </c>
      <c r="N300" s="674" t="str">
        <f t="shared" ca="1" si="183"/>
        <v/>
      </c>
      <c r="O300" s="674" t="str">
        <f t="shared" ca="1" si="183"/>
        <v/>
      </c>
      <c r="P300" s="674" t="str">
        <f t="shared" ca="1" si="183"/>
        <v/>
      </c>
      <c r="Q300" s="674" t="str">
        <f t="shared" ca="1" si="183"/>
        <v/>
      </c>
      <c r="R300" s="674" t="str">
        <f t="shared" ca="1" si="183"/>
        <v/>
      </c>
      <c r="S300" s="674" t="str">
        <f t="shared" ca="1" si="183"/>
        <v/>
      </c>
      <c r="T300" s="674" t="str">
        <f t="shared" ca="1" si="183"/>
        <v/>
      </c>
      <c r="U300" s="674" t="str">
        <f t="shared" ca="1" si="183"/>
        <v/>
      </c>
      <c r="V300" s="674" t="str">
        <f t="shared" ca="1" si="183"/>
        <v/>
      </c>
      <c r="W300" s="674" t="str">
        <f t="shared" ca="1" si="183"/>
        <v/>
      </c>
      <c r="X300" s="674" t="str">
        <f t="shared" ca="1" si="183"/>
        <v/>
      </c>
      <c r="Y300" s="674" t="str">
        <f t="shared" ca="1" si="183"/>
        <v/>
      </c>
      <c r="Z300" s="674" t="str">
        <f t="shared" ca="1" si="183"/>
        <v/>
      </c>
      <c r="AA300" s="674" t="str">
        <f t="shared" ca="1" si="183"/>
        <v/>
      </c>
      <c r="AB300" s="674" t="str">
        <f t="shared" ca="1" si="183"/>
        <v/>
      </c>
      <c r="AC300" s="674" t="str">
        <f t="shared" ca="1" si="183"/>
        <v/>
      </c>
      <c r="AD300" s="674" t="str">
        <f t="shared" ca="1" si="183"/>
        <v/>
      </c>
      <c r="AE300" s="674" t="str">
        <f t="shared" ca="1" si="183"/>
        <v/>
      </c>
      <c r="AF300" s="674" t="str">
        <f t="shared" ca="1" si="183"/>
        <v/>
      </c>
      <c r="AG300" s="674" t="str">
        <f t="shared" ca="1" si="183"/>
        <v/>
      </c>
      <c r="AH300" s="674" t="str">
        <f t="shared" ca="1" si="183"/>
        <v/>
      </c>
      <c r="AI300" s="674" t="str">
        <f t="shared" ca="1" si="183"/>
        <v/>
      </c>
      <c r="AJ300" s="674" t="str">
        <f t="shared" ca="1" si="183"/>
        <v/>
      </c>
      <c r="AK300" s="674" t="str">
        <f t="shared" ca="1" si="183"/>
        <v/>
      </c>
      <c r="AL300" s="674" t="str">
        <f t="shared" ca="1" si="183"/>
        <v/>
      </c>
      <c r="AM300" s="674" t="str">
        <f t="shared" ca="1" si="183"/>
        <v/>
      </c>
      <c r="AN300" s="674" t="str">
        <f t="shared" ca="1" si="183"/>
        <v/>
      </c>
      <c r="AO300" s="674" t="str">
        <f t="shared" ca="1" si="183"/>
        <v/>
      </c>
      <c r="AP300" s="674" t="str">
        <f t="shared" ca="1" si="183"/>
        <v/>
      </c>
      <c r="AQ300" s="674" t="str">
        <f t="shared" ca="1" si="183"/>
        <v/>
      </c>
      <c r="AR300" s="674" t="str">
        <f t="shared" ca="1" si="183"/>
        <v/>
      </c>
      <c r="AS300" s="674" t="str">
        <f t="shared" ca="1" si="183"/>
        <v/>
      </c>
      <c r="AT300" s="674" t="str">
        <f t="shared" ca="1" si="183"/>
        <v/>
      </c>
      <c r="AU300" s="674" t="str">
        <f t="shared" ca="1" si="183"/>
        <v/>
      </c>
      <c r="AV300" s="674" t="str">
        <f t="shared" ca="1" si="183"/>
        <v/>
      </c>
      <c r="AW300" s="674" t="str">
        <f t="shared" ca="1" si="183"/>
        <v/>
      </c>
      <c r="AX300" s="674" t="str">
        <f t="shared" ca="1" si="183"/>
        <v/>
      </c>
      <c r="AY300" s="674" t="str">
        <f t="shared" ca="1" si="183"/>
        <v/>
      </c>
      <c r="AZ300" s="674" t="str">
        <f t="shared" ca="1" si="183"/>
        <v/>
      </c>
      <c r="BA300" s="674" t="str">
        <f t="shared" ca="1" si="183"/>
        <v/>
      </c>
      <c r="BB300" s="674" t="str">
        <f t="shared" ca="1" si="183"/>
        <v/>
      </c>
    </row>
    <row r="301" spans="1:242" hidden="1">
      <c r="A301" s="179">
        <v>55</v>
      </c>
      <c r="B301" s="1099"/>
      <c r="C301" s="676" t="s">
        <v>4055</v>
      </c>
      <c r="D301" s="677"/>
      <c r="E301" s="642" t="str">
        <f ca="1">E267</f>
        <v/>
      </c>
      <c r="F301" s="642" t="str">
        <f t="shared" ref="F301:BB301" ca="1" si="184">F267</f>
        <v/>
      </c>
      <c r="G301" s="642" t="str">
        <f t="shared" ca="1" si="184"/>
        <v/>
      </c>
      <c r="H301" s="642" t="str">
        <f t="shared" ca="1" si="184"/>
        <v/>
      </c>
      <c r="I301" s="642" t="str">
        <f t="shared" ca="1" si="184"/>
        <v/>
      </c>
      <c r="J301" s="642" t="str">
        <f t="shared" ca="1" si="184"/>
        <v/>
      </c>
      <c r="K301" s="642" t="str">
        <f t="shared" ca="1" si="184"/>
        <v/>
      </c>
      <c r="L301" s="642" t="str">
        <f t="shared" ca="1" si="184"/>
        <v/>
      </c>
      <c r="M301" s="642" t="str">
        <f t="shared" ca="1" si="184"/>
        <v/>
      </c>
      <c r="N301" s="642" t="str">
        <f t="shared" ca="1" si="184"/>
        <v/>
      </c>
      <c r="O301" s="642" t="str">
        <f t="shared" ca="1" si="184"/>
        <v/>
      </c>
      <c r="P301" s="642" t="str">
        <f t="shared" ca="1" si="184"/>
        <v/>
      </c>
      <c r="Q301" s="642" t="str">
        <f t="shared" ca="1" si="184"/>
        <v/>
      </c>
      <c r="R301" s="642" t="str">
        <f t="shared" ca="1" si="184"/>
        <v/>
      </c>
      <c r="S301" s="642" t="str">
        <f t="shared" ca="1" si="184"/>
        <v/>
      </c>
      <c r="T301" s="642" t="str">
        <f t="shared" ca="1" si="184"/>
        <v/>
      </c>
      <c r="U301" s="642" t="str">
        <f t="shared" ca="1" si="184"/>
        <v/>
      </c>
      <c r="V301" s="642" t="str">
        <f t="shared" ca="1" si="184"/>
        <v/>
      </c>
      <c r="W301" s="642" t="str">
        <f t="shared" ca="1" si="184"/>
        <v/>
      </c>
      <c r="X301" s="642" t="str">
        <f t="shared" ca="1" si="184"/>
        <v/>
      </c>
      <c r="Y301" s="642" t="str">
        <f t="shared" ca="1" si="184"/>
        <v/>
      </c>
      <c r="Z301" s="642" t="str">
        <f t="shared" ca="1" si="184"/>
        <v/>
      </c>
      <c r="AA301" s="642" t="str">
        <f t="shared" ca="1" si="184"/>
        <v/>
      </c>
      <c r="AB301" s="642" t="str">
        <f t="shared" ca="1" si="184"/>
        <v/>
      </c>
      <c r="AC301" s="642" t="str">
        <f t="shared" ca="1" si="184"/>
        <v/>
      </c>
      <c r="AD301" s="642" t="str">
        <f t="shared" ca="1" si="184"/>
        <v/>
      </c>
      <c r="AE301" s="642" t="str">
        <f t="shared" ca="1" si="184"/>
        <v/>
      </c>
      <c r="AF301" s="642" t="str">
        <f t="shared" ca="1" si="184"/>
        <v/>
      </c>
      <c r="AG301" s="642" t="str">
        <f t="shared" ca="1" si="184"/>
        <v/>
      </c>
      <c r="AH301" s="642" t="str">
        <f t="shared" ca="1" si="184"/>
        <v/>
      </c>
      <c r="AI301" s="642" t="str">
        <f t="shared" ca="1" si="184"/>
        <v/>
      </c>
      <c r="AJ301" s="642" t="str">
        <f t="shared" ca="1" si="184"/>
        <v/>
      </c>
      <c r="AK301" s="642" t="str">
        <f t="shared" ca="1" si="184"/>
        <v/>
      </c>
      <c r="AL301" s="642" t="str">
        <f t="shared" ca="1" si="184"/>
        <v/>
      </c>
      <c r="AM301" s="642" t="str">
        <f t="shared" ca="1" si="184"/>
        <v/>
      </c>
      <c r="AN301" s="642" t="str">
        <f t="shared" ca="1" si="184"/>
        <v/>
      </c>
      <c r="AO301" s="642" t="str">
        <f t="shared" ca="1" si="184"/>
        <v/>
      </c>
      <c r="AP301" s="642" t="str">
        <f t="shared" ca="1" si="184"/>
        <v/>
      </c>
      <c r="AQ301" s="642" t="str">
        <f t="shared" ca="1" si="184"/>
        <v/>
      </c>
      <c r="AR301" s="642" t="str">
        <f t="shared" ca="1" si="184"/>
        <v/>
      </c>
      <c r="AS301" s="642" t="str">
        <f t="shared" ca="1" si="184"/>
        <v/>
      </c>
      <c r="AT301" s="642" t="str">
        <f t="shared" ca="1" si="184"/>
        <v/>
      </c>
      <c r="AU301" s="642" t="str">
        <f t="shared" ca="1" si="184"/>
        <v/>
      </c>
      <c r="AV301" s="642" t="str">
        <f t="shared" ca="1" si="184"/>
        <v/>
      </c>
      <c r="AW301" s="642" t="str">
        <f t="shared" ca="1" si="184"/>
        <v/>
      </c>
      <c r="AX301" s="642" t="str">
        <f t="shared" ca="1" si="184"/>
        <v/>
      </c>
      <c r="AY301" s="642" t="str">
        <f t="shared" ca="1" si="184"/>
        <v/>
      </c>
      <c r="AZ301" s="642" t="str">
        <f t="shared" ca="1" si="184"/>
        <v/>
      </c>
      <c r="BA301" s="642" t="str">
        <f t="shared" ca="1" si="184"/>
        <v/>
      </c>
      <c r="BB301" s="642" t="str">
        <f t="shared" ca="1" si="184"/>
        <v/>
      </c>
    </row>
    <row r="302" spans="1:242" hidden="1">
      <c r="A302" s="179">
        <v>56</v>
      </c>
      <c r="B302" s="1099"/>
      <c r="C302" s="676" t="s">
        <v>4056</v>
      </c>
      <c r="D302" s="677"/>
      <c r="E302" s="642" t="str">
        <f ca="1">E279</f>
        <v/>
      </c>
      <c r="F302" s="642" t="str">
        <f t="shared" ref="F302:BB302" ca="1" si="185">F279</f>
        <v/>
      </c>
      <c r="G302" s="642" t="str">
        <f t="shared" ca="1" si="185"/>
        <v/>
      </c>
      <c r="H302" s="642" t="str">
        <f t="shared" ca="1" si="185"/>
        <v/>
      </c>
      <c r="I302" s="642" t="str">
        <f t="shared" ca="1" si="185"/>
        <v/>
      </c>
      <c r="J302" s="642" t="str">
        <f t="shared" ca="1" si="185"/>
        <v/>
      </c>
      <c r="K302" s="642" t="str">
        <f t="shared" ca="1" si="185"/>
        <v/>
      </c>
      <c r="L302" s="642" t="str">
        <f t="shared" ca="1" si="185"/>
        <v/>
      </c>
      <c r="M302" s="642" t="str">
        <f t="shared" ca="1" si="185"/>
        <v/>
      </c>
      <c r="N302" s="642" t="str">
        <f t="shared" ca="1" si="185"/>
        <v/>
      </c>
      <c r="O302" s="642" t="str">
        <f t="shared" ca="1" si="185"/>
        <v/>
      </c>
      <c r="P302" s="642" t="str">
        <f t="shared" ca="1" si="185"/>
        <v/>
      </c>
      <c r="Q302" s="642" t="str">
        <f t="shared" ca="1" si="185"/>
        <v/>
      </c>
      <c r="R302" s="642" t="str">
        <f t="shared" ca="1" si="185"/>
        <v/>
      </c>
      <c r="S302" s="642" t="str">
        <f t="shared" ca="1" si="185"/>
        <v/>
      </c>
      <c r="T302" s="642" t="str">
        <f t="shared" ca="1" si="185"/>
        <v/>
      </c>
      <c r="U302" s="642" t="str">
        <f t="shared" ca="1" si="185"/>
        <v/>
      </c>
      <c r="V302" s="642" t="str">
        <f t="shared" ca="1" si="185"/>
        <v/>
      </c>
      <c r="W302" s="642" t="str">
        <f t="shared" ca="1" si="185"/>
        <v/>
      </c>
      <c r="X302" s="642" t="str">
        <f t="shared" ca="1" si="185"/>
        <v/>
      </c>
      <c r="Y302" s="642" t="str">
        <f t="shared" ca="1" si="185"/>
        <v/>
      </c>
      <c r="Z302" s="642" t="str">
        <f t="shared" ca="1" si="185"/>
        <v/>
      </c>
      <c r="AA302" s="642" t="str">
        <f t="shared" ca="1" si="185"/>
        <v/>
      </c>
      <c r="AB302" s="642" t="str">
        <f t="shared" ca="1" si="185"/>
        <v/>
      </c>
      <c r="AC302" s="642" t="str">
        <f t="shared" ca="1" si="185"/>
        <v/>
      </c>
      <c r="AD302" s="642" t="str">
        <f t="shared" ca="1" si="185"/>
        <v/>
      </c>
      <c r="AE302" s="642" t="str">
        <f t="shared" ca="1" si="185"/>
        <v/>
      </c>
      <c r="AF302" s="642" t="str">
        <f t="shared" ca="1" si="185"/>
        <v/>
      </c>
      <c r="AG302" s="642" t="str">
        <f t="shared" ca="1" si="185"/>
        <v/>
      </c>
      <c r="AH302" s="642" t="str">
        <f t="shared" ca="1" si="185"/>
        <v/>
      </c>
      <c r="AI302" s="642" t="str">
        <f t="shared" ca="1" si="185"/>
        <v/>
      </c>
      <c r="AJ302" s="642" t="str">
        <f t="shared" ca="1" si="185"/>
        <v/>
      </c>
      <c r="AK302" s="642" t="str">
        <f t="shared" ca="1" si="185"/>
        <v/>
      </c>
      <c r="AL302" s="642" t="str">
        <f t="shared" ca="1" si="185"/>
        <v/>
      </c>
      <c r="AM302" s="642" t="str">
        <f t="shared" ca="1" si="185"/>
        <v/>
      </c>
      <c r="AN302" s="642" t="str">
        <f t="shared" ca="1" si="185"/>
        <v/>
      </c>
      <c r="AO302" s="642" t="str">
        <f t="shared" ca="1" si="185"/>
        <v/>
      </c>
      <c r="AP302" s="642" t="str">
        <f t="shared" ca="1" si="185"/>
        <v/>
      </c>
      <c r="AQ302" s="642" t="str">
        <f t="shared" ca="1" si="185"/>
        <v/>
      </c>
      <c r="AR302" s="642" t="str">
        <f t="shared" ca="1" si="185"/>
        <v/>
      </c>
      <c r="AS302" s="642" t="str">
        <f t="shared" ca="1" si="185"/>
        <v/>
      </c>
      <c r="AT302" s="642" t="str">
        <f t="shared" ca="1" si="185"/>
        <v/>
      </c>
      <c r="AU302" s="642" t="str">
        <f t="shared" ca="1" si="185"/>
        <v/>
      </c>
      <c r="AV302" s="642" t="str">
        <f t="shared" ca="1" si="185"/>
        <v/>
      </c>
      <c r="AW302" s="642" t="str">
        <f t="shared" ca="1" si="185"/>
        <v/>
      </c>
      <c r="AX302" s="642" t="str">
        <f t="shared" ca="1" si="185"/>
        <v/>
      </c>
      <c r="AY302" s="642" t="str">
        <f t="shared" ca="1" si="185"/>
        <v/>
      </c>
      <c r="AZ302" s="642" t="str">
        <f t="shared" ca="1" si="185"/>
        <v/>
      </c>
      <c r="BA302" s="642" t="str">
        <f t="shared" ca="1" si="185"/>
        <v/>
      </c>
      <c r="BB302" s="642" t="str">
        <f t="shared" ca="1" si="185"/>
        <v/>
      </c>
    </row>
    <row r="303" spans="1:242" ht="18.600000000000001" hidden="1" thickBot="1">
      <c r="A303" s="179">
        <v>57</v>
      </c>
      <c r="B303" s="1100"/>
      <c r="C303" s="679" t="s">
        <v>4057</v>
      </c>
      <c r="D303" s="682"/>
      <c r="E303" s="680" t="str">
        <f ca="1">E291</f>
        <v/>
      </c>
      <c r="F303" s="680" t="str">
        <f t="shared" ref="F303:BB303" ca="1" si="186">F291</f>
        <v/>
      </c>
      <c r="G303" s="680" t="str">
        <f t="shared" ca="1" si="186"/>
        <v/>
      </c>
      <c r="H303" s="680" t="str">
        <f t="shared" ca="1" si="186"/>
        <v/>
      </c>
      <c r="I303" s="680" t="str">
        <f t="shared" ca="1" si="186"/>
        <v/>
      </c>
      <c r="J303" s="680" t="str">
        <f t="shared" ca="1" si="186"/>
        <v/>
      </c>
      <c r="K303" s="680" t="str">
        <f t="shared" ca="1" si="186"/>
        <v/>
      </c>
      <c r="L303" s="680" t="str">
        <f t="shared" ca="1" si="186"/>
        <v/>
      </c>
      <c r="M303" s="680" t="str">
        <f t="shared" ca="1" si="186"/>
        <v/>
      </c>
      <c r="N303" s="680" t="str">
        <f t="shared" ca="1" si="186"/>
        <v/>
      </c>
      <c r="O303" s="680" t="str">
        <f t="shared" ca="1" si="186"/>
        <v/>
      </c>
      <c r="P303" s="680" t="str">
        <f t="shared" ca="1" si="186"/>
        <v/>
      </c>
      <c r="Q303" s="680" t="str">
        <f t="shared" ca="1" si="186"/>
        <v/>
      </c>
      <c r="R303" s="680" t="str">
        <f t="shared" ca="1" si="186"/>
        <v/>
      </c>
      <c r="S303" s="680" t="str">
        <f t="shared" ca="1" si="186"/>
        <v/>
      </c>
      <c r="T303" s="680" t="str">
        <f t="shared" ca="1" si="186"/>
        <v/>
      </c>
      <c r="U303" s="680" t="str">
        <f t="shared" ca="1" si="186"/>
        <v/>
      </c>
      <c r="V303" s="680" t="str">
        <f t="shared" ca="1" si="186"/>
        <v/>
      </c>
      <c r="W303" s="680" t="str">
        <f t="shared" ca="1" si="186"/>
        <v/>
      </c>
      <c r="X303" s="680" t="str">
        <f t="shared" ca="1" si="186"/>
        <v/>
      </c>
      <c r="Y303" s="680" t="str">
        <f t="shared" ca="1" si="186"/>
        <v/>
      </c>
      <c r="Z303" s="680" t="str">
        <f t="shared" ca="1" si="186"/>
        <v/>
      </c>
      <c r="AA303" s="680" t="str">
        <f t="shared" ca="1" si="186"/>
        <v/>
      </c>
      <c r="AB303" s="680" t="str">
        <f t="shared" ca="1" si="186"/>
        <v/>
      </c>
      <c r="AC303" s="680" t="str">
        <f t="shared" ca="1" si="186"/>
        <v/>
      </c>
      <c r="AD303" s="680" t="str">
        <f t="shared" ca="1" si="186"/>
        <v/>
      </c>
      <c r="AE303" s="680" t="str">
        <f t="shared" ca="1" si="186"/>
        <v/>
      </c>
      <c r="AF303" s="680" t="str">
        <f t="shared" ca="1" si="186"/>
        <v/>
      </c>
      <c r="AG303" s="680" t="str">
        <f t="shared" ca="1" si="186"/>
        <v/>
      </c>
      <c r="AH303" s="680" t="str">
        <f t="shared" ca="1" si="186"/>
        <v/>
      </c>
      <c r="AI303" s="680" t="str">
        <f t="shared" ca="1" si="186"/>
        <v/>
      </c>
      <c r="AJ303" s="680" t="str">
        <f t="shared" ca="1" si="186"/>
        <v/>
      </c>
      <c r="AK303" s="680" t="str">
        <f t="shared" ca="1" si="186"/>
        <v/>
      </c>
      <c r="AL303" s="680" t="str">
        <f t="shared" ca="1" si="186"/>
        <v/>
      </c>
      <c r="AM303" s="680" t="str">
        <f t="shared" ca="1" si="186"/>
        <v/>
      </c>
      <c r="AN303" s="680" t="str">
        <f t="shared" ca="1" si="186"/>
        <v/>
      </c>
      <c r="AO303" s="680" t="str">
        <f t="shared" ca="1" si="186"/>
        <v/>
      </c>
      <c r="AP303" s="680" t="str">
        <f t="shared" ca="1" si="186"/>
        <v/>
      </c>
      <c r="AQ303" s="680" t="str">
        <f t="shared" ca="1" si="186"/>
        <v/>
      </c>
      <c r="AR303" s="680" t="str">
        <f t="shared" ca="1" si="186"/>
        <v/>
      </c>
      <c r="AS303" s="680" t="str">
        <f t="shared" ca="1" si="186"/>
        <v/>
      </c>
      <c r="AT303" s="680" t="str">
        <f t="shared" ca="1" si="186"/>
        <v/>
      </c>
      <c r="AU303" s="680" t="str">
        <f t="shared" ca="1" si="186"/>
        <v/>
      </c>
      <c r="AV303" s="680" t="str">
        <f t="shared" ca="1" si="186"/>
        <v/>
      </c>
      <c r="AW303" s="680" t="str">
        <f t="shared" ca="1" si="186"/>
        <v/>
      </c>
      <c r="AX303" s="680" t="str">
        <f t="shared" ca="1" si="186"/>
        <v/>
      </c>
      <c r="AY303" s="680" t="str">
        <f t="shared" ca="1" si="186"/>
        <v/>
      </c>
      <c r="AZ303" s="680" t="str">
        <f t="shared" ca="1" si="186"/>
        <v/>
      </c>
      <c r="BA303" s="680" t="str">
        <f t="shared" ca="1" si="186"/>
        <v/>
      </c>
      <c r="BB303" s="680" t="str">
        <f t="shared" ca="1" si="186"/>
        <v/>
      </c>
    </row>
    <row r="304" spans="1:242" hidden="1">
      <c r="A304" s="179">
        <v>58</v>
      </c>
      <c r="B304" s="1098" t="s">
        <v>4305</v>
      </c>
      <c r="C304" s="672" t="s">
        <v>4054</v>
      </c>
      <c r="D304" s="673"/>
      <c r="E304" s="674" t="str">
        <f t="shared" ref="E304:AJ304" ca="1" si="187">OFFSET(A1_原単位2026,9,E247+2)</f>
        <v/>
      </c>
      <c r="F304" s="674" t="str">
        <f t="shared" ca="1" si="187"/>
        <v/>
      </c>
      <c r="G304" s="674" t="str">
        <f t="shared" ca="1" si="187"/>
        <v/>
      </c>
      <c r="H304" s="674" t="str">
        <f t="shared" ca="1" si="187"/>
        <v/>
      </c>
      <c r="I304" s="674" t="str">
        <f t="shared" ca="1" si="187"/>
        <v/>
      </c>
      <c r="J304" s="674" t="str">
        <f t="shared" ca="1" si="187"/>
        <v/>
      </c>
      <c r="K304" s="674" t="str">
        <f t="shared" ca="1" si="187"/>
        <v/>
      </c>
      <c r="L304" s="674" t="str">
        <f t="shared" ca="1" si="187"/>
        <v/>
      </c>
      <c r="M304" s="674" t="str">
        <f t="shared" ca="1" si="187"/>
        <v/>
      </c>
      <c r="N304" s="674" t="str">
        <f t="shared" ca="1" si="187"/>
        <v/>
      </c>
      <c r="O304" s="674" t="str">
        <f t="shared" ca="1" si="187"/>
        <v/>
      </c>
      <c r="P304" s="674" t="str">
        <f t="shared" ca="1" si="187"/>
        <v/>
      </c>
      <c r="Q304" s="674" t="str">
        <f t="shared" ca="1" si="187"/>
        <v/>
      </c>
      <c r="R304" s="674" t="str">
        <f t="shared" ca="1" si="187"/>
        <v/>
      </c>
      <c r="S304" s="674" t="str">
        <f t="shared" ca="1" si="187"/>
        <v/>
      </c>
      <c r="T304" s="674" t="str">
        <f t="shared" ca="1" si="187"/>
        <v/>
      </c>
      <c r="U304" s="674" t="str">
        <f t="shared" ca="1" si="187"/>
        <v/>
      </c>
      <c r="V304" s="674" t="str">
        <f t="shared" ca="1" si="187"/>
        <v/>
      </c>
      <c r="W304" s="674" t="str">
        <f t="shared" ca="1" si="187"/>
        <v/>
      </c>
      <c r="X304" s="674" t="str">
        <f t="shared" ca="1" si="187"/>
        <v/>
      </c>
      <c r="Y304" s="674" t="str">
        <f t="shared" ca="1" si="187"/>
        <v/>
      </c>
      <c r="Z304" s="674" t="str">
        <f t="shared" ca="1" si="187"/>
        <v/>
      </c>
      <c r="AA304" s="674" t="str">
        <f t="shared" ca="1" si="187"/>
        <v/>
      </c>
      <c r="AB304" s="674" t="str">
        <f t="shared" ca="1" si="187"/>
        <v/>
      </c>
      <c r="AC304" s="674" t="str">
        <f t="shared" ca="1" si="187"/>
        <v/>
      </c>
      <c r="AD304" s="674" t="str">
        <f t="shared" ca="1" si="187"/>
        <v/>
      </c>
      <c r="AE304" s="674" t="str">
        <f t="shared" ca="1" si="187"/>
        <v/>
      </c>
      <c r="AF304" s="674" t="str">
        <f t="shared" ca="1" si="187"/>
        <v/>
      </c>
      <c r="AG304" s="674" t="str">
        <f t="shared" ca="1" si="187"/>
        <v/>
      </c>
      <c r="AH304" s="674" t="str">
        <f t="shared" ca="1" si="187"/>
        <v/>
      </c>
      <c r="AI304" s="674" t="str">
        <f t="shared" ca="1" si="187"/>
        <v/>
      </c>
      <c r="AJ304" s="674" t="str">
        <f t="shared" ca="1" si="187"/>
        <v/>
      </c>
      <c r="AK304" s="674" t="str">
        <f t="shared" ref="AK304:BB304" ca="1" si="188">OFFSET(A1_原単位2026,9,AK247+2)</f>
        <v/>
      </c>
      <c r="AL304" s="674" t="str">
        <f t="shared" ca="1" si="188"/>
        <v/>
      </c>
      <c r="AM304" s="674" t="str">
        <f t="shared" ca="1" si="188"/>
        <v/>
      </c>
      <c r="AN304" s="674" t="str">
        <f t="shared" ca="1" si="188"/>
        <v/>
      </c>
      <c r="AO304" s="674" t="str">
        <f t="shared" ca="1" si="188"/>
        <v/>
      </c>
      <c r="AP304" s="674" t="str">
        <f t="shared" ca="1" si="188"/>
        <v/>
      </c>
      <c r="AQ304" s="674" t="str">
        <f t="shared" ca="1" si="188"/>
        <v/>
      </c>
      <c r="AR304" s="674" t="str">
        <f t="shared" ca="1" si="188"/>
        <v/>
      </c>
      <c r="AS304" s="674" t="str">
        <f t="shared" ca="1" si="188"/>
        <v/>
      </c>
      <c r="AT304" s="674" t="str">
        <f t="shared" ca="1" si="188"/>
        <v/>
      </c>
      <c r="AU304" s="674" t="str">
        <f t="shared" ca="1" si="188"/>
        <v/>
      </c>
      <c r="AV304" s="674" t="str">
        <f t="shared" ca="1" si="188"/>
        <v/>
      </c>
      <c r="AW304" s="674" t="str">
        <f t="shared" ca="1" si="188"/>
        <v/>
      </c>
      <c r="AX304" s="674" t="str">
        <f t="shared" ca="1" si="188"/>
        <v/>
      </c>
      <c r="AY304" s="674" t="str">
        <f t="shared" ca="1" si="188"/>
        <v/>
      </c>
      <c r="AZ304" s="674" t="str">
        <f t="shared" ca="1" si="188"/>
        <v/>
      </c>
      <c r="BA304" s="674" t="str">
        <f t="shared" ca="1" si="188"/>
        <v/>
      </c>
      <c r="BB304" s="674" t="str">
        <f t="shared" ca="1" si="188"/>
        <v/>
      </c>
    </row>
    <row r="305" spans="1:242" hidden="1">
      <c r="A305" s="179">
        <v>59</v>
      </c>
      <c r="B305" s="1099"/>
      <c r="C305" s="676" t="s">
        <v>4055</v>
      </c>
      <c r="D305" s="677"/>
      <c r="E305" s="642" t="str">
        <f t="shared" ref="E305:AJ305" ca="1" si="189">OFFSET(A1_原単位2026,9+12,E247+2)</f>
        <v/>
      </c>
      <c r="F305" s="642" t="str">
        <f t="shared" ca="1" si="189"/>
        <v/>
      </c>
      <c r="G305" s="642" t="str">
        <f t="shared" ca="1" si="189"/>
        <v/>
      </c>
      <c r="H305" s="642" t="str">
        <f t="shared" ca="1" si="189"/>
        <v/>
      </c>
      <c r="I305" s="642" t="str">
        <f t="shared" ca="1" si="189"/>
        <v/>
      </c>
      <c r="J305" s="642" t="str">
        <f t="shared" ca="1" si="189"/>
        <v/>
      </c>
      <c r="K305" s="642" t="str">
        <f t="shared" ca="1" si="189"/>
        <v/>
      </c>
      <c r="L305" s="642" t="str">
        <f t="shared" ca="1" si="189"/>
        <v/>
      </c>
      <c r="M305" s="642" t="str">
        <f t="shared" ca="1" si="189"/>
        <v/>
      </c>
      <c r="N305" s="642" t="str">
        <f t="shared" ca="1" si="189"/>
        <v/>
      </c>
      <c r="O305" s="642" t="str">
        <f t="shared" ca="1" si="189"/>
        <v/>
      </c>
      <c r="P305" s="642" t="str">
        <f t="shared" ca="1" si="189"/>
        <v/>
      </c>
      <c r="Q305" s="642" t="str">
        <f t="shared" ca="1" si="189"/>
        <v/>
      </c>
      <c r="R305" s="642" t="str">
        <f t="shared" ca="1" si="189"/>
        <v/>
      </c>
      <c r="S305" s="642" t="str">
        <f t="shared" ca="1" si="189"/>
        <v/>
      </c>
      <c r="T305" s="642" t="str">
        <f t="shared" ca="1" si="189"/>
        <v/>
      </c>
      <c r="U305" s="642" t="str">
        <f t="shared" ca="1" si="189"/>
        <v/>
      </c>
      <c r="V305" s="642" t="str">
        <f t="shared" ca="1" si="189"/>
        <v/>
      </c>
      <c r="W305" s="642" t="str">
        <f t="shared" ca="1" si="189"/>
        <v/>
      </c>
      <c r="X305" s="642" t="str">
        <f t="shared" ca="1" si="189"/>
        <v/>
      </c>
      <c r="Y305" s="642" t="str">
        <f t="shared" ca="1" si="189"/>
        <v/>
      </c>
      <c r="Z305" s="642" t="str">
        <f t="shared" ca="1" si="189"/>
        <v/>
      </c>
      <c r="AA305" s="642" t="str">
        <f t="shared" ca="1" si="189"/>
        <v/>
      </c>
      <c r="AB305" s="642" t="str">
        <f t="shared" ca="1" si="189"/>
        <v/>
      </c>
      <c r="AC305" s="642" t="str">
        <f t="shared" ca="1" si="189"/>
        <v/>
      </c>
      <c r="AD305" s="642" t="str">
        <f t="shared" ca="1" si="189"/>
        <v/>
      </c>
      <c r="AE305" s="642" t="str">
        <f t="shared" ca="1" si="189"/>
        <v/>
      </c>
      <c r="AF305" s="642" t="str">
        <f t="shared" ca="1" si="189"/>
        <v/>
      </c>
      <c r="AG305" s="642" t="str">
        <f t="shared" ca="1" si="189"/>
        <v/>
      </c>
      <c r="AH305" s="642" t="str">
        <f t="shared" ca="1" si="189"/>
        <v/>
      </c>
      <c r="AI305" s="642" t="str">
        <f t="shared" ca="1" si="189"/>
        <v/>
      </c>
      <c r="AJ305" s="642" t="str">
        <f t="shared" ca="1" si="189"/>
        <v/>
      </c>
      <c r="AK305" s="642" t="str">
        <f t="shared" ref="AK305:BB305" ca="1" si="190">OFFSET(A1_原単位2026,9+12,AK247+2)</f>
        <v/>
      </c>
      <c r="AL305" s="642" t="str">
        <f t="shared" ca="1" si="190"/>
        <v/>
      </c>
      <c r="AM305" s="642" t="str">
        <f t="shared" ca="1" si="190"/>
        <v/>
      </c>
      <c r="AN305" s="642" t="str">
        <f t="shared" ca="1" si="190"/>
        <v/>
      </c>
      <c r="AO305" s="642" t="str">
        <f t="shared" ca="1" si="190"/>
        <v/>
      </c>
      <c r="AP305" s="642" t="str">
        <f t="shared" ca="1" si="190"/>
        <v/>
      </c>
      <c r="AQ305" s="642" t="str">
        <f t="shared" ca="1" si="190"/>
        <v/>
      </c>
      <c r="AR305" s="642" t="str">
        <f t="shared" ca="1" si="190"/>
        <v/>
      </c>
      <c r="AS305" s="642" t="str">
        <f t="shared" ca="1" si="190"/>
        <v/>
      </c>
      <c r="AT305" s="642" t="str">
        <f t="shared" ca="1" si="190"/>
        <v/>
      </c>
      <c r="AU305" s="642" t="str">
        <f t="shared" ca="1" si="190"/>
        <v/>
      </c>
      <c r="AV305" s="642" t="str">
        <f t="shared" ca="1" si="190"/>
        <v/>
      </c>
      <c r="AW305" s="642" t="str">
        <f t="shared" ca="1" si="190"/>
        <v/>
      </c>
      <c r="AX305" s="642" t="str">
        <f t="shared" ca="1" si="190"/>
        <v/>
      </c>
      <c r="AY305" s="642" t="str">
        <f t="shared" ca="1" si="190"/>
        <v/>
      </c>
      <c r="AZ305" s="642" t="str">
        <f t="shared" ca="1" si="190"/>
        <v/>
      </c>
      <c r="BA305" s="642" t="str">
        <f t="shared" ca="1" si="190"/>
        <v/>
      </c>
      <c r="BB305" s="678" t="str">
        <f t="shared" ca="1" si="190"/>
        <v/>
      </c>
    </row>
    <row r="306" spans="1:242" hidden="1">
      <c r="A306" s="179">
        <v>60</v>
      </c>
      <c r="B306" s="1099"/>
      <c r="C306" s="676" t="s">
        <v>4056</v>
      </c>
      <c r="D306" s="677"/>
      <c r="E306" s="642" t="str">
        <f t="shared" ref="E306:AJ306" ca="1" si="191">OFFSET(A1_原単位2026,9+24,E247+2)</f>
        <v/>
      </c>
      <c r="F306" s="642" t="str">
        <f t="shared" ca="1" si="191"/>
        <v/>
      </c>
      <c r="G306" s="642" t="str">
        <f t="shared" ca="1" si="191"/>
        <v/>
      </c>
      <c r="H306" s="642" t="str">
        <f t="shared" ca="1" si="191"/>
        <v/>
      </c>
      <c r="I306" s="642" t="str">
        <f t="shared" ca="1" si="191"/>
        <v/>
      </c>
      <c r="J306" s="642" t="str">
        <f t="shared" ca="1" si="191"/>
        <v/>
      </c>
      <c r="K306" s="642" t="str">
        <f t="shared" ca="1" si="191"/>
        <v/>
      </c>
      <c r="L306" s="642" t="str">
        <f t="shared" ca="1" si="191"/>
        <v/>
      </c>
      <c r="M306" s="642" t="str">
        <f t="shared" ca="1" si="191"/>
        <v/>
      </c>
      <c r="N306" s="642" t="str">
        <f t="shared" ca="1" si="191"/>
        <v/>
      </c>
      <c r="O306" s="642" t="str">
        <f t="shared" ca="1" si="191"/>
        <v/>
      </c>
      <c r="P306" s="642" t="str">
        <f t="shared" ca="1" si="191"/>
        <v/>
      </c>
      <c r="Q306" s="642" t="str">
        <f t="shared" ca="1" si="191"/>
        <v/>
      </c>
      <c r="R306" s="642" t="str">
        <f t="shared" ca="1" si="191"/>
        <v/>
      </c>
      <c r="S306" s="642" t="str">
        <f t="shared" ca="1" si="191"/>
        <v/>
      </c>
      <c r="T306" s="642" t="str">
        <f t="shared" ca="1" si="191"/>
        <v/>
      </c>
      <c r="U306" s="642" t="str">
        <f t="shared" ca="1" si="191"/>
        <v/>
      </c>
      <c r="V306" s="642" t="str">
        <f t="shared" ca="1" si="191"/>
        <v/>
      </c>
      <c r="W306" s="642" t="str">
        <f t="shared" ca="1" si="191"/>
        <v/>
      </c>
      <c r="X306" s="642" t="str">
        <f t="shared" ca="1" si="191"/>
        <v/>
      </c>
      <c r="Y306" s="642" t="str">
        <f t="shared" ca="1" si="191"/>
        <v/>
      </c>
      <c r="Z306" s="642" t="str">
        <f t="shared" ca="1" si="191"/>
        <v/>
      </c>
      <c r="AA306" s="642" t="str">
        <f t="shared" ca="1" si="191"/>
        <v/>
      </c>
      <c r="AB306" s="642" t="str">
        <f t="shared" ca="1" si="191"/>
        <v/>
      </c>
      <c r="AC306" s="642" t="str">
        <f t="shared" ca="1" si="191"/>
        <v/>
      </c>
      <c r="AD306" s="642" t="str">
        <f t="shared" ca="1" si="191"/>
        <v/>
      </c>
      <c r="AE306" s="642" t="str">
        <f t="shared" ca="1" si="191"/>
        <v/>
      </c>
      <c r="AF306" s="642" t="str">
        <f t="shared" ca="1" si="191"/>
        <v/>
      </c>
      <c r="AG306" s="642" t="str">
        <f t="shared" ca="1" si="191"/>
        <v/>
      </c>
      <c r="AH306" s="642" t="str">
        <f t="shared" ca="1" si="191"/>
        <v/>
      </c>
      <c r="AI306" s="642" t="str">
        <f t="shared" ca="1" si="191"/>
        <v/>
      </c>
      <c r="AJ306" s="642" t="str">
        <f t="shared" ca="1" si="191"/>
        <v/>
      </c>
      <c r="AK306" s="642" t="str">
        <f t="shared" ref="AK306:BB306" ca="1" si="192">OFFSET(A1_原単位2026,9+24,AK247+2)</f>
        <v/>
      </c>
      <c r="AL306" s="642" t="str">
        <f t="shared" ca="1" si="192"/>
        <v/>
      </c>
      <c r="AM306" s="642" t="str">
        <f t="shared" ca="1" si="192"/>
        <v/>
      </c>
      <c r="AN306" s="642" t="str">
        <f t="shared" ca="1" si="192"/>
        <v/>
      </c>
      <c r="AO306" s="642" t="str">
        <f t="shared" ca="1" si="192"/>
        <v/>
      </c>
      <c r="AP306" s="642" t="str">
        <f t="shared" ca="1" si="192"/>
        <v/>
      </c>
      <c r="AQ306" s="642" t="str">
        <f t="shared" ca="1" si="192"/>
        <v/>
      </c>
      <c r="AR306" s="642" t="str">
        <f t="shared" ca="1" si="192"/>
        <v/>
      </c>
      <c r="AS306" s="642" t="str">
        <f t="shared" ca="1" si="192"/>
        <v/>
      </c>
      <c r="AT306" s="642" t="str">
        <f t="shared" ca="1" si="192"/>
        <v/>
      </c>
      <c r="AU306" s="642" t="str">
        <f t="shared" ca="1" si="192"/>
        <v/>
      </c>
      <c r="AV306" s="642" t="str">
        <f t="shared" ca="1" si="192"/>
        <v/>
      </c>
      <c r="AW306" s="642" t="str">
        <f t="shared" ca="1" si="192"/>
        <v/>
      </c>
      <c r="AX306" s="642" t="str">
        <f t="shared" ca="1" si="192"/>
        <v/>
      </c>
      <c r="AY306" s="642" t="str">
        <f t="shared" ca="1" si="192"/>
        <v/>
      </c>
      <c r="AZ306" s="642" t="str">
        <f t="shared" ca="1" si="192"/>
        <v/>
      </c>
      <c r="BA306" s="642" t="str">
        <f t="shared" ca="1" si="192"/>
        <v/>
      </c>
      <c r="BB306" s="678" t="str">
        <f t="shared" ca="1" si="192"/>
        <v/>
      </c>
    </row>
    <row r="307" spans="1:242" ht="18.600000000000001" hidden="1" thickBot="1">
      <c r="A307" s="179">
        <v>61</v>
      </c>
      <c r="B307" s="1100"/>
      <c r="C307" s="679" t="s">
        <v>4057</v>
      </c>
      <c r="D307" s="682"/>
      <c r="E307" s="680" t="str">
        <f t="shared" ref="E307:AJ307" ca="1" si="193">OFFSET(A1_原単位2026,9+36,E247+2)</f>
        <v/>
      </c>
      <c r="F307" s="680" t="str">
        <f t="shared" ca="1" si="193"/>
        <v/>
      </c>
      <c r="G307" s="680" t="str">
        <f t="shared" ca="1" si="193"/>
        <v/>
      </c>
      <c r="H307" s="680" t="str">
        <f t="shared" ca="1" si="193"/>
        <v/>
      </c>
      <c r="I307" s="680" t="str">
        <f t="shared" ca="1" si="193"/>
        <v/>
      </c>
      <c r="J307" s="680" t="str">
        <f t="shared" ca="1" si="193"/>
        <v/>
      </c>
      <c r="K307" s="680" t="str">
        <f t="shared" ca="1" si="193"/>
        <v/>
      </c>
      <c r="L307" s="680" t="str">
        <f t="shared" ca="1" si="193"/>
        <v/>
      </c>
      <c r="M307" s="680" t="str">
        <f t="shared" ca="1" si="193"/>
        <v/>
      </c>
      <c r="N307" s="680" t="str">
        <f t="shared" ca="1" si="193"/>
        <v/>
      </c>
      <c r="O307" s="680" t="str">
        <f t="shared" ca="1" si="193"/>
        <v/>
      </c>
      <c r="P307" s="680" t="str">
        <f t="shared" ca="1" si="193"/>
        <v/>
      </c>
      <c r="Q307" s="680" t="str">
        <f t="shared" ca="1" si="193"/>
        <v/>
      </c>
      <c r="R307" s="680" t="str">
        <f t="shared" ca="1" si="193"/>
        <v/>
      </c>
      <c r="S307" s="680" t="str">
        <f t="shared" ca="1" si="193"/>
        <v/>
      </c>
      <c r="T307" s="680" t="str">
        <f t="shared" ca="1" si="193"/>
        <v/>
      </c>
      <c r="U307" s="680" t="str">
        <f t="shared" ca="1" si="193"/>
        <v/>
      </c>
      <c r="V307" s="680" t="str">
        <f t="shared" ca="1" si="193"/>
        <v/>
      </c>
      <c r="W307" s="680" t="str">
        <f t="shared" ca="1" si="193"/>
        <v/>
      </c>
      <c r="X307" s="680" t="str">
        <f t="shared" ca="1" si="193"/>
        <v/>
      </c>
      <c r="Y307" s="680" t="str">
        <f t="shared" ca="1" si="193"/>
        <v/>
      </c>
      <c r="Z307" s="680" t="str">
        <f t="shared" ca="1" si="193"/>
        <v/>
      </c>
      <c r="AA307" s="680" t="str">
        <f t="shared" ca="1" si="193"/>
        <v/>
      </c>
      <c r="AB307" s="680" t="str">
        <f t="shared" ca="1" si="193"/>
        <v/>
      </c>
      <c r="AC307" s="680" t="str">
        <f t="shared" ca="1" si="193"/>
        <v/>
      </c>
      <c r="AD307" s="680" t="str">
        <f t="shared" ca="1" si="193"/>
        <v/>
      </c>
      <c r="AE307" s="680" t="str">
        <f t="shared" ca="1" si="193"/>
        <v/>
      </c>
      <c r="AF307" s="680" t="str">
        <f t="shared" ca="1" si="193"/>
        <v/>
      </c>
      <c r="AG307" s="680" t="str">
        <f t="shared" ca="1" si="193"/>
        <v/>
      </c>
      <c r="AH307" s="680" t="str">
        <f t="shared" ca="1" si="193"/>
        <v/>
      </c>
      <c r="AI307" s="680" t="str">
        <f t="shared" ca="1" si="193"/>
        <v/>
      </c>
      <c r="AJ307" s="680" t="str">
        <f t="shared" ca="1" si="193"/>
        <v/>
      </c>
      <c r="AK307" s="680" t="str">
        <f t="shared" ref="AK307:BB307" ca="1" si="194">OFFSET(A1_原単位2026,9+36,AK247+2)</f>
        <v/>
      </c>
      <c r="AL307" s="680" t="str">
        <f t="shared" ca="1" si="194"/>
        <v/>
      </c>
      <c r="AM307" s="680" t="str">
        <f t="shared" ca="1" si="194"/>
        <v/>
      </c>
      <c r="AN307" s="680" t="str">
        <f t="shared" ca="1" si="194"/>
        <v/>
      </c>
      <c r="AO307" s="680" t="str">
        <f t="shared" ca="1" si="194"/>
        <v/>
      </c>
      <c r="AP307" s="680" t="str">
        <f t="shared" ca="1" si="194"/>
        <v/>
      </c>
      <c r="AQ307" s="680" t="str">
        <f t="shared" ca="1" si="194"/>
        <v/>
      </c>
      <c r="AR307" s="680" t="str">
        <f t="shared" ca="1" si="194"/>
        <v/>
      </c>
      <c r="AS307" s="680" t="str">
        <f t="shared" ca="1" si="194"/>
        <v/>
      </c>
      <c r="AT307" s="680" t="str">
        <f t="shared" ca="1" si="194"/>
        <v/>
      </c>
      <c r="AU307" s="680" t="str">
        <f t="shared" ca="1" si="194"/>
        <v/>
      </c>
      <c r="AV307" s="680" t="str">
        <f t="shared" ca="1" si="194"/>
        <v/>
      </c>
      <c r="AW307" s="680" t="str">
        <f t="shared" ca="1" si="194"/>
        <v/>
      </c>
      <c r="AX307" s="680" t="str">
        <f t="shared" ca="1" si="194"/>
        <v/>
      </c>
      <c r="AY307" s="680" t="str">
        <f t="shared" ca="1" si="194"/>
        <v/>
      </c>
      <c r="AZ307" s="680" t="str">
        <f t="shared" ca="1" si="194"/>
        <v/>
      </c>
      <c r="BA307" s="680" t="str">
        <f t="shared" ca="1" si="194"/>
        <v/>
      </c>
      <c r="BB307" s="681" t="str">
        <f t="shared" ca="1" si="194"/>
        <v/>
      </c>
    </row>
    <row r="308" spans="1:242"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5">IF(AND($HE$10="",$HG$10=""),IF(AND(F300="",F252&lt;&gt;""),"&lt;"&amp;F312&amp;"&gt;要入力",IF(OR(F300=F304,F300="",F304=""),"","&lt;"&amp;F312&amp;"&gt;要修正("&amp;F300&amp;"→"&amp;F304&amp;")")),"")</f>
        <v/>
      </c>
      <c r="G308" s="674" t="str">
        <f t="shared" ca="1" si="195"/>
        <v/>
      </c>
      <c r="H308" s="674" t="str">
        <f t="shared" ca="1" si="195"/>
        <v/>
      </c>
      <c r="I308" s="674" t="str">
        <f t="shared" ca="1" si="195"/>
        <v/>
      </c>
      <c r="J308" s="674" t="str">
        <f t="shared" ca="1" si="195"/>
        <v/>
      </c>
      <c r="K308" s="674" t="str">
        <f t="shared" ca="1" si="195"/>
        <v/>
      </c>
      <c r="L308" s="674" t="str">
        <f t="shared" ca="1" si="195"/>
        <v/>
      </c>
      <c r="M308" s="674" t="str">
        <f t="shared" ca="1" si="195"/>
        <v/>
      </c>
      <c r="N308" s="674" t="str">
        <f t="shared" ca="1" si="195"/>
        <v/>
      </c>
      <c r="O308" s="674" t="str">
        <f t="shared" ca="1" si="195"/>
        <v/>
      </c>
      <c r="P308" s="674" t="str">
        <f t="shared" ca="1" si="195"/>
        <v/>
      </c>
      <c r="Q308" s="674" t="str">
        <f t="shared" ca="1" si="195"/>
        <v/>
      </c>
      <c r="R308" s="674" t="str">
        <f t="shared" ca="1" si="195"/>
        <v/>
      </c>
      <c r="S308" s="674" t="str">
        <f t="shared" ca="1" si="195"/>
        <v/>
      </c>
      <c r="T308" s="674" t="str">
        <f t="shared" ca="1" si="195"/>
        <v/>
      </c>
      <c r="U308" s="674" t="str">
        <f t="shared" ca="1" si="195"/>
        <v/>
      </c>
      <c r="V308" s="674" t="str">
        <f t="shared" ca="1" si="195"/>
        <v/>
      </c>
      <c r="W308" s="674" t="str">
        <f t="shared" ca="1" si="195"/>
        <v/>
      </c>
      <c r="X308" s="674" t="str">
        <f t="shared" ca="1" si="195"/>
        <v/>
      </c>
      <c r="Y308" s="674" t="str">
        <f t="shared" ca="1" si="195"/>
        <v/>
      </c>
      <c r="Z308" s="674" t="str">
        <f t="shared" ca="1" si="195"/>
        <v/>
      </c>
      <c r="AA308" s="674" t="str">
        <f t="shared" ca="1" si="195"/>
        <v/>
      </c>
      <c r="AB308" s="674" t="str">
        <f t="shared" ca="1" si="195"/>
        <v/>
      </c>
      <c r="AC308" s="674" t="str">
        <f t="shared" ca="1" si="195"/>
        <v/>
      </c>
      <c r="AD308" s="674" t="str">
        <f t="shared" ca="1" si="195"/>
        <v/>
      </c>
      <c r="AE308" s="674" t="str">
        <f t="shared" ca="1" si="195"/>
        <v/>
      </c>
      <c r="AF308" s="674" t="str">
        <f t="shared" ca="1" si="195"/>
        <v/>
      </c>
      <c r="AG308" s="674" t="str">
        <f t="shared" ca="1" si="195"/>
        <v/>
      </c>
      <c r="AH308" s="674" t="str">
        <f t="shared" ca="1" si="195"/>
        <v/>
      </c>
      <c r="AI308" s="674" t="str">
        <f t="shared" ca="1" si="195"/>
        <v/>
      </c>
      <c r="AJ308" s="674" t="str">
        <f t="shared" ca="1" si="195"/>
        <v/>
      </c>
      <c r="AK308" s="674" t="str">
        <f t="shared" ca="1" si="195"/>
        <v/>
      </c>
      <c r="AL308" s="674" t="str">
        <f t="shared" ca="1" si="195"/>
        <v/>
      </c>
      <c r="AM308" s="674" t="str">
        <f t="shared" ca="1" si="195"/>
        <v/>
      </c>
      <c r="AN308" s="674" t="str">
        <f t="shared" ca="1" si="195"/>
        <v/>
      </c>
      <c r="AO308" s="674" t="str">
        <f t="shared" ca="1" si="195"/>
        <v/>
      </c>
      <c r="AP308" s="674" t="str">
        <f t="shared" ca="1" si="195"/>
        <v/>
      </c>
      <c r="AQ308" s="674" t="str">
        <f t="shared" ca="1" si="195"/>
        <v/>
      </c>
      <c r="AR308" s="674" t="str">
        <f t="shared" ca="1" si="195"/>
        <v/>
      </c>
      <c r="AS308" s="674" t="str">
        <f t="shared" ca="1" si="195"/>
        <v/>
      </c>
      <c r="AT308" s="674" t="str">
        <f t="shared" ca="1" si="195"/>
        <v/>
      </c>
      <c r="AU308" s="674" t="str">
        <f t="shared" ca="1" si="195"/>
        <v/>
      </c>
      <c r="AV308" s="674" t="str">
        <f t="shared" ca="1" si="195"/>
        <v/>
      </c>
      <c r="AW308" s="674" t="str">
        <f t="shared" ca="1" si="195"/>
        <v/>
      </c>
      <c r="AX308" s="674" t="str">
        <f t="shared" ca="1" si="195"/>
        <v/>
      </c>
      <c r="AY308" s="674" t="str">
        <f t="shared" ca="1" si="195"/>
        <v/>
      </c>
      <c r="AZ308" s="674" t="str">
        <f t="shared" ca="1" si="195"/>
        <v/>
      </c>
      <c r="BA308" s="674" t="str">
        <f t="shared" ca="1" si="195"/>
        <v/>
      </c>
      <c r="BB308" s="674" t="str">
        <f t="shared" ca="1" si="195"/>
        <v/>
      </c>
    </row>
    <row r="309" spans="1:242" hidden="1">
      <c r="A309" s="179">
        <v>63</v>
      </c>
      <c r="B309" s="1099"/>
      <c r="C309" s="676" t="s">
        <v>4055</v>
      </c>
      <c r="D309" s="684"/>
      <c r="E309" s="642" t="str">
        <f ca="1">IF(AND($HE$10="",$HG$10=""),IF(AND(E301="",E264&lt;&gt;""),"&lt;"&amp;E313&amp;"&gt;要入力",IF(OR(E301=E305,E301="",E305=""),"","&lt;"&amp;E313&amp;"&gt;要修正("&amp;E301&amp;"→"&amp;E305&amp;")")),"")</f>
        <v/>
      </c>
      <c r="F309" s="642" t="str">
        <f t="shared" ref="F309:BB309" ca="1" si="196">IF(AND($HE$10="",$HG$10=""),IF(AND(F301="",F264&lt;&gt;""),"&lt;"&amp;F313&amp;"&gt;要入力",IF(OR(F301=F305,F301="",F305=""),"","&lt;"&amp;F313&amp;"&gt;要修正("&amp;F301&amp;"→"&amp;F305&amp;")")),"")</f>
        <v/>
      </c>
      <c r="G309" s="642" t="str">
        <f t="shared" ca="1" si="196"/>
        <v/>
      </c>
      <c r="H309" s="642" t="str">
        <f t="shared" ca="1" si="196"/>
        <v/>
      </c>
      <c r="I309" s="642" t="str">
        <f t="shared" ca="1" si="196"/>
        <v/>
      </c>
      <c r="J309" s="642" t="str">
        <f t="shared" ca="1" si="196"/>
        <v/>
      </c>
      <c r="K309" s="642" t="str">
        <f t="shared" ca="1" si="196"/>
        <v/>
      </c>
      <c r="L309" s="642" t="str">
        <f t="shared" ca="1" si="196"/>
        <v/>
      </c>
      <c r="M309" s="642" t="str">
        <f t="shared" ca="1" si="196"/>
        <v/>
      </c>
      <c r="N309" s="642" t="str">
        <f t="shared" ca="1" si="196"/>
        <v/>
      </c>
      <c r="O309" s="642" t="str">
        <f t="shared" ca="1" si="196"/>
        <v/>
      </c>
      <c r="P309" s="642" t="str">
        <f t="shared" ca="1" si="196"/>
        <v/>
      </c>
      <c r="Q309" s="642" t="str">
        <f t="shared" ca="1" si="196"/>
        <v/>
      </c>
      <c r="R309" s="642" t="str">
        <f t="shared" ca="1" si="196"/>
        <v/>
      </c>
      <c r="S309" s="642" t="str">
        <f t="shared" ca="1" si="196"/>
        <v/>
      </c>
      <c r="T309" s="642" t="str">
        <f t="shared" ca="1" si="196"/>
        <v/>
      </c>
      <c r="U309" s="642" t="str">
        <f t="shared" ca="1" si="196"/>
        <v/>
      </c>
      <c r="V309" s="642" t="str">
        <f t="shared" ca="1" si="196"/>
        <v/>
      </c>
      <c r="W309" s="642" t="str">
        <f t="shared" ca="1" si="196"/>
        <v/>
      </c>
      <c r="X309" s="642" t="str">
        <f t="shared" ca="1" si="196"/>
        <v/>
      </c>
      <c r="Y309" s="642" t="str">
        <f t="shared" ca="1" si="196"/>
        <v/>
      </c>
      <c r="Z309" s="642" t="str">
        <f t="shared" ca="1" si="196"/>
        <v/>
      </c>
      <c r="AA309" s="642" t="str">
        <f t="shared" ca="1" si="196"/>
        <v/>
      </c>
      <c r="AB309" s="642" t="str">
        <f t="shared" ca="1" si="196"/>
        <v/>
      </c>
      <c r="AC309" s="642" t="str">
        <f t="shared" ca="1" si="196"/>
        <v/>
      </c>
      <c r="AD309" s="642" t="str">
        <f t="shared" ca="1" si="196"/>
        <v/>
      </c>
      <c r="AE309" s="642" t="str">
        <f t="shared" ca="1" si="196"/>
        <v/>
      </c>
      <c r="AF309" s="642" t="str">
        <f t="shared" ca="1" si="196"/>
        <v/>
      </c>
      <c r="AG309" s="642" t="str">
        <f t="shared" ca="1" si="196"/>
        <v/>
      </c>
      <c r="AH309" s="642" t="str">
        <f t="shared" ca="1" si="196"/>
        <v/>
      </c>
      <c r="AI309" s="642" t="str">
        <f t="shared" ca="1" si="196"/>
        <v/>
      </c>
      <c r="AJ309" s="642" t="str">
        <f t="shared" ca="1" si="196"/>
        <v/>
      </c>
      <c r="AK309" s="642" t="str">
        <f t="shared" ca="1" si="196"/>
        <v/>
      </c>
      <c r="AL309" s="642" t="str">
        <f t="shared" ca="1" si="196"/>
        <v/>
      </c>
      <c r="AM309" s="642" t="str">
        <f t="shared" ca="1" si="196"/>
        <v/>
      </c>
      <c r="AN309" s="642" t="str">
        <f t="shared" ca="1" si="196"/>
        <v/>
      </c>
      <c r="AO309" s="642" t="str">
        <f t="shared" ca="1" si="196"/>
        <v/>
      </c>
      <c r="AP309" s="642" t="str">
        <f t="shared" ca="1" si="196"/>
        <v/>
      </c>
      <c r="AQ309" s="642" t="str">
        <f t="shared" ca="1" si="196"/>
        <v/>
      </c>
      <c r="AR309" s="642" t="str">
        <f t="shared" ca="1" si="196"/>
        <v/>
      </c>
      <c r="AS309" s="642" t="str">
        <f t="shared" ca="1" si="196"/>
        <v/>
      </c>
      <c r="AT309" s="642" t="str">
        <f t="shared" ca="1" si="196"/>
        <v/>
      </c>
      <c r="AU309" s="642" t="str">
        <f t="shared" ca="1" si="196"/>
        <v/>
      </c>
      <c r="AV309" s="642" t="str">
        <f t="shared" ca="1" si="196"/>
        <v/>
      </c>
      <c r="AW309" s="642" t="str">
        <f t="shared" ca="1" si="196"/>
        <v/>
      </c>
      <c r="AX309" s="642" t="str">
        <f t="shared" ca="1" si="196"/>
        <v/>
      </c>
      <c r="AY309" s="642" t="str">
        <f t="shared" ca="1" si="196"/>
        <v/>
      </c>
      <c r="AZ309" s="642" t="str">
        <f t="shared" ca="1" si="196"/>
        <v/>
      </c>
      <c r="BA309" s="642" t="str">
        <f t="shared" ca="1" si="196"/>
        <v/>
      </c>
      <c r="BB309" s="642" t="str">
        <f t="shared" ca="1" si="196"/>
        <v/>
      </c>
    </row>
    <row r="310" spans="1:242" hidden="1">
      <c r="A310" s="179">
        <v>64</v>
      </c>
      <c r="B310" s="1099"/>
      <c r="C310" s="676" t="s">
        <v>4056</v>
      </c>
      <c r="D310" s="684"/>
      <c r="E310" s="642" t="str">
        <f ca="1">IF(AND($HE$10="",$HG$10=""),IF(AND(E302="",E276&lt;&gt;""),"&lt;"&amp;E314&amp;"&gt;要入力",IF(OR(E302=E306,E302="",E306=""),"","&lt;"&amp;E314&amp;"&gt;要修正("&amp;E302&amp;"→"&amp;E306&amp;")")),"")</f>
        <v/>
      </c>
      <c r="F310" s="642" t="str">
        <f t="shared" ref="F310:BB310" ca="1" si="197">IF(AND($HE$10="",$HG$10=""),IF(AND(F302="",F276&lt;&gt;""),"&lt;"&amp;F314&amp;"&gt;要入力",IF(OR(F302=F306,F302="",F306=""),"","&lt;"&amp;F314&amp;"&gt;要修正("&amp;F302&amp;"→"&amp;F306&amp;")")),"")</f>
        <v/>
      </c>
      <c r="G310" s="642" t="str">
        <f t="shared" ca="1" si="197"/>
        <v/>
      </c>
      <c r="H310" s="642" t="str">
        <f t="shared" ca="1" si="197"/>
        <v/>
      </c>
      <c r="I310" s="642" t="str">
        <f t="shared" ca="1" si="197"/>
        <v/>
      </c>
      <c r="J310" s="642" t="str">
        <f t="shared" ca="1" si="197"/>
        <v/>
      </c>
      <c r="K310" s="642" t="str">
        <f t="shared" ca="1" si="197"/>
        <v/>
      </c>
      <c r="L310" s="642" t="str">
        <f t="shared" ca="1" si="197"/>
        <v/>
      </c>
      <c r="M310" s="642" t="str">
        <f t="shared" ca="1" si="197"/>
        <v/>
      </c>
      <c r="N310" s="642" t="str">
        <f t="shared" ca="1" si="197"/>
        <v/>
      </c>
      <c r="O310" s="642" t="str">
        <f t="shared" ca="1" si="197"/>
        <v/>
      </c>
      <c r="P310" s="642" t="str">
        <f t="shared" ca="1" si="197"/>
        <v/>
      </c>
      <c r="Q310" s="642" t="str">
        <f t="shared" ca="1" si="197"/>
        <v/>
      </c>
      <c r="R310" s="642" t="str">
        <f t="shared" ca="1" si="197"/>
        <v/>
      </c>
      <c r="S310" s="642" t="str">
        <f t="shared" ca="1" si="197"/>
        <v/>
      </c>
      <c r="T310" s="642" t="str">
        <f t="shared" ca="1" si="197"/>
        <v/>
      </c>
      <c r="U310" s="642" t="str">
        <f t="shared" ca="1" si="197"/>
        <v/>
      </c>
      <c r="V310" s="642" t="str">
        <f t="shared" ca="1" si="197"/>
        <v/>
      </c>
      <c r="W310" s="642" t="str">
        <f t="shared" ca="1" si="197"/>
        <v/>
      </c>
      <c r="X310" s="642" t="str">
        <f t="shared" ca="1" si="197"/>
        <v/>
      </c>
      <c r="Y310" s="642" t="str">
        <f t="shared" ca="1" si="197"/>
        <v/>
      </c>
      <c r="Z310" s="642" t="str">
        <f t="shared" ca="1" si="197"/>
        <v/>
      </c>
      <c r="AA310" s="642" t="str">
        <f t="shared" ca="1" si="197"/>
        <v/>
      </c>
      <c r="AB310" s="642" t="str">
        <f t="shared" ca="1" si="197"/>
        <v/>
      </c>
      <c r="AC310" s="642" t="str">
        <f t="shared" ca="1" si="197"/>
        <v/>
      </c>
      <c r="AD310" s="642" t="str">
        <f t="shared" ca="1" si="197"/>
        <v/>
      </c>
      <c r="AE310" s="642" t="str">
        <f t="shared" ca="1" si="197"/>
        <v/>
      </c>
      <c r="AF310" s="642" t="str">
        <f t="shared" ca="1" si="197"/>
        <v/>
      </c>
      <c r="AG310" s="642" t="str">
        <f t="shared" ca="1" si="197"/>
        <v/>
      </c>
      <c r="AH310" s="642" t="str">
        <f t="shared" ca="1" si="197"/>
        <v/>
      </c>
      <c r="AI310" s="642" t="str">
        <f t="shared" ca="1" si="197"/>
        <v/>
      </c>
      <c r="AJ310" s="642" t="str">
        <f t="shared" ca="1" si="197"/>
        <v/>
      </c>
      <c r="AK310" s="642" t="str">
        <f t="shared" ca="1" si="197"/>
        <v/>
      </c>
      <c r="AL310" s="642" t="str">
        <f t="shared" ca="1" si="197"/>
        <v/>
      </c>
      <c r="AM310" s="642" t="str">
        <f t="shared" ca="1" si="197"/>
        <v/>
      </c>
      <c r="AN310" s="642" t="str">
        <f t="shared" ca="1" si="197"/>
        <v/>
      </c>
      <c r="AO310" s="642" t="str">
        <f t="shared" ca="1" si="197"/>
        <v/>
      </c>
      <c r="AP310" s="642" t="str">
        <f t="shared" ca="1" si="197"/>
        <v/>
      </c>
      <c r="AQ310" s="642" t="str">
        <f t="shared" ca="1" si="197"/>
        <v/>
      </c>
      <c r="AR310" s="642" t="str">
        <f t="shared" ca="1" si="197"/>
        <v/>
      </c>
      <c r="AS310" s="642" t="str">
        <f t="shared" ca="1" si="197"/>
        <v/>
      </c>
      <c r="AT310" s="642" t="str">
        <f t="shared" ca="1" si="197"/>
        <v/>
      </c>
      <c r="AU310" s="642" t="str">
        <f t="shared" ca="1" si="197"/>
        <v/>
      </c>
      <c r="AV310" s="642" t="str">
        <f t="shared" ca="1" si="197"/>
        <v/>
      </c>
      <c r="AW310" s="642" t="str">
        <f t="shared" ca="1" si="197"/>
        <v/>
      </c>
      <c r="AX310" s="642" t="str">
        <f t="shared" ca="1" si="197"/>
        <v/>
      </c>
      <c r="AY310" s="642" t="str">
        <f t="shared" ca="1" si="197"/>
        <v/>
      </c>
      <c r="AZ310" s="642" t="str">
        <f t="shared" ca="1" si="197"/>
        <v/>
      </c>
      <c r="BA310" s="642" t="str">
        <f t="shared" ca="1" si="197"/>
        <v/>
      </c>
      <c r="BB310" s="642" t="str">
        <f t="shared" ca="1" si="197"/>
        <v/>
      </c>
    </row>
    <row r="311" spans="1:242"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8">IF(AND($HE$10="",$HG$10=""),IF(AND(F303="",F288&lt;&gt;""),"&lt;"&amp;F315&amp;"&gt;要入力",IF(OR(F303=F307,F303="",F307=""),"","&lt;"&amp;F315&amp;"&gt;要修正("&amp;F303&amp;"→"&amp;F307&amp;")")),"")</f>
        <v/>
      </c>
      <c r="G311" s="680" t="str">
        <f t="shared" ca="1" si="198"/>
        <v/>
      </c>
      <c r="H311" s="680" t="str">
        <f t="shared" ca="1" si="198"/>
        <v/>
      </c>
      <c r="I311" s="680" t="str">
        <f t="shared" ca="1" si="198"/>
        <v/>
      </c>
      <c r="J311" s="680" t="str">
        <f t="shared" ca="1" si="198"/>
        <v/>
      </c>
      <c r="K311" s="680" t="str">
        <f t="shared" ca="1" si="198"/>
        <v/>
      </c>
      <c r="L311" s="680" t="str">
        <f t="shared" ca="1" si="198"/>
        <v/>
      </c>
      <c r="M311" s="680" t="str">
        <f t="shared" ca="1" si="198"/>
        <v/>
      </c>
      <c r="N311" s="680" t="str">
        <f t="shared" ca="1" si="198"/>
        <v/>
      </c>
      <c r="O311" s="680" t="str">
        <f t="shared" ca="1" si="198"/>
        <v/>
      </c>
      <c r="P311" s="680" t="str">
        <f t="shared" ca="1" si="198"/>
        <v/>
      </c>
      <c r="Q311" s="680" t="str">
        <f t="shared" ca="1" si="198"/>
        <v/>
      </c>
      <c r="R311" s="680" t="str">
        <f t="shared" ca="1" si="198"/>
        <v/>
      </c>
      <c r="S311" s="680" t="str">
        <f t="shared" ca="1" si="198"/>
        <v/>
      </c>
      <c r="T311" s="680" t="str">
        <f t="shared" ca="1" si="198"/>
        <v/>
      </c>
      <c r="U311" s="680" t="str">
        <f t="shared" ca="1" si="198"/>
        <v/>
      </c>
      <c r="V311" s="680" t="str">
        <f t="shared" ca="1" si="198"/>
        <v/>
      </c>
      <c r="W311" s="680" t="str">
        <f t="shared" ca="1" si="198"/>
        <v/>
      </c>
      <c r="X311" s="680" t="str">
        <f t="shared" ca="1" si="198"/>
        <v/>
      </c>
      <c r="Y311" s="680" t="str">
        <f t="shared" ca="1" si="198"/>
        <v/>
      </c>
      <c r="Z311" s="680" t="str">
        <f t="shared" ca="1" si="198"/>
        <v/>
      </c>
      <c r="AA311" s="680" t="str">
        <f t="shared" ca="1" si="198"/>
        <v/>
      </c>
      <c r="AB311" s="680" t="str">
        <f t="shared" ca="1" si="198"/>
        <v/>
      </c>
      <c r="AC311" s="680" t="str">
        <f t="shared" ca="1" si="198"/>
        <v/>
      </c>
      <c r="AD311" s="680" t="str">
        <f t="shared" ca="1" si="198"/>
        <v/>
      </c>
      <c r="AE311" s="680" t="str">
        <f t="shared" ca="1" si="198"/>
        <v/>
      </c>
      <c r="AF311" s="680" t="str">
        <f t="shared" ca="1" si="198"/>
        <v/>
      </c>
      <c r="AG311" s="680" t="str">
        <f t="shared" ca="1" si="198"/>
        <v/>
      </c>
      <c r="AH311" s="680" t="str">
        <f t="shared" ca="1" si="198"/>
        <v/>
      </c>
      <c r="AI311" s="680" t="str">
        <f t="shared" ca="1" si="198"/>
        <v/>
      </c>
      <c r="AJ311" s="680" t="str">
        <f t="shared" ca="1" si="198"/>
        <v/>
      </c>
      <c r="AK311" s="680" t="str">
        <f t="shared" ca="1" si="198"/>
        <v/>
      </c>
      <c r="AL311" s="680" t="str">
        <f t="shared" ca="1" si="198"/>
        <v/>
      </c>
      <c r="AM311" s="680" t="str">
        <f t="shared" ca="1" si="198"/>
        <v/>
      </c>
      <c r="AN311" s="680" t="str">
        <f t="shared" ca="1" si="198"/>
        <v/>
      </c>
      <c r="AO311" s="680" t="str">
        <f t="shared" ca="1" si="198"/>
        <v/>
      </c>
      <c r="AP311" s="680" t="str">
        <f t="shared" ca="1" si="198"/>
        <v/>
      </c>
      <c r="AQ311" s="680" t="str">
        <f t="shared" ca="1" si="198"/>
        <v/>
      </c>
      <c r="AR311" s="680" t="str">
        <f t="shared" ca="1" si="198"/>
        <v/>
      </c>
      <c r="AS311" s="680" t="str">
        <f t="shared" ca="1" si="198"/>
        <v/>
      </c>
      <c r="AT311" s="680" t="str">
        <f t="shared" ca="1" si="198"/>
        <v/>
      </c>
      <c r="AU311" s="680" t="str">
        <f t="shared" ca="1" si="198"/>
        <v/>
      </c>
      <c r="AV311" s="680" t="str">
        <f t="shared" ca="1" si="198"/>
        <v/>
      </c>
      <c r="AW311" s="680" t="str">
        <f t="shared" ca="1" si="198"/>
        <v/>
      </c>
      <c r="AX311" s="680" t="str">
        <f t="shared" ca="1" si="198"/>
        <v/>
      </c>
      <c r="AY311" s="680" t="str">
        <f t="shared" ca="1" si="198"/>
        <v/>
      </c>
      <c r="AZ311" s="680" t="str">
        <f t="shared" ca="1" si="198"/>
        <v/>
      </c>
      <c r="BA311" s="680" t="str">
        <f t="shared" ca="1" si="198"/>
        <v/>
      </c>
      <c r="BB311" s="680" t="str">
        <f t="shared" ca="1" si="198"/>
        <v/>
      </c>
    </row>
    <row r="312" spans="1:242" ht="14.25" hidden="1" customHeight="1">
      <c r="B312" s="1098" t="s">
        <v>4307</v>
      </c>
      <c r="C312" s="672" t="s">
        <v>4054</v>
      </c>
      <c r="D312" s="683"/>
      <c r="E312" s="674" t="str">
        <f t="shared" ref="E312:AJ312" ca="1" si="199">IFERROR(ADDRESS(ROW(貼付け_2024実績)+99,E253+COLUMN(貼付け_2024実績),4),"")</f>
        <v/>
      </c>
      <c r="F312" s="674" t="str">
        <f t="shared" ca="1" si="199"/>
        <v/>
      </c>
      <c r="G312" s="674" t="str">
        <f t="shared" ca="1" si="199"/>
        <v/>
      </c>
      <c r="H312" s="674" t="str">
        <f t="shared" ca="1" si="199"/>
        <v/>
      </c>
      <c r="I312" s="674" t="str">
        <f t="shared" ca="1" si="199"/>
        <v/>
      </c>
      <c r="J312" s="674" t="str">
        <f t="shared" ca="1" si="199"/>
        <v/>
      </c>
      <c r="K312" s="674" t="str">
        <f t="shared" ca="1" si="199"/>
        <v/>
      </c>
      <c r="L312" s="674" t="str">
        <f t="shared" ca="1" si="199"/>
        <v/>
      </c>
      <c r="M312" s="674" t="str">
        <f t="shared" ca="1" si="199"/>
        <v/>
      </c>
      <c r="N312" s="674" t="str">
        <f t="shared" ca="1" si="199"/>
        <v/>
      </c>
      <c r="O312" s="674" t="str">
        <f t="shared" ca="1" si="199"/>
        <v/>
      </c>
      <c r="P312" s="674" t="str">
        <f t="shared" ca="1" si="199"/>
        <v/>
      </c>
      <c r="Q312" s="674" t="str">
        <f t="shared" ca="1" si="199"/>
        <v/>
      </c>
      <c r="R312" s="674" t="str">
        <f t="shared" ca="1" si="199"/>
        <v/>
      </c>
      <c r="S312" s="674" t="str">
        <f t="shared" ca="1" si="199"/>
        <v/>
      </c>
      <c r="T312" s="674" t="str">
        <f t="shared" ca="1" si="199"/>
        <v/>
      </c>
      <c r="U312" s="674" t="str">
        <f t="shared" ca="1" si="199"/>
        <v/>
      </c>
      <c r="V312" s="674" t="str">
        <f t="shared" ca="1" si="199"/>
        <v/>
      </c>
      <c r="W312" s="674" t="str">
        <f t="shared" ca="1" si="199"/>
        <v/>
      </c>
      <c r="X312" s="674" t="str">
        <f t="shared" ca="1" si="199"/>
        <v/>
      </c>
      <c r="Y312" s="674" t="str">
        <f t="shared" ca="1" si="199"/>
        <v/>
      </c>
      <c r="Z312" s="674" t="str">
        <f t="shared" ca="1" si="199"/>
        <v/>
      </c>
      <c r="AA312" s="674" t="str">
        <f t="shared" ca="1" si="199"/>
        <v/>
      </c>
      <c r="AB312" s="674" t="str">
        <f t="shared" ca="1" si="199"/>
        <v/>
      </c>
      <c r="AC312" s="674" t="str">
        <f t="shared" ca="1" si="199"/>
        <v/>
      </c>
      <c r="AD312" s="674" t="str">
        <f t="shared" ca="1" si="199"/>
        <v/>
      </c>
      <c r="AE312" s="674" t="str">
        <f t="shared" ca="1" si="199"/>
        <v/>
      </c>
      <c r="AF312" s="674" t="str">
        <f t="shared" ca="1" si="199"/>
        <v/>
      </c>
      <c r="AG312" s="674" t="str">
        <f t="shared" ca="1" si="199"/>
        <v/>
      </c>
      <c r="AH312" s="674" t="str">
        <f t="shared" ca="1" si="199"/>
        <v/>
      </c>
      <c r="AI312" s="674" t="str">
        <f t="shared" ca="1" si="199"/>
        <v/>
      </c>
      <c r="AJ312" s="674" t="str">
        <f t="shared" ca="1" si="199"/>
        <v/>
      </c>
      <c r="AK312" s="674" t="str">
        <f t="shared" ref="AK312:BB312" ca="1" si="200">IFERROR(ADDRESS(ROW(貼付け_2024実績)+99,AK253+COLUMN(貼付け_2024実績),4),"")</f>
        <v/>
      </c>
      <c r="AL312" s="674" t="str">
        <f t="shared" ca="1" si="200"/>
        <v/>
      </c>
      <c r="AM312" s="674" t="str">
        <f t="shared" ca="1" si="200"/>
        <v/>
      </c>
      <c r="AN312" s="674" t="str">
        <f t="shared" ca="1" si="200"/>
        <v/>
      </c>
      <c r="AO312" s="674" t="str">
        <f t="shared" ca="1" si="200"/>
        <v/>
      </c>
      <c r="AP312" s="674" t="str">
        <f t="shared" ca="1" si="200"/>
        <v/>
      </c>
      <c r="AQ312" s="674" t="str">
        <f t="shared" ca="1" si="200"/>
        <v/>
      </c>
      <c r="AR312" s="674" t="str">
        <f t="shared" ca="1" si="200"/>
        <v/>
      </c>
      <c r="AS312" s="674" t="str">
        <f t="shared" ca="1" si="200"/>
        <v/>
      </c>
      <c r="AT312" s="674" t="str">
        <f t="shared" ca="1" si="200"/>
        <v/>
      </c>
      <c r="AU312" s="674" t="str">
        <f t="shared" ca="1" si="200"/>
        <v/>
      </c>
      <c r="AV312" s="674" t="str">
        <f t="shared" ca="1" si="200"/>
        <v/>
      </c>
      <c r="AW312" s="674" t="str">
        <f t="shared" ca="1" si="200"/>
        <v/>
      </c>
      <c r="AX312" s="674" t="str">
        <f t="shared" ca="1" si="200"/>
        <v/>
      </c>
      <c r="AY312" s="674" t="str">
        <f t="shared" ca="1" si="200"/>
        <v/>
      </c>
      <c r="AZ312" s="674" t="str">
        <f t="shared" ca="1" si="200"/>
        <v/>
      </c>
      <c r="BA312" s="674" t="str">
        <f t="shared" ca="1" si="200"/>
        <v/>
      </c>
      <c r="BB312" s="674" t="str">
        <f t="shared" ca="1" si="200"/>
        <v/>
      </c>
    </row>
    <row r="313" spans="1:242" hidden="1">
      <c r="B313" s="1099"/>
      <c r="C313" s="676" t="s">
        <v>4055</v>
      </c>
      <c r="D313" s="684"/>
      <c r="E313" s="642" t="str">
        <f t="shared" ref="E313:AJ313" ca="1" si="201">IFERROR(ADDRESS(ROW(貼付け_2024実績)+99,E265+COLUMN(貼付け_2024実績),4),"")</f>
        <v/>
      </c>
      <c r="F313" s="642" t="str">
        <f t="shared" ca="1" si="201"/>
        <v/>
      </c>
      <c r="G313" s="642" t="str">
        <f t="shared" ca="1" si="201"/>
        <v/>
      </c>
      <c r="H313" s="642" t="str">
        <f t="shared" ca="1" si="201"/>
        <v/>
      </c>
      <c r="I313" s="642" t="str">
        <f t="shared" ca="1" si="201"/>
        <v/>
      </c>
      <c r="J313" s="642" t="str">
        <f t="shared" ca="1" si="201"/>
        <v/>
      </c>
      <c r="K313" s="642" t="str">
        <f t="shared" ca="1" si="201"/>
        <v/>
      </c>
      <c r="L313" s="642" t="str">
        <f t="shared" ca="1" si="201"/>
        <v/>
      </c>
      <c r="M313" s="642" t="str">
        <f t="shared" ca="1" si="201"/>
        <v/>
      </c>
      <c r="N313" s="642" t="str">
        <f t="shared" ca="1" si="201"/>
        <v/>
      </c>
      <c r="O313" s="642" t="str">
        <f t="shared" ca="1" si="201"/>
        <v/>
      </c>
      <c r="P313" s="642" t="str">
        <f t="shared" ca="1" si="201"/>
        <v/>
      </c>
      <c r="Q313" s="642" t="str">
        <f t="shared" ca="1" si="201"/>
        <v/>
      </c>
      <c r="R313" s="642" t="str">
        <f t="shared" ca="1" si="201"/>
        <v/>
      </c>
      <c r="S313" s="642" t="str">
        <f t="shared" ca="1" si="201"/>
        <v/>
      </c>
      <c r="T313" s="642" t="str">
        <f t="shared" ca="1" si="201"/>
        <v/>
      </c>
      <c r="U313" s="642" t="str">
        <f t="shared" ca="1" si="201"/>
        <v/>
      </c>
      <c r="V313" s="642" t="str">
        <f t="shared" ca="1" si="201"/>
        <v/>
      </c>
      <c r="W313" s="642" t="str">
        <f t="shared" ca="1" si="201"/>
        <v/>
      </c>
      <c r="X313" s="642" t="str">
        <f t="shared" ca="1" si="201"/>
        <v/>
      </c>
      <c r="Y313" s="642" t="str">
        <f t="shared" ca="1" si="201"/>
        <v/>
      </c>
      <c r="Z313" s="642" t="str">
        <f t="shared" ca="1" si="201"/>
        <v/>
      </c>
      <c r="AA313" s="642" t="str">
        <f t="shared" ca="1" si="201"/>
        <v/>
      </c>
      <c r="AB313" s="642" t="str">
        <f t="shared" ca="1" si="201"/>
        <v/>
      </c>
      <c r="AC313" s="642" t="str">
        <f t="shared" ca="1" si="201"/>
        <v/>
      </c>
      <c r="AD313" s="642" t="str">
        <f t="shared" ca="1" si="201"/>
        <v/>
      </c>
      <c r="AE313" s="642" t="str">
        <f t="shared" ca="1" si="201"/>
        <v/>
      </c>
      <c r="AF313" s="642" t="str">
        <f t="shared" ca="1" si="201"/>
        <v/>
      </c>
      <c r="AG313" s="642" t="str">
        <f t="shared" ca="1" si="201"/>
        <v/>
      </c>
      <c r="AH313" s="642" t="str">
        <f t="shared" ca="1" si="201"/>
        <v/>
      </c>
      <c r="AI313" s="642" t="str">
        <f t="shared" ca="1" si="201"/>
        <v/>
      </c>
      <c r="AJ313" s="642" t="str">
        <f t="shared" ca="1" si="201"/>
        <v/>
      </c>
      <c r="AK313" s="642" t="str">
        <f t="shared" ref="AK313:BB313" ca="1" si="202">IFERROR(ADDRESS(ROW(貼付け_2024実績)+99,AK265+COLUMN(貼付け_2024実績),4),"")</f>
        <v/>
      </c>
      <c r="AL313" s="642" t="str">
        <f t="shared" ca="1" si="202"/>
        <v/>
      </c>
      <c r="AM313" s="642" t="str">
        <f t="shared" ca="1" si="202"/>
        <v/>
      </c>
      <c r="AN313" s="642" t="str">
        <f t="shared" ca="1" si="202"/>
        <v/>
      </c>
      <c r="AO313" s="642" t="str">
        <f t="shared" ca="1" si="202"/>
        <v/>
      </c>
      <c r="AP313" s="642" t="str">
        <f t="shared" ca="1" si="202"/>
        <v/>
      </c>
      <c r="AQ313" s="642" t="str">
        <f t="shared" ca="1" si="202"/>
        <v/>
      </c>
      <c r="AR313" s="642" t="str">
        <f t="shared" ca="1" si="202"/>
        <v/>
      </c>
      <c r="AS313" s="642" t="str">
        <f t="shared" ca="1" si="202"/>
        <v/>
      </c>
      <c r="AT313" s="642" t="str">
        <f t="shared" ca="1" si="202"/>
        <v/>
      </c>
      <c r="AU313" s="642" t="str">
        <f t="shared" ca="1" si="202"/>
        <v/>
      </c>
      <c r="AV313" s="642" t="str">
        <f t="shared" ca="1" si="202"/>
        <v/>
      </c>
      <c r="AW313" s="642" t="str">
        <f t="shared" ca="1" si="202"/>
        <v/>
      </c>
      <c r="AX313" s="642" t="str">
        <f t="shared" ca="1" si="202"/>
        <v/>
      </c>
      <c r="AY313" s="642" t="str">
        <f t="shared" ca="1" si="202"/>
        <v/>
      </c>
      <c r="AZ313" s="642" t="str">
        <f t="shared" ca="1" si="202"/>
        <v/>
      </c>
      <c r="BA313" s="642" t="str">
        <f t="shared" ca="1" si="202"/>
        <v/>
      </c>
      <c r="BB313" s="642" t="str">
        <f t="shared" ca="1" si="202"/>
        <v/>
      </c>
    </row>
    <row r="314" spans="1:242" hidden="1">
      <c r="B314" s="1099"/>
      <c r="C314" s="676" t="s">
        <v>4056</v>
      </c>
      <c r="D314" s="684"/>
      <c r="E314" s="642" t="str">
        <f t="shared" ref="E314:AJ314" ca="1" si="203">IFERROR(ADDRESS(ROW(貼付け_2024実績)+99,E277+COLUMN(貼付け_2024実績),4),"")</f>
        <v/>
      </c>
      <c r="F314" s="642" t="str">
        <f t="shared" ca="1" si="203"/>
        <v/>
      </c>
      <c r="G314" s="642" t="str">
        <f t="shared" ca="1" si="203"/>
        <v/>
      </c>
      <c r="H314" s="642" t="str">
        <f t="shared" ca="1" si="203"/>
        <v/>
      </c>
      <c r="I314" s="642" t="str">
        <f t="shared" ca="1" si="203"/>
        <v/>
      </c>
      <c r="J314" s="642" t="str">
        <f t="shared" ca="1" si="203"/>
        <v/>
      </c>
      <c r="K314" s="642" t="str">
        <f t="shared" ca="1" si="203"/>
        <v/>
      </c>
      <c r="L314" s="642" t="str">
        <f t="shared" ca="1" si="203"/>
        <v/>
      </c>
      <c r="M314" s="642" t="str">
        <f t="shared" ca="1" si="203"/>
        <v/>
      </c>
      <c r="N314" s="642" t="str">
        <f t="shared" ca="1" si="203"/>
        <v/>
      </c>
      <c r="O314" s="642" t="str">
        <f t="shared" ca="1" si="203"/>
        <v/>
      </c>
      <c r="P314" s="642" t="str">
        <f t="shared" ca="1" si="203"/>
        <v/>
      </c>
      <c r="Q314" s="642" t="str">
        <f t="shared" ca="1" si="203"/>
        <v/>
      </c>
      <c r="R314" s="642" t="str">
        <f t="shared" ca="1" si="203"/>
        <v/>
      </c>
      <c r="S314" s="642" t="str">
        <f t="shared" ca="1" si="203"/>
        <v/>
      </c>
      <c r="T314" s="642" t="str">
        <f t="shared" ca="1" si="203"/>
        <v/>
      </c>
      <c r="U314" s="642" t="str">
        <f t="shared" ca="1" si="203"/>
        <v/>
      </c>
      <c r="V314" s="642" t="str">
        <f t="shared" ca="1" si="203"/>
        <v/>
      </c>
      <c r="W314" s="642" t="str">
        <f t="shared" ca="1" si="203"/>
        <v/>
      </c>
      <c r="X314" s="642" t="str">
        <f t="shared" ca="1" si="203"/>
        <v/>
      </c>
      <c r="Y314" s="642" t="str">
        <f t="shared" ca="1" si="203"/>
        <v/>
      </c>
      <c r="Z314" s="642" t="str">
        <f t="shared" ca="1" si="203"/>
        <v/>
      </c>
      <c r="AA314" s="642" t="str">
        <f t="shared" ca="1" si="203"/>
        <v/>
      </c>
      <c r="AB314" s="642" t="str">
        <f t="shared" ca="1" si="203"/>
        <v/>
      </c>
      <c r="AC314" s="642" t="str">
        <f t="shared" ca="1" si="203"/>
        <v/>
      </c>
      <c r="AD314" s="642" t="str">
        <f t="shared" ca="1" si="203"/>
        <v/>
      </c>
      <c r="AE314" s="642" t="str">
        <f t="shared" ca="1" si="203"/>
        <v/>
      </c>
      <c r="AF314" s="642" t="str">
        <f t="shared" ca="1" si="203"/>
        <v/>
      </c>
      <c r="AG314" s="642" t="str">
        <f t="shared" ca="1" si="203"/>
        <v/>
      </c>
      <c r="AH314" s="642" t="str">
        <f t="shared" ca="1" si="203"/>
        <v/>
      </c>
      <c r="AI314" s="642" t="str">
        <f t="shared" ca="1" si="203"/>
        <v/>
      </c>
      <c r="AJ314" s="642" t="str">
        <f t="shared" ca="1" si="203"/>
        <v/>
      </c>
      <c r="AK314" s="642" t="str">
        <f t="shared" ref="AK314:BB314" ca="1" si="204">IFERROR(ADDRESS(ROW(貼付け_2024実績)+99,AK277+COLUMN(貼付け_2024実績),4),"")</f>
        <v/>
      </c>
      <c r="AL314" s="642" t="str">
        <f t="shared" ca="1" si="204"/>
        <v/>
      </c>
      <c r="AM314" s="642" t="str">
        <f t="shared" ca="1" si="204"/>
        <v/>
      </c>
      <c r="AN314" s="642" t="str">
        <f t="shared" ca="1" si="204"/>
        <v/>
      </c>
      <c r="AO314" s="642" t="str">
        <f t="shared" ca="1" si="204"/>
        <v/>
      </c>
      <c r="AP314" s="642" t="str">
        <f t="shared" ca="1" si="204"/>
        <v/>
      </c>
      <c r="AQ314" s="642" t="str">
        <f t="shared" ca="1" si="204"/>
        <v/>
      </c>
      <c r="AR314" s="642" t="str">
        <f t="shared" ca="1" si="204"/>
        <v/>
      </c>
      <c r="AS314" s="642" t="str">
        <f t="shared" ca="1" si="204"/>
        <v/>
      </c>
      <c r="AT314" s="642" t="str">
        <f t="shared" ca="1" si="204"/>
        <v/>
      </c>
      <c r="AU314" s="642" t="str">
        <f t="shared" ca="1" si="204"/>
        <v/>
      </c>
      <c r="AV314" s="642" t="str">
        <f t="shared" ca="1" si="204"/>
        <v/>
      </c>
      <c r="AW314" s="642" t="str">
        <f t="shared" ca="1" si="204"/>
        <v/>
      </c>
      <c r="AX314" s="642" t="str">
        <f t="shared" ca="1" si="204"/>
        <v/>
      </c>
      <c r="AY314" s="642" t="str">
        <f t="shared" ca="1" si="204"/>
        <v/>
      </c>
      <c r="AZ314" s="642" t="str">
        <f t="shared" ca="1" si="204"/>
        <v/>
      </c>
      <c r="BA314" s="642" t="str">
        <f t="shared" ca="1" si="204"/>
        <v/>
      </c>
      <c r="BB314" s="642" t="str">
        <f t="shared" ca="1" si="204"/>
        <v/>
      </c>
    </row>
    <row r="315" spans="1:242" ht="18.600000000000001" hidden="1" thickBot="1">
      <c r="B315" s="1100"/>
      <c r="C315" s="679" t="s">
        <v>4057</v>
      </c>
      <c r="D315" s="685"/>
      <c r="E315" s="680" t="str">
        <f t="shared" ref="E315:AJ315" ca="1" si="205">IFERROR(ADDRESS(ROW(貼付け_2024実績)+99,E289+COLUMN(貼付け_2024実績),4),"")</f>
        <v/>
      </c>
      <c r="F315" s="680" t="str">
        <f t="shared" ca="1" si="205"/>
        <v/>
      </c>
      <c r="G315" s="680" t="str">
        <f t="shared" ca="1" si="205"/>
        <v/>
      </c>
      <c r="H315" s="680" t="str">
        <f t="shared" ca="1" si="205"/>
        <v/>
      </c>
      <c r="I315" s="680" t="str">
        <f t="shared" ca="1" si="205"/>
        <v/>
      </c>
      <c r="J315" s="680" t="str">
        <f t="shared" ca="1" si="205"/>
        <v/>
      </c>
      <c r="K315" s="680" t="str">
        <f t="shared" ca="1" si="205"/>
        <v/>
      </c>
      <c r="L315" s="680" t="str">
        <f t="shared" ca="1" si="205"/>
        <v/>
      </c>
      <c r="M315" s="680" t="str">
        <f t="shared" ca="1" si="205"/>
        <v/>
      </c>
      <c r="N315" s="680" t="str">
        <f t="shared" ca="1" si="205"/>
        <v/>
      </c>
      <c r="O315" s="680" t="str">
        <f t="shared" ca="1" si="205"/>
        <v/>
      </c>
      <c r="P315" s="680" t="str">
        <f t="shared" ca="1" si="205"/>
        <v/>
      </c>
      <c r="Q315" s="680" t="str">
        <f t="shared" ca="1" si="205"/>
        <v/>
      </c>
      <c r="R315" s="680" t="str">
        <f t="shared" ca="1" si="205"/>
        <v/>
      </c>
      <c r="S315" s="680" t="str">
        <f t="shared" ca="1" si="205"/>
        <v/>
      </c>
      <c r="T315" s="680" t="str">
        <f t="shared" ca="1" si="205"/>
        <v/>
      </c>
      <c r="U315" s="680" t="str">
        <f t="shared" ca="1" si="205"/>
        <v/>
      </c>
      <c r="V315" s="680" t="str">
        <f t="shared" ca="1" si="205"/>
        <v/>
      </c>
      <c r="W315" s="680" t="str">
        <f t="shared" ca="1" si="205"/>
        <v/>
      </c>
      <c r="X315" s="680" t="str">
        <f t="shared" ca="1" si="205"/>
        <v/>
      </c>
      <c r="Y315" s="680" t="str">
        <f t="shared" ca="1" si="205"/>
        <v/>
      </c>
      <c r="Z315" s="680" t="str">
        <f t="shared" ca="1" si="205"/>
        <v/>
      </c>
      <c r="AA315" s="680" t="str">
        <f t="shared" ca="1" si="205"/>
        <v/>
      </c>
      <c r="AB315" s="680" t="str">
        <f t="shared" ca="1" si="205"/>
        <v/>
      </c>
      <c r="AC315" s="680" t="str">
        <f t="shared" ca="1" si="205"/>
        <v/>
      </c>
      <c r="AD315" s="680" t="str">
        <f t="shared" ca="1" si="205"/>
        <v/>
      </c>
      <c r="AE315" s="680" t="str">
        <f t="shared" ca="1" si="205"/>
        <v/>
      </c>
      <c r="AF315" s="680" t="str">
        <f t="shared" ca="1" si="205"/>
        <v/>
      </c>
      <c r="AG315" s="680" t="str">
        <f t="shared" ca="1" si="205"/>
        <v/>
      </c>
      <c r="AH315" s="680" t="str">
        <f t="shared" ca="1" si="205"/>
        <v/>
      </c>
      <c r="AI315" s="680" t="str">
        <f t="shared" ca="1" si="205"/>
        <v/>
      </c>
      <c r="AJ315" s="680" t="str">
        <f t="shared" ca="1" si="205"/>
        <v/>
      </c>
      <c r="AK315" s="680" t="str">
        <f t="shared" ref="AK315:BB315" ca="1" si="206">IFERROR(ADDRESS(ROW(貼付け_2024実績)+99,AK289+COLUMN(貼付け_2024実績),4),"")</f>
        <v/>
      </c>
      <c r="AL315" s="680" t="str">
        <f t="shared" ca="1" si="206"/>
        <v/>
      </c>
      <c r="AM315" s="680" t="str">
        <f t="shared" ca="1" si="206"/>
        <v/>
      </c>
      <c r="AN315" s="680" t="str">
        <f t="shared" ca="1" si="206"/>
        <v/>
      </c>
      <c r="AO315" s="680" t="str">
        <f t="shared" ca="1" si="206"/>
        <v/>
      </c>
      <c r="AP315" s="680" t="str">
        <f t="shared" ca="1" si="206"/>
        <v/>
      </c>
      <c r="AQ315" s="680" t="str">
        <f t="shared" ca="1" si="206"/>
        <v/>
      </c>
      <c r="AR315" s="680" t="str">
        <f t="shared" ca="1" si="206"/>
        <v/>
      </c>
      <c r="AS315" s="680" t="str">
        <f t="shared" ca="1" si="206"/>
        <v/>
      </c>
      <c r="AT315" s="680" t="str">
        <f t="shared" ca="1" si="206"/>
        <v/>
      </c>
      <c r="AU315" s="680" t="str">
        <f t="shared" ca="1" si="206"/>
        <v/>
      </c>
      <c r="AV315" s="680" t="str">
        <f t="shared" ca="1" si="206"/>
        <v/>
      </c>
      <c r="AW315" s="680" t="str">
        <f t="shared" ca="1" si="206"/>
        <v/>
      </c>
      <c r="AX315" s="680" t="str">
        <f t="shared" ca="1" si="206"/>
        <v/>
      </c>
      <c r="AY315" s="680" t="str">
        <f t="shared" ca="1" si="206"/>
        <v/>
      </c>
      <c r="AZ315" s="680" t="str">
        <f t="shared" ca="1" si="206"/>
        <v/>
      </c>
      <c r="BA315" s="680" t="str">
        <f t="shared" ca="1" si="206"/>
        <v/>
      </c>
      <c r="BB315" s="680" t="str">
        <f t="shared" ca="1" si="206"/>
        <v/>
      </c>
    </row>
    <row r="316" spans="1:242" ht="19.8" hidden="1">
      <c r="C316" s="711"/>
    </row>
    <row r="317" spans="1:242" s="193" customFormat="1" ht="20.100000000000001" hidden="1" customHeight="1">
      <c r="A317" s="201" t="s">
        <v>4334</v>
      </c>
      <c r="B317" s="201"/>
      <c r="C317" s="207"/>
      <c r="D317" s="208"/>
      <c r="E317" s="209"/>
      <c r="F317" s="208"/>
      <c r="G317" s="208"/>
      <c r="H317" s="209"/>
      <c r="I317" s="208"/>
      <c r="J317" s="208"/>
      <c r="K317" s="209"/>
      <c r="L317" s="208"/>
      <c r="M317" s="208"/>
      <c r="N317" s="209"/>
      <c r="O317" s="208"/>
      <c r="P317" s="208"/>
      <c r="Q317" s="209"/>
      <c r="R317" s="208"/>
      <c r="S317" s="208"/>
      <c r="T317" s="209"/>
      <c r="U317" s="208"/>
      <c r="V317" s="208"/>
      <c r="W317" s="209"/>
      <c r="X317" s="208"/>
      <c r="Y317" s="208"/>
      <c r="Z317" s="209"/>
      <c r="AA317" s="208"/>
      <c r="AB317" s="208"/>
      <c r="AC317" s="209"/>
      <c r="AD317" s="208"/>
      <c r="AE317" s="208"/>
      <c r="AF317" s="209"/>
      <c r="AG317" s="208"/>
      <c r="AH317" s="208"/>
      <c r="AI317" s="209"/>
      <c r="AJ317" s="208"/>
      <c r="AK317" s="208"/>
      <c r="AL317" s="209"/>
      <c r="AM317" s="208"/>
      <c r="AN317" s="208"/>
      <c r="AS317" s="193" t="e">
        <f ca="1">MATCH(AR320,OFFSET(貼付け_2026実績,4,0,1,400),0)</f>
        <v>#N/A</v>
      </c>
      <c r="IE317" s="213"/>
      <c r="IF317" s="213"/>
      <c r="IG317" s="213"/>
      <c r="IH317" s="213"/>
    </row>
    <row r="318" spans="1:242" s="197" customFormat="1" ht="20.100000000000001" hidden="1" customHeight="1">
      <c r="A318" s="197">
        <v>0</v>
      </c>
      <c r="B318" s="215" t="s">
        <v>4335</v>
      </c>
      <c r="E318" s="198"/>
      <c r="I318" s="198"/>
      <c r="IE318" s="219"/>
      <c r="IF318" s="219"/>
      <c r="IG318" s="219"/>
      <c r="IH318" s="219"/>
    </row>
    <row r="319" spans="1:242" s="197" customFormat="1" ht="20.100000000000001" hidden="1" customHeight="1">
      <c r="A319" s="197">
        <v>1</v>
      </c>
      <c r="B319" s="712"/>
      <c r="C319" s="713"/>
      <c r="D319" s="712" t="s">
        <v>4336</v>
      </c>
      <c r="E319" s="714">
        <v>2024</v>
      </c>
      <c r="F319" s="715">
        <v>2025</v>
      </c>
      <c r="G319" s="714">
        <v>2026</v>
      </c>
      <c r="H319" s="716">
        <v>2027</v>
      </c>
      <c r="I319" s="717" t="s">
        <v>4337</v>
      </c>
      <c r="J319" s="718" t="s">
        <v>4338</v>
      </c>
      <c r="K319" s="714">
        <v>2024</v>
      </c>
      <c r="L319" s="715">
        <v>2025</v>
      </c>
      <c r="M319" s="714">
        <v>2026</v>
      </c>
      <c r="N319" s="715">
        <v>2027</v>
      </c>
      <c r="O319" s="719" t="s">
        <v>4337</v>
      </c>
      <c r="P319" s="719" t="s">
        <v>4339</v>
      </c>
      <c r="Q319" s="198"/>
      <c r="IE319" s="219"/>
      <c r="IF319" s="219"/>
      <c r="IG319" s="219"/>
      <c r="IH319" s="219"/>
    </row>
    <row r="320" spans="1:242" s="197" customFormat="1" ht="20.100000000000001" hidden="1" customHeight="1">
      <c r="A320" s="197">
        <v>2</v>
      </c>
      <c r="B320" s="720" t="s">
        <v>4340</v>
      </c>
      <c r="C320" s="721" t="s">
        <v>4341</v>
      </c>
      <c r="D320" s="720">
        <v>36</v>
      </c>
      <c r="E320" s="722" t="str">
        <f ca="1">IF(IFERROR(OFFSET(貼付け_2024実績,$D320,3),"")="","",OFFSET(貼付け_2024実績,$D320,3))</f>
        <v/>
      </c>
      <c r="F320" s="722" t="str">
        <f ca="1">IF(IFERROR(OFFSET(貼付け_2025実績,$D320,3),"")="","",OFFSET(貼付け_2025実績,$D320,3))</f>
        <v/>
      </c>
      <c r="G320" s="722" t="str">
        <f ca="1">IF(IFERROR(OFFSET(貼付け_2026実績,$D320,3),"")="","",OFFSET(貼付け_2026実績,$D320,3))</f>
        <v/>
      </c>
      <c r="H320" s="723" t="str">
        <f ca="1">IF(IFERROR(OFFSET(貼付け_2027実績,$D320,3),"")="","",OFFSET(貼付け_2027実績,$D320,3))</f>
        <v/>
      </c>
      <c r="I320" s="724" t="str">
        <f t="shared" ref="I320:I338" ca="1" si="207">IF(E320="","",E320)&amp;IF(OR(F320=E320,F320=""),"",","&amp;F320)&amp;IF(OR(G320=F320,G320=""),"",","&amp;G320)&amp;IF(OR(H320=G320,H320=""),"",","&amp;H320)</f>
        <v/>
      </c>
      <c r="J320" s="725">
        <v>200</v>
      </c>
      <c r="K320" s="726" t="str">
        <f ca="1">IF(IFERROR(OFFSET(貼付け_2024実績,$J320,13),"")="","",OFFSET(貼付け_2024実績,$J320,13))</f>
        <v/>
      </c>
      <c r="L320" s="726" t="str">
        <f ca="1">IF(IFERROR(OFFSET(貼付け_2025実績,$J320,13),"")="","",OFFSET(貼付け_2025実績,$J320,13))</f>
        <v/>
      </c>
      <c r="M320" s="726" t="str">
        <f ca="1">IF(IFERROR(OFFSET(貼付け_2026実績,$J320,13),"")="","",OFFSET(貼付け_2026実績,$J320,13))</f>
        <v/>
      </c>
      <c r="N320" s="726" t="str">
        <f ca="1">IF(IFERROR(OFFSET(貼付け_2027実績,$J320,13),"")="","",OFFSET(貼付け_2027実績,$J320,13))</f>
        <v/>
      </c>
      <c r="O320" s="727" t="str">
        <f t="shared" ref="O320:O337" ca="1" si="208">IF(K320="","",K320)&amp;IF(OR(L320=K320,L320=""),"",","&amp;L320)&amp;IF(OR(M320=L320,M320=""),"",","&amp;M320)&amp;IF(OR(N320=M320,N320=""),"",","&amp;N320)</f>
        <v/>
      </c>
      <c r="P320" s="727" t="str">
        <f t="shared" ref="P320:P337" ca="1" si="209">IF(I320=O320,I320,IF(OR(I320="",O320=""),I320&amp;O320,I320&amp;"/"&amp;O320))</f>
        <v/>
      </c>
      <c r="IE320" s="219"/>
      <c r="IF320" s="219"/>
      <c r="IG320" s="219"/>
      <c r="IH320" s="219"/>
    </row>
    <row r="321" spans="1:242" s="197" customFormat="1" ht="20.100000000000001" hidden="1" customHeight="1">
      <c r="A321" s="197">
        <v>3</v>
      </c>
      <c r="B321" s="728"/>
      <c r="C321" s="729"/>
      <c r="D321" s="728">
        <v>36</v>
      </c>
      <c r="E321" s="730" t="str">
        <f ca="1">IF(IFERROR(OFFSET(貼付け_2024実績,$D321,4),"")="","",OFFSET(貼付け_2024実績,$D321,4))</f>
        <v/>
      </c>
      <c r="F321" s="730" t="str">
        <f ca="1">IF(IFERROR(OFFSET(貼付け_2025実績,$D321,4),"")="","",OFFSET(貼付け_2025実績,$D321,4))</f>
        <v/>
      </c>
      <c r="G321" s="730" t="str">
        <f ca="1">IF(IFERROR(OFFSET(貼付け_2026実績,$D321,4),"")="","",OFFSET(貼付け_2026実績,$D321,4))</f>
        <v/>
      </c>
      <c r="H321" s="731" t="str">
        <f ca="1">IF(IFERROR(OFFSET(貼付け_2027実績,$D321,4),"")="","",OFFSET(貼付け_2027実績,$D321,4))</f>
        <v/>
      </c>
      <c r="I321" s="732" t="str">
        <f t="shared" ca="1" si="207"/>
        <v/>
      </c>
      <c r="J321" s="733">
        <v>200</v>
      </c>
      <c r="K321" s="730" t="str">
        <f ca="1">IF(IFERROR(OFFSET(貼付け_2024実績,$J321,14),"")="","",OFFSET(貼付け_2024実績,$J321,14))</f>
        <v/>
      </c>
      <c r="L321" s="730" t="str">
        <f ca="1">IF(IFERROR(OFFSET(貼付け_2025実績,$J321,14),"")="","",OFFSET(貼付け_2025実績,$J321,14))</f>
        <v/>
      </c>
      <c r="M321" s="730" t="str">
        <f ca="1">IF(IFERROR(OFFSET(貼付け_2026実績,$J321,14),"")="","",OFFSET(貼付け_2026実績,$J321,14))</f>
        <v/>
      </c>
      <c r="N321" s="730" t="str">
        <f ca="1">IF(IFERROR(OFFSET(貼付け_2027実績,$J321,14),"")="","",OFFSET(貼付け_2027実績,$J321,14))</f>
        <v/>
      </c>
      <c r="O321" s="732" t="str">
        <f t="shared" ca="1" si="208"/>
        <v/>
      </c>
      <c r="P321" s="732" t="str">
        <f t="shared" ca="1" si="209"/>
        <v/>
      </c>
      <c r="IE321" s="219"/>
      <c r="IF321" s="219"/>
      <c r="IG321" s="219"/>
      <c r="IH321" s="219"/>
    </row>
    <row r="322" spans="1:242" s="197" customFormat="1" ht="20.100000000000001" hidden="1" customHeight="1">
      <c r="A322" s="197">
        <v>4</v>
      </c>
      <c r="B322" s="728" t="s">
        <v>4342</v>
      </c>
      <c r="C322" s="729" t="s">
        <v>4343</v>
      </c>
      <c r="D322" s="728">
        <v>43</v>
      </c>
      <c r="E322" s="730" t="str">
        <f ca="1">IF(IFERROR(OFFSET(貼付け_2024実績,$D322,3),"")="","",OFFSET(貼付け_2024実績,$D322,3))</f>
        <v/>
      </c>
      <c r="F322" s="730" t="str">
        <f ca="1">IF(IFERROR(OFFSET(貼付け_2025実績,$D322,3),"")="","",OFFSET(貼付け_2025実績,$D322,3))</f>
        <v/>
      </c>
      <c r="G322" s="730" t="str">
        <f ca="1">IF(IFERROR(OFFSET(貼付け_2026実績,$D322,3),"")="","",OFFSET(貼付け_2026実績,$D322,3))</f>
        <v/>
      </c>
      <c r="H322" s="731" t="str">
        <f ca="1">IF(IFERROR(OFFSET(貼付け_2027実績,$D322,3),"")="","",OFFSET(貼付け_2027実績,$D322,3))</f>
        <v/>
      </c>
      <c r="I322" s="732" t="str">
        <f t="shared" ca="1" si="207"/>
        <v/>
      </c>
      <c r="J322" s="733"/>
      <c r="K322" s="734"/>
      <c r="L322" s="734"/>
      <c r="M322" s="734"/>
      <c r="N322" s="734"/>
      <c r="O322" s="735" t="str">
        <f t="shared" si="208"/>
        <v/>
      </c>
      <c r="P322" s="736" t="str">
        <f t="shared" ca="1" si="209"/>
        <v/>
      </c>
      <c r="IE322" s="219"/>
      <c r="IF322" s="219"/>
      <c r="IG322" s="219"/>
      <c r="IH322" s="219"/>
    </row>
    <row r="323" spans="1:242" s="197" customFormat="1" ht="20.100000000000001" hidden="1" customHeight="1">
      <c r="A323" s="197">
        <v>5</v>
      </c>
      <c r="B323" s="728"/>
      <c r="C323" s="729" t="s">
        <v>4344</v>
      </c>
      <c r="D323" s="728">
        <v>54</v>
      </c>
      <c r="E323" s="730" t="str">
        <f ca="1">IF(IFERROR(OFFSET(貼付け_2024実績,$D323,3),"")="","",OFFSET(貼付け_2024実績,$D323,3))</f>
        <v/>
      </c>
      <c r="F323" s="730" t="str">
        <f ca="1">IF(IFERROR(OFFSET(貼付け_2025実績,$D323,3),"")="","",OFFSET(貼付け_2025実績,$D323,3))</f>
        <v/>
      </c>
      <c r="G323" s="730" t="str">
        <f ca="1">IF(IFERROR(OFFSET(貼付け_2026実績,$D323,3),"")="","",OFFSET(貼付け_2026実績,$D323,3))</f>
        <v/>
      </c>
      <c r="H323" s="731" t="str">
        <f ca="1">IF(IFERROR(OFFSET(貼付け_2027実績,$D323,3),"")="","",OFFSET(貼付け_2027実績,$D323,3))</f>
        <v/>
      </c>
      <c r="I323" s="732" t="str">
        <f t="shared" ca="1" si="207"/>
        <v/>
      </c>
      <c r="J323" s="733">
        <v>201</v>
      </c>
      <c r="K323" s="730" t="str">
        <f ca="1">IF(IFERROR(OFFSET(貼付け_2024実績,$J323,13),"")="","",OFFSET(貼付け_2024実績,$J323,13))</f>
        <v/>
      </c>
      <c r="L323" s="730" t="str">
        <f ca="1">IF(IFERROR(OFFSET(貼付け_2025実績,$J323,13),"")="","",OFFSET(貼付け_2025実績,$J323,13))</f>
        <v/>
      </c>
      <c r="M323" s="730" t="str">
        <f ca="1">IF(IFERROR(OFFSET(貼付け_2026実績,$J323,13),"")="","",OFFSET(貼付け_2026実績,$J323,13))</f>
        <v/>
      </c>
      <c r="N323" s="730" t="str">
        <f ca="1">IF(IFERROR(OFFSET(貼付け_2027実績,$J323,13),"")="","",OFFSET(貼付け_2027実績,$J323,13))</f>
        <v/>
      </c>
      <c r="O323" s="732" t="str">
        <f t="shared" ca="1" si="208"/>
        <v/>
      </c>
      <c r="P323" s="736" t="str">
        <f t="shared" ca="1" si="209"/>
        <v/>
      </c>
      <c r="IE323" s="219"/>
      <c r="IF323" s="219"/>
      <c r="IG323" s="219"/>
      <c r="IH323" s="219"/>
    </row>
    <row r="324" spans="1:242" s="197" customFormat="1" ht="20.100000000000001" hidden="1" customHeight="1">
      <c r="A324" s="197">
        <v>6</v>
      </c>
      <c r="B324" s="728"/>
      <c r="D324" s="728">
        <v>54</v>
      </c>
      <c r="E324" s="731" t="str">
        <f ca="1">IF(IFERROR(OFFSET(貼付け_2024実績,$D324,4),"")="","",OFFSET(貼付け_2024実績,$D324,4))</f>
        <v/>
      </c>
      <c r="F324" s="730" t="str">
        <f ca="1">IF(IFERROR(OFFSET(貼付け_2025実績,$D324,4),"")="","",OFFSET(貼付け_2025実績,$D324,4))</f>
        <v/>
      </c>
      <c r="G324" s="730" t="str">
        <f ca="1">IF(IFERROR(OFFSET(貼付け_2026実績,$D324,4),"")="","",OFFSET(貼付け_2026実績,$D324,4))</f>
        <v/>
      </c>
      <c r="H324" s="731" t="str">
        <f ca="1">IF(IFERROR(OFFSET(貼付け_2027実績,$D324,4),"")="","",OFFSET(貼付け_2027実績,$D324,4))</f>
        <v/>
      </c>
      <c r="I324" s="732" t="str">
        <f t="shared" ca="1" si="207"/>
        <v/>
      </c>
      <c r="J324" s="733">
        <v>201</v>
      </c>
      <c r="K324" s="730" t="str">
        <f ca="1">IF(IFERROR(OFFSET(貼付け_2024実績,$J324,14),"")="","",OFFSET(貼付け_2024実績,$J324,14))</f>
        <v/>
      </c>
      <c r="L324" s="730" t="str">
        <f ca="1">IF(IFERROR(OFFSET(貼付け_2025実績,$J324,14),"")="","",OFFSET(貼付け_2025実績,$J324,14))</f>
        <v/>
      </c>
      <c r="M324" s="730" t="str">
        <f ca="1">IF(IFERROR(OFFSET(貼付け_2026実績,$J324,14),"")="","",OFFSET(貼付け_2026実績,$J324,14))</f>
        <v/>
      </c>
      <c r="N324" s="730" t="str">
        <f ca="1">IF(IFERROR(OFFSET(貼付け_2027実績,$J324,14),"")="","",OFFSET(貼付け_2027実績,$J324,14))</f>
        <v/>
      </c>
      <c r="O324" s="732" t="str">
        <f t="shared" ca="1" si="208"/>
        <v/>
      </c>
      <c r="P324" s="736" t="str">
        <f t="shared" ca="1" si="209"/>
        <v/>
      </c>
      <c r="IE324" s="219"/>
      <c r="IF324" s="219"/>
      <c r="IG324" s="219"/>
      <c r="IH324" s="219"/>
    </row>
    <row r="325" spans="1:242" s="197" customFormat="1" ht="20.100000000000001" hidden="1" customHeight="1">
      <c r="A325" s="197">
        <v>7</v>
      </c>
      <c r="B325" s="728"/>
      <c r="C325" s="729" t="s">
        <v>4345</v>
      </c>
      <c r="D325" s="728">
        <v>55</v>
      </c>
      <c r="E325" s="730" t="str">
        <f ca="1">IF(IFERROR(OFFSET(貼付け_2024実績,$D325,3),"")="","",OFFSET(貼付け_2024実績,$D325,3))</f>
        <v/>
      </c>
      <c r="F325" s="730" t="str">
        <f ca="1">IF(IFERROR(OFFSET(貼付け_2025実績,$D325,3),"")="","",OFFSET(貼付け_2025実績,$D325,3))</f>
        <v/>
      </c>
      <c r="G325" s="730" t="str">
        <f ca="1">IF(IFERROR(OFFSET(貼付け_2026実績,$D325,3),"")="","",OFFSET(貼付け_2026実績,$D325,3))</f>
        <v/>
      </c>
      <c r="H325" s="731" t="str">
        <f ca="1">IF(IFERROR(OFFSET(貼付け_2027実績,$D325,3),"")="","",OFFSET(貼付け_2027実績,$D325,3))</f>
        <v/>
      </c>
      <c r="I325" s="732" t="str">
        <f t="shared" ca="1" si="207"/>
        <v/>
      </c>
      <c r="J325" s="733"/>
      <c r="K325" s="734"/>
      <c r="L325" s="734"/>
      <c r="M325" s="734"/>
      <c r="N325" s="734"/>
      <c r="O325" s="735" t="str">
        <f t="shared" si="208"/>
        <v/>
      </c>
      <c r="P325" s="736" t="str">
        <f t="shared" ca="1" si="209"/>
        <v/>
      </c>
      <c r="IE325" s="219"/>
      <c r="IF325" s="219"/>
      <c r="IG325" s="219"/>
      <c r="IH325" s="219"/>
    </row>
    <row r="326" spans="1:242" s="197" customFormat="1" ht="20.100000000000001" hidden="1" customHeight="1">
      <c r="A326" s="197">
        <v>8</v>
      </c>
      <c r="B326" s="728"/>
      <c r="D326" s="728">
        <v>55</v>
      </c>
      <c r="E326" s="731" t="str">
        <f ca="1">IF(IFERROR(OFFSET(貼付け_2024実績,$D326,4),"")="","",OFFSET(貼付け_2024実績,$D326,4))</f>
        <v/>
      </c>
      <c r="F326" s="730" t="str">
        <f ca="1">IF(IFERROR(OFFSET(貼付け_2025実績,$D326,4),"")="","",OFFSET(貼付け_2025実績,$D326,4))</f>
        <v/>
      </c>
      <c r="G326" s="730" t="str">
        <f ca="1">IF(IFERROR(OFFSET(貼付け_2026実績,$D326,4),"")="","",OFFSET(貼付け_2026実績,$D326,4))</f>
        <v/>
      </c>
      <c r="H326" s="731" t="str">
        <f ca="1">IF(IFERROR(OFFSET(貼付け_2027実績,$D326,4),"")="","",OFFSET(貼付け_2027実績,$D326,4))</f>
        <v/>
      </c>
      <c r="I326" s="732" t="str">
        <f t="shared" ca="1" si="207"/>
        <v/>
      </c>
      <c r="J326" s="733"/>
      <c r="K326" s="734"/>
      <c r="L326" s="734"/>
      <c r="M326" s="734"/>
      <c r="N326" s="734"/>
      <c r="O326" s="735" t="str">
        <f t="shared" si="208"/>
        <v/>
      </c>
      <c r="P326" s="736" t="str">
        <f t="shared" ca="1" si="209"/>
        <v/>
      </c>
      <c r="IE326" s="219"/>
      <c r="IF326" s="219"/>
      <c r="IG326" s="219"/>
      <c r="IH326" s="219"/>
    </row>
    <row r="327" spans="1:242" s="197" customFormat="1" ht="20.100000000000001" hidden="1" customHeight="1">
      <c r="A327" s="197">
        <v>9</v>
      </c>
      <c r="B327" s="728" t="s">
        <v>4346</v>
      </c>
      <c r="C327" s="729" t="s">
        <v>4347</v>
      </c>
      <c r="D327" s="728">
        <v>64</v>
      </c>
      <c r="E327" s="730" t="str">
        <f ca="1">IF(IFERROR(OFFSET(貼付け_2024実績,$D327,3),"")="","",OFFSET(貼付け_2024実績,$D327,3))</f>
        <v/>
      </c>
      <c r="F327" s="730" t="str">
        <f ca="1">IF(IFERROR(OFFSET(貼付け_2025実績,$D327,3),"")="","",OFFSET(貼付け_2025実績,$D327,3))</f>
        <v/>
      </c>
      <c r="G327" s="730" t="str">
        <f ca="1">IF(IFERROR(OFFSET(貼付け_2026実績,$D327,3),"")="","",OFFSET(貼付け_2026実績,$D327,3))</f>
        <v/>
      </c>
      <c r="H327" s="731" t="str">
        <f ca="1">IF(IFERROR(OFFSET(貼付け_2027実績,$D327,3),"")="","",OFFSET(貼付け_2027実績,$D327,3))</f>
        <v/>
      </c>
      <c r="I327" s="732" t="str">
        <f t="shared" ca="1" si="207"/>
        <v/>
      </c>
      <c r="J327" s="733"/>
      <c r="K327" s="734"/>
      <c r="L327" s="734"/>
      <c r="M327" s="734"/>
      <c r="N327" s="734"/>
      <c r="O327" s="735" t="str">
        <f t="shared" si="208"/>
        <v/>
      </c>
      <c r="P327" s="736" t="str">
        <f t="shared" ca="1" si="209"/>
        <v/>
      </c>
      <c r="IE327" s="219"/>
      <c r="IF327" s="219"/>
      <c r="IG327" s="219"/>
      <c r="IH327" s="219"/>
    </row>
    <row r="328" spans="1:242" s="197" customFormat="1" ht="20.100000000000001" hidden="1" customHeight="1">
      <c r="A328" s="197">
        <v>10</v>
      </c>
      <c r="B328" s="728" t="s">
        <v>4348</v>
      </c>
      <c r="C328" s="729" t="s">
        <v>4349</v>
      </c>
      <c r="D328" s="728">
        <v>70</v>
      </c>
      <c r="E328" s="730" t="str">
        <f ca="1">IF(IFERROR(OFFSET(貼付け_2024実績,$D328,3),"")="","",OFFSET(貼付け_2024実績,$D328,3))</f>
        <v/>
      </c>
      <c r="F328" s="730" t="str">
        <f ca="1">IF(IFERROR(OFFSET(貼付け_2025実績,$D328,3),"")="","",OFFSET(貼付け_2025実績,$D328,3))</f>
        <v/>
      </c>
      <c r="G328" s="730" t="str">
        <f ca="1">IF(IFERROR(OFFSET(貼付け_2026実績,$D328,3),"")="","",OFFSET(貼付け_2026実績,$D328,3))</f>
        <v/>
      </c>
      <c r="H328" s="731" t="str">
        <f ca="1">IF(IFERROR(OFFSET(貼付け_2027実績,$D328,3),"")="","",OFFSET(貼付け_2027実績,$D328,3))</f>
        <v/>
      </c>
      <c r="I328" s="732" t="str">
        <f t="shared" ca="1" si="207"/>
        <v/>
      </c>
      <c r="J328" s="733"/>
      <c r="K328" s="734"/>
      <c r="L328" s="734"/>
      <c r="M328" s="734"/>
      <c r="N328" s="734"/>
      <c r="O328" s="735" t="str">
        <f t="shared" si="208"/>
        <v/>
      </c>
      <c r="P328" s="736" t="str">
        <f t="shared" ca="1" si="209"/>
        <v/>
      </c>
      <c r="IE328" s="219"/>
      <c r="IF328" s="219"/>
      <c r="IG328" s="219"/>
      <c r="IH328" s="219"/>
    </row>
    <row r="329" spans="1:242" s="197" customFormat="1" ht="20.100000000000001" hidden="1" customHeight="1">
      <c r="A329" s="197">
        <v>11</v>
      </c>
      <c r="B329" s="728"/>
      <c r="C329" s="729" t="s">
        <v>4350</v>
      </c>
      <c r="D329" s="728">
        <v>71</v>
      </c>
      <c r="E329" s="730" t="str">
        <f ca="1">IF(IFERROR(OFFSET(貼付け_2024実績,$D329,3),"")="","",OFFSET(貼付け_2024実績,$D329,3))</f>
        <v/>
      </c>
      <c r="F329" s="730" t="str">
        <f ca="1">IF(IFERROR(OFFSET(貼付け_2025実績,$D329,3),"")="","",OFFSET(貼付け_2025実績,$D329,3))</f>
        <v/>
      </c>
      <c r="G329" s="730" t="str">
        <f ca="1">IF(IFERROR(OFFSET(貼付け_2026実績,$D329,3),"")="","",OFFSET(貼付け_2026実績,$D329,3))</f>
        <v/>
      </c>
      <c r="H329" s="731" t="str">
        <f ca="1">IF(IFERROR(OFFSET(貼付け_2027実績,$D329,3),"")="","",OFFSET(貼付け_2027実績,$D329,3))</f>
        <v/>
      </c>
      <c r="I329" s="732" t="str">
        <f t="shared" ca="1" si="207"/>
        <v/>
      </c>
      <c r="J329" s="733"/>
      <c r="K329" s="734"/>
      <c r="L329" s="734"/>
      <c r="M329" s="734"/>
      <c r="N329" s="734"/>
      <c r="O329" s="735" t="str">
        <f t="shared" si="208"/>
        <v/>
      </c>
      <c r="P329" s="736" t="str">
        <f t="shared" ca="1" si="209"/>
        <v/>
      </c>
      <c r="IE329" s="219"/>
      <c r="IF329" s="219"/>
      <c r="IG329" s="219"/>
      <c r="IH329" s="219"/>
    </row>
    <row r="330" spans="1:242" s="197" customFormat="1" ht="20.100000000000001" hidden="1" customHeight="1">
      <c r="A330" s="197">
        <v>12</v>
      </c>
      <c r="B330" s="728" t="s">
        <v>4351</v>
      </c>
      <c r="C330" s="731" t="s">
        <v>4352</v>
      </c>
      <c r="D330" s="728">
        <v>77</v>
      </c>
      <c r="E330" s="730" t="str">
        <f ca="1">IF(IFERROR(OFFSET(貼付け_2024実績,$D330,3),"")="","",OFFSET(貼付け_2024実績,$D330,3))</f>
        <v/>
      </c>
      <c r="F330" s="730" t="str">
        <f ca="1">IF(IFERROR(OFFSET(貼付け_2025実績,$D330,3),"")="","",OFFSET(貼付け_2025実績,$D330,3))</f>
        <v/>
      </c>
      <c r="G330" s="730" t="str">
        <f ca="1">IF(IFERROR(OFFSET(貼付け_2026実績,$D330,3),"")="","",OFFSET(貼付け_2026実績,$D330,3))</f>
        <v/>
      </c>
      <c r="H330" s="731" t="str">
        <f ca="1">IF(IFERROR(OFFSET(貼付け_2027実績,$D330,3),"")="","",OFFSET(貼付け_2027実績,$D330,3))</f>
        <v/>
      </c>
      <c r="I330" s="732" t="str">
        <f t="shared" ca="1" si="207"/>
        <v/>
      </c>
      <c r="J330" s="733">
        <v>202</v>
      </c>
      <c r="K330" s="730" t="str">
        <f t="shared" ref="K330:K337" ca="1" si="210">IF(IFERROR(OFFSET(貼付け_2024実績,$J330,13),"")="","",OFFSET(貼付け_2024実績,$J330,13))</f>
        <v/>
      </c>
      <c r="L330" s="730" t="str">
        <f t="shared" ref="L330:L337" ca="1" si="211">IF(IFERROR(OFFSET(貼付け_2025実績,$J330,13),"")="","",OFFSET(貼付け_2025実績,$J330,13))</f>
        <v/>
      </c>
      <c r="M330" s="730" t="str">
        <f t="shared" ref="M330:M337" ca="1" si="212">IF(IFERROR(OFFSET(貼付け_2026実績,$J330,13),"")="","",OFFSET(貼付け_2026実績,$J330,13))</f>
        <v/>
      </c>
      <c r="N330" s="730" t="str">
        <f t="shared" ref="N330:N337" ca="1" si="213">IF(IFERROR(OFFSET(貼付け_2027実績,$J330,13),"")="","",OFFSET(貼付け_2027実績,$J330,13))</f>
        <v/>
      </c>
      <c r="O330" s="732" t="str">
        <f t="shared" ca="1" si="208"/>
        <v/>
      </c>
      <c r="P330" s="736" t="str">
        <f t="shared" ca="1" si="209"/>
        <v/>
      </c>
      <c r="IE330" s="219"/>
      <c r="IF330" s="219"/>
      <c r="IG330" s="219"/>
      <c r="IH330" s="219"/>
    </row>
    <row r="331" spans="1:242" s="197" customFormat="1" ht="20.100000000000001" hidden="1" customHeight="1">
      <c r="A331" s="197">
        <v>13</v>
      </c>
      <c r="B331" s="728"/>
      <c r="C331" s="729" t="s">
        <v>4353</v>
      </c>
      <c r="D331" s="728">
        <v>80</v>
      </c>
      <c r="E331" s="730" t="str">
        <f ca="1">IF(IFERROR(OFFSET(貼付け_2024実績,$D331,3),"")="","",OFFSET(貼付け_2024実績,$D331,3))</f>
        <v/>
      </c>
      <c r="F331" s="730" t="str">
        <f ca="1">IF(IFERROR(OFFSET(貼付け_2025実績,$D331,3),"")="","",OFFSET(貼付け_2025実績,$D331,3))</f>
        <v/>
      </c>
      <c r="G331" s="730" t="str">
        <f ca="1">IF(IFERROR(OFFSET(貼付け_2026実績,$D331,3),"")="","",OFFSET(貼付け_2026実績,$D331,3))</f>
        <v/>
      </c>
      <c r="H331" s="731" t="str">
        <f ca="1">IF(IFERROR(OFFSET(貼付け_2027実績,$D331,3),"")="","",OFFSET(貼付け_2027実績,$D331,3))</f>
        <v/>
      </c>
      <c r="I331" s="732" t="str">
        <f t="shared" ca="1" si="207"/>
        <v/>
      </c>
      <c r="J331" s="733">
        <v>203</v>
      </c>
      <c r="K331" s="730" t="str">
        <f t="shared" ca="1" si="210"/>
        <v/>
      </c>
      <c r="L331" s="730" t="str">
        <f t="shared" ca="1" si="211"/>
        <v/>
      </c>
      <c r="M331" s="730" t="str">
        <f t="shared" ca="1" si="212"/>
        <v/>
      </c>
      <c r="N331" s="730" t="str">
        <f t="shared" ca="1" si="213"/>
        <v/>
      </c>
      <c r="O331" s="732" t="str">
        <f t="shared" ca="1" si="208"/>
        <v/>
      </c>
      <c r="P331" s="736" t="str">
        <f t="shared" ca="1" si="209"/>
        <v/>
      </c>
      <c r="IE331" s="219"/>
      <c r="IF331" s="219"/>
      <c r="IG331" s="219"/>
      <c r="IH331" s="219"/>
    </row>
    <row r="332" spans="1:242" s="197" customFormat="1" ht="20.100000000000001" hidden="1" customHeight="1">
      <c r="A332" s="197">
        <v>14</v>
      </c>
      <c r="B332" s="728"/>
      <c r="C332" s="729" t="s">
        <v>4354</v>
      </c>
      <c r="D332" s="728">
        <v>91</v>
      </c>
      <c r="E332" s="730" t="str">
        <f ca="1">IF(IFERROR(OFFSET(貼付け_2024実績,$D332,2),"")="","",OFFSET(貼付け_2024実績,$D332,2))</f>
        <v/>
      </c>
      <c r="F332" s="730" t="str">
        <f ca="1">IF(IFERROR(OFFSET(貼付け_2025実績,$D332,2),"")="","",OFFSET(貼付け_2025実績,$D332,2))</f>
        <v/>
      </c>
      <c r="G332" s="730" t="str">
        <f ca="1">IF(IFERROR(OFFSET(貼付け_2026実績,$D332,2),"")="","",OFFSET(貼付け_2026実績,$D332,2))</f>
        <v/>
      </c>
      <c r="H332" s="731" t="str">
        <f ca="1">IF(IFERROR(OFFSET(貼付け_2027実績,$D332,2),"")="","",OFFSET(貼付け_2027実績,$D332,2))</f>
        <v/>
      </c>
      <c r="I332" s="732" t="str">
        <f t="shared" ca="1" si="207"/>
        <v/>
      </c>
      <c r="J332" s="733">
        <v>204</v>
      </c>
      <c r="K332" s="730" t="str">
        <f t="shared" ca="1" si="210"/>
        <v/>
      </c>
      <c r="L332" s="730" t="str">
        <f t="shared" ca="1" si="211"/>
        <v/>
      </c>
      <c r="M332" s="730" t="str">
        <f t="shared" ca="1" si="212"/>
        <v/>
      </c>
      <c r="N332" s="730" t="str">
        <f t="shared" ca="1" si="213"/>
        <v/>
      </c>
      <c r="O332" s="732" t="str">
        <f t="shared" ca="1" si="208"/>
        <v/>
      </c>
      <c r="P332" s="736" t="str">
        <f t="shared" ca="1" si="209"/>
        <v/>
      </c>
      <c r="IE332" s="219"/>
      <c r="IF332" s="219"/>
      <c r="IG332" s="219"/>
      <c r="IH332" s="219"/>
    </row>
    <row r="333" spans="1:242" s="197" customFormat="1" ht="20.100000000000001" hidden="1" customHeight="1">
      <c r="A333" s="197">
        <v>15</v>
      </c>
      <c r="B333" s="728"/>
      <c r="C333" s="729" t="s">
        <v>4355</v>
      </c>
      <c r="D333" s="728">
        <v>93</v>
      </c>
      <c r="E333" s="730" t="str">
        <f ca="1">IF(IFERROR(OFFSET(貼付け_2024実績,$D333,2),"")="","",OFFSET(貼付け_2024実績,$D333,2))</f>
        <v/>
      </c>
      <c r="F333" s="730" t="str">
        <f ca="1">IF(IFERROR(OFFSET(貼付け_2025実績,$D333,2),"")="","",OFFSET(貼付け_2025実績,$D333,2))</f>
        <v/>
      </c>
      <c r="G333" s="730" t="str">
        <f ca="1">IF(IFERROR(OFFSET(貼付け_2026実績,$D333,2),"")="","",OFFSET(貼付け_2026実績,$D333,2))</f>
        <v/>
      </c>
      <c r="H333" s="731" t="str">
        <f ca="1">IF(IFERROR(OFFSET(貼付け_2027実績,$D333,2),"")="","",OFFSET(貼付け_2027実績,$D333,2))</f>
        <v/>
      </c>
      <c r="I333" s="732" t="str">
        <f t="shared" ca="1" si="207"/>
        <v/>
      </c>
      <c r="J333" s="733">
        <v>206</v>
      </c>
      <c r="K333" s="730" t="str">
        <f t="shared" ca="1" si="210"/>
        <v/>
      </c>
      <c r="L333" s="730" t="str">
        <f t="shared" ca="1" si="211"/>
        <v/>
      </c>
      <c r="M333" s="730" t="str">
        <f t="shared" ca="1" si="212"/>
        <v/>
      </c>
      <c r="N333" s="730" t="str">
        <f t="shared" ca="1" si="213"/>
        <v/>
      </c>
      <c r="O333" s="732" t="str">
        <f t="shared" ca="1" si="208"/>
        <v/>
      </c>
      <c r="P333" s="736" t="str">
        <f t="shared" ca="1" si="209"/>
        <v/>
      </c>
      <c r="IE333" s="219"/>
      <c r="IF333" s="219"/>
      <c r="IG333" s="219"/>
      <c r="IH333" s="219"/>
    </row>
    <row r="334" spans="1:242" s="197" customFormat="1" ht="20.100000000000001" hidden="1" customHeight="1">
      <c r="A334" s="197">
        <v>16</v>
      </c>
      <c r="B334" s="728"/>
      <c r="C334" s="729" t="s">
        <v>4356</v>
      </c>
      <c r="D334" s="728">
        <v>95</v>
      </c>
      <c r="E334" s="730" t="str">
        <f ca="1">IF(IFERROR(OFFSET(貼付け_2024実績,$D334,3),"")="","",OFFSET(貼付け_2024実績,$D334,3))</f>
        <v/>
      </c>
      <c r="F334" s="730" t="str">
        <f ca="1">IF(IFERROR(OFFSET(貼付け_2025実績,$D334,3),"")="","",OFFSET(貼付け_2025実績,$D334,3))</f>
        <v/>
      </c>
      <c r="G334" s="730" t="str">
        <f ca="1">IF(IFERROR(OFFSET(貼付け_2026実績,$D334,3),"")="","",OFFSET(貼付け_2026実績,$D334,3))</f>
        <v/>
      </c>
      <c r="H334" s="731" t="str">
        <f ca="1">IF(IFERROR(OFFSET(貼付け_2027実績,$D334,3),"")="","",OFFSET(貼付け_2027実績,$D334,3))</f>
        <v/>
      </c>
      <c r="I334" s="732" t="str">
        <f t="shared" ca="1" si="207"/>
        <v/>
      </c>
      <c r="J334" s="733">
        <v>208</v>
      </c>
      <c r="K334" s="730" t="str">
        <f t="shared" ca="1" si="210"/>
        <v/>
      </c>
      <c r="L334" s="730" t="str">
        <f t="shared" ca="1" si="211"/>
        <v/>
      </c>
      <c r="M334" s="730" t="str">
        <f t="shared" ca="1" si="212"/>
        <v/>
      </c>
      <c r="N334" s="730" t="str">
        <f t="shared" ca="1" si="213"/>
        <v/>
      </c>
      <c r="O334" s="732" t="str">
        <f t="shared" ca="1" si="208"/>
        <v/>
      </c>
      <c r="P334" s="736" t="str">
        <f t="shared" ca="1" si="209"/>
        <v/>
      </c>
      <c r="IE334" s="219"/>
      <c r="IF334" s="219"/>
      <c r="IG334" s="219"/>
      <c r="IH334" s="219"/>
    </row>
    <row r="335" spans="1:242" s="197" customFormat="1" ht="20.100000000000001" hidden="1" customHeight="1">
      <c r="A335" s="197">
        <v>17</v>
      </c>
      <c r="B335" s="728"/>
      <c r="C335" s="729" t="s">
        <v>4357</v>
      </c>
      <c r="D335" s="728">
        <v>96</v>
      </c>
      <c r="E335" s="730" t="str">
        <f ca="1">IF(IFERROR(OFFSET(貼付け_2024実績,$D335,3),"")="","",OFFSET(貼付け_2024実績,$D335,3))</f>
        <v/>
      </c>
      <c r="F335" s="730" t="str">
        <f ca="1">IF(IFERROR(OFFSET(貼付け_2025実績,$D335,3),"")="","",OFFSET(貼付け_2025実績,$D335,3))</f>
        <v/>
      </c>
      <c r="G335" s="730" t="str">
        <f ca="1">IF(IFERROR(OFFSET(貼付け_2026実績,$D335,3),"")="","",OFFSET(貼付け_2026実績,$D335,3))</f>
        <v/>
      </c>
      <c r="H335" s="731" t="str">
        <f ca="1">IF(IFERROR(OFFSET(貼付け_2027実績,$D335,3),"")="","",OFFSET(貼付け_2027実績,$D335,3))</f>
        <v/>
      </c>
      <c r="I335" s="732" t="str">
        <f t="shared" ca="1" si="207"/>
        <v/>
      </c>
      <c r="J335" s="733">
        <v>209</v>
      </c>
      <c r="K335" s="730" t="str">
        <f t="shared" ca="1" si="210"/>
        <v/>
      </c>
      <c r="L335" s="730" t="str">
        <f t="shared" ca="1" si="211"/>
        <v/>
      </c>
      <c r="M335" s="730" t="str">
        <f t="shared" ca="1" si="212"/>
        <v/>
      </c>
      <c r="N335" s="730" t="str">
        <f t="shared" ca="1" si="213"/>
        <v/>
      </c>
      <c r="O335" s="732" t="str">
        <f t="shared" ca="1" si="208"/>
        <v/>
      </c>
      <c r="P335" s="736" t="str">
        <f t="shared" ca="1" si="209"/>
        <v/>
      </c>
      <c r="IE335" s="219"/>
      <c r="IF335" s="219"/>
      <c r="IG335" s="219"/>
      <c r="IH335" s="219"/>
    </row>
    <row r="336" spans="1:242" s="197" customFormat="1" ht="20.100000000000001" hidden="1" customHeight="1">
      <c r="A336" s="197">
        <v>18</v>
      </c>
      <c r="B336" s="728"/>
      <c r="C336" s="729" t="s">
        <v>4358</v>
      </c>
      <c r="D336" s="728">
        <v>97</v>
      </c>
      <c r="E336" s="730" t="str">
        <f ca="1">IF(IFERROR(OFFSET(貼付け_2024実績,$D336,3),"")="","",OFFSET(貼付け_2024実績,$D336,3))</f>
        <v/>
      </c>
      <c r="F336" s="730" t="str">
        <f ca="1">IF(IFERROR(OFFSET(貼付け_2025実績,$D336,3),"")="","",OFFSET(貼付け_2025実績,$D336,3))</f>
        <v/>
      </c>
      <c r="G336" s="730" t="str">
        <f ca="1">IF(IFERROR(OFFSET(貼付け_2026実績,$D336,3),"")="","",OFFSET(貼付け_2026実績,$D336,3))</f>
        <v/>
      </c>
      <c r="H336" s="731" t="str">
        <f ca="1">IF(IFERROR(OFFSET(貼付け_2027実績,$D336,3),"")="","",OFFSET(貼付け_2027実績,$D336,3))</f>
        <v/>
      </c>
      <c r="I336" s="732" t="str">
        <f t="shared" ca="1" si="207"/>
        <v/>
      </c>
      <c r="J336" s="733">
        <v>210</v>
      </c>
      <c r="K336" s="730" t="str">
        <f t="shared" ca="1" si="210"/>
        <v/>
      </c>
      <c r="L336" s="730" t="str">
        <f t="shared" ca="1" si="211"/>
        <v/>
      </c>
      <c r="M336" s="730" t="str">
        <f t="shared" ca="1" si="212"/>
        <v/>
      </c>
      <c r="N336" s="730" t="str">
        <f t="shared" ca="1" si="213"/>
        <v/>
      </c>
      <c r="O336" s="732" t="str">
        <f t="shared" ca="1" si="208"/>
        <v/>
      </c>
      <c r="P336" s="736" t="str">
        <f t="shared" ca="1" si="209"/>
        <v/>
      </c>
      <c r="IE336" s="219"/>
      <c r="IF336" s="219"/>
      <c r="IG336" s="219"/>
      <c r="IH336" s="219"/>
    </row>
    <row r="337" spans="1:242" s="197" customFormat="1" ht="20.100000000000001" hidden="1" customHeight="1">
      <c r="A337" s="197">
        <v>19</v>
      </c>
      <c r="B337" s="728"/>
      <c r="C337" s="729" t="s">
        <v>4359</v>
      </c>
      <c r="D337" s="728">
        <v>98</v>
      </c>
      <c r="E337" s="730" t="str">
        <f ca="1">IF(IFERROR(OFFSET(貼付け_2024実績,$D337,3),"")="","",OFFSET(貼付け_2024実績,$D337,3))</f>
        <v/>
      </c>
      <c r="F337" s="730" t="str">
        <f ca="1">IF(IFERROR(OFFSET(貼付け_2025実績,$D337,3),"")="","",OFFSET(貼付け_2025実績,$D337,3))</f>
        <v/>
      </c>
      <c r="G337" s="730" t="str">
        <f ca="1">IF(IFERROR(OFFSET(貼付け_2026実績,$D337,3),"")="","",OFFSET(貼付け_2026実績,$D337,3))</f>
        <v/>
      </c>
      <c r="H337" s="731" t="str">
        <f ca="1">IF(IFERROR(OFFSET(貼付け_2027実績,$D337,3),"")="","",OFFSET(貼付け_2027実績,$D337,3))</f>
        <v/>
      </c>
      <c r="I337" s="732" t="str">
        <f t="shared" ca="1" si="207"/>
        <v/>
      </c>
      <c r="J337" s="733">
        <v>211</v>
      </c>
      <c r="K337" s="730" t="str">
        <f t="shared" ca="1" si="210"/>
        <v/>
      </c>
      <c r="L337" s="730" t="str">
        <f t="shared" ca="1" si="211"/>
        <v/>
      </c>
      <c r="M337" s="730" t="str">
        <f t="shared" ca="1" si="212"/>
        <v/>
      </c>
      <c r="N337" s="730" t="str">
        <f t="shared" ca="1" si="213"/>
        <v/>
      </c>
      <c r="O337" s="732" t="str">
        <f t="shared" ca="1" si="208"/>
        <v/>
      </c>
      <c r="P337" s="736" t="str">
        <f t="shared" ca="1" si="209"/>
        <v/>
      </c>
      <c r="IE337" s="219"/>
      <c r="IF337" s="219"/>
      <c r="IG337" s="219"/>
      <c r="IH337" s="219"/>
    </row>
    <row r="338" spans="1:242" s="197" customFormat="1" ht="20.100000000000001" hidden="1" customHeight="1">
      <c r="A338" s="197">
        <v>20</v>
      </c>
      <c r="B338" s="737" t="s">
        <v>4360</v>
      </c>
      <c r="C338" s="738" t="s">
        <v>4361</v>
      </c>
      <c r="D338" s="737">
        <v>164</v>
      </c>
      <c r="E338" s="739" t="str">
        <f ca="1">IF(IFERROR(OFFSET(貼付け_2024実績,$D338,3),"")="","",OFFSET(貼付け_2024実績,$D338,3))</f>
        <v/>
      </c>
      <c r="F338" s="739" t="str">
        <f ca="1">IF(IFERROR(OFFSET(貼付け_2025実績,$D338,3),"")="","",OFFSET(貼付け_2025実績,$D338,3))</f>
        <v/>
      </c>
      <c r="G338" s="739" t="str">
        <f ca="1">IF(IFERROR(OFFSET(貼付け_2026実績,$D338,3),"")="","",OFFSET(貼付け_2026実績,$D338,3))</f>
        <v/>
      </c>
      <c r="H338" s="740" t="str">
        <f ca="1">IF(IFERROR(OFFSET(貼付け_2027実績,$D338,3),"")="","",OFFSET(貼付け_2027実績,$D338,3))</f>
        <v/>
      </c>
      <c r="I338" s="741" t="str">
        <f t="shared" ca="1" si="207"/>
        <v/>
      </c>
      <c r="J338" s="742"/>
      <c r="K338" s="743"/>
      <c r="L338" s="743"/>
      <c r="M338" s="743"/>
      <c r="N338" s="743"/>
      <c r="O338" s="744"/>
      <c r="P338" s="745" t="str">
        <f ca="1">IF(I338=Q338,I338,IF(OR(I338="",Q338=""),I338&amp;Q338,I338&amp;"/"&amp;Q338))</f>
        <v/>
      </c>
      <c r="IE338" s="219"/>
      <c r="IF338" s="219"/>
      <c r="IG338" s="219"/>
      <c r="IH338" s="219"/>
    </row>
    <row r="339" spans="1:242" s="197" customFormat="1" ht="20.100000000000001" hidden="1" customHeight="1">
      <c r="D339" s="198"/>
      <c r="IE339" s="219"/>
      <c r="IF339" s="219"/>
      <c r="IG339" s="219"/>
      <c r="IH339" s="219"/>
    </row>
    <row r="340" spans="1:242" s="197" customFormat="1" ht="20.100000000000001" hidden="1" customHeight="1">
      <c r="A340" s="197">
        <v>0</v>
      </c>
      <c r="B340" s="215" t="s">
        <v>4362</v>
      </c>
      <c r="C340" s="197">
        <v>1</v>
      </c>
      <c r="D340" s="197">
        <v>2</v>
      </c>
      <c r="E340" s="197">
        <v>3</v>
      </c>
      <c r="F340" s="197">
        <v>4</v>
      </c>
      <c r="G340" s="197">
        <v>5</v>
      </c>
      <c r="IE340" s="219"/>
      <c r="IF340" s="219"/>
      <c r="IG340" s="219"/>
      <c r="IH340" s="219"/>
    </row>
    <row r="341" spans="1:242" s="197" customFormat="1" ht="20.100000000000001" hidden="1" customHeight="1">
      <c r="A341" s="197">
        <v>1</v>
      </c>
      <c r="C341" s="224">
        <v>2024</v>
      </c>
      <c r="D341" s="224">
        <v>2025</v>
      </c>
      <c r="E341" s="224">
        <v>2026</v>
      </c>
      <c r="F341" s="224">
        <v>2027</v>
      </c>
      <c r="G341" s="746" t="s">
        <v>4363</v>
      </c>
      <c r="IE341" s="219"/>
      <c r="IF341" s="219"/>
      <c r="IG341" s="219"/>
      <c r="IH341" s="219"/>
    </row>
    <row r="342" spans="1:242" s="197" customFormat="1" ht="20.100000000000001" hidden="1" customHeight="1">
      <c r="A342" s="197">
        <v>2</v>
      </c>
      <c r="B342" s="224" t="s">
        <v>4364</v>
      </c>
      <c r="C342" s="224" t="str">
        <f ca="1">IF(OFFSET(貼付け_2024実績,0,1)&lt;&gt;"",OFFSET(貼付け_2024実績,0,1),"")</f>
        <v/>
      </c>
      <c r="D342" s="224" t="str">
        <f ca="1">IF(OFFSET(貼付け_2025実績,0,1)&lt;&gt;"",OFFSET(貼付け_2025実績,0,1),"")</f>
        <v/>
      </c>
      <c r="E342" s="224" t="str">
        <f ca="1">IF(OFFSET(貼付け_2026実績,0,1)&lt;&gt;"",OFFSET(貼付け_2026実績,0,1),"")</f>
        <v/>
      </c>
      <c r="F342" s="224" t="str">
        <f ca="1">IF(OFFSET(貼付け_2027実績,0,1)&lt;&gt;"",OFFSET(貼付け_2027実績,0,1),"")</f>
        <v/>
      </c>
      <c r="G342" s="746" t="str">
        <f ca="1">IF(F342="",IF(E342="",IF(D342="",C342,D342),E342),F342)</f>
        <v/>
      </c>
      <c r="IE342" s="219"/>
      <c r="IF342" s="219"/>
      <c r="IG342" s="219"/>
      <c r="IH342" s="219"/>
    </row>
    <row r="343" spans="1:242" s="197" customFormat="1" ht="20.100000000000001" hidden="1" customHeight="1">
      <c r="A343" s="197">
        <v>3</v>
      </c>
      <c r="B343" s="224" t="s">
        <v>4064</v>
      </c>
      <c r="C343" s="224" t="str">
        <f ca="1">IF(OFFSET(貼付け_2024実績,1,1)&lt;&gt;"",OFFSET(貼付け_2024実績,1,1),"")</f>
        <v/>
      </c>
      <c r="D343" s="224" t="str">
        <f ca="1">IF(OFFSET(貼付け_2025実績,1,1)&lt;&gt;"",OFFSET(貼付け_2025実績,1,1),"")</f>
        <v/>
      </c>
      <c r="E343" s="224" t="str">
        <f ca="1">IF(OFFSET(貼付け_2026実績,1,1)&lt;&gt;"",OFFSET(貼付け_2026実績,1,1),"")</f>
        <v/>
      </c>
      <c r="F343" s="224" t="str">
        <f ca="1">IF(OFFSET(貼付け_2027実績,1,1)&lt;&gt;"",OFFSET(貼付け_2027実績,1,1),"")</f>
        <v/>
      </c>
      <c r="G343" s="746" t="str">
        <f ca="1">IF(F343="",IF(E343="",IF(D343="",C343,D343),E343),F343)</f>
        <v/>
      </c>
      <c r="IE343" s="219"/>
      <c r="IF343" s="219"/>
      <c r="IG343" s="219"/>
      <c r="IH343" s="219"/>
    </row>
    <row r="344" spans="1:242" s="197" customFormat="1" ht="20.100000000000001" hidden="1" customHeight="1">
      <c r="A344" s="197">
        <v>4</v>
      </c>
      <c r="B344" s="224" t="s">
        <v>4365</v>
      </c>
      <c r="C344" s="224" t="str">
        <f ca="1">IF(OFFSET(貼付け_2024実績,2,2)&lt;&gt;"",OFFSET(貼付け_2024実績,2,2),"")</f>
        <v/>
      </c>
      <c r="D344" s="224" t="str">
        <f ca="1">IF(OFFSET(貼付け_2025実績,2,2)&lt;&gt;"",OFFSET(貼付け_2025実績,2,2),"")</f>
        <v/>
      </c>
      <c r="E344" s="224" t="str">
        <f ca="1">IF(OFFSET(貼付け_2026実績,2,2)&lt;&gt;"",OFFSET(貼付け_2026実績,2,2),"")</f>
        <v/>
      </c>
      <c r="F344" s="224" t="str">
        <f ca="1">IF(OFFSET(貼付け_2027実績,2,2)&lt;&gt;"",OFFSET(貼付け_2027実績,2,2),"")</f>
        <v/>
      </c>
      <c r="G344" s="746" t="str">
        <f ca="1">IF(F344="",IF(E344="",IF(D344="",C344,D344),E344),F344)</f>
        <v/>
      </c>
      <c r="IE344" s="219"/>
      <c r="IF344" s="219"/>
      <c r="IG344" s="219"/>
      <c r="IH344" s="219"/>
    </row>
    <row r="345" spans="1:242" s="197" customFormat="1" ht="20.100000000000001" hidden="1" customHeight="1">
      <c r="A345" s="197">
        <v>5</v>
      </c>
      <c r="B345" s="224" t="s">
        <v>4366</v>
      </c>
      <c r="C345" s="224" t="str">
        <f ca="1">IF(OFFSET(貼付け_2024実績,2,4)&lt;&gt;"",OFFSET(貼付け_2024実績,2,4),"")</f>
        <v/>
      </c>
      <c r="D345" s="224" t="str">
        <f ca="1">IF(OFFSET(貼付け_2025実績,2,4)&lt;&gt;"",OFFSET(貼付け_2025実績,2,4),"")</f>
        <v/>
      </c>
      <c r="E345" s="224" t="str">
        <f ca="1">IF(OFFSET(貼付け_2026実績,2,4)&lt;&gt;"",OFFSET(貼付け_2026実績,2,4),"")</f>
        <v/>
      </c>
      <c r="F345" s="224" t="str">
        <f ca="1">IF(OFFSET(貼付け_2027実績,2,4)&lt;&gt;"",OFFSET(貼付け_2027実績,2,4),"")</f>
        <v/>
      </c>
      <c r="G345" s="746" t="str">
        <f ca="1">IF(F345="",IF(E345="",IF(D345="",C345,D345),E345),F345)</f>
        <v/>
      </c>
      <c r="IE345" s="219"/>
      <c r="IF345" s="219"/>
      <c r="IG345" s="219"/>
      <c r="IH345" s="219"/>
    </row>
    <row r="346" spans="1:242" s="197" customFormat="1" ht="20.100000000000001" hidden="1" customHeight="1">
      <c r="A346" s="197">
        <v>6</v>
      </c>
      <c r="B346" s="224" t="s">
        <v>4069</v>
      </c>
      <c r="C346" s="224" t="str">
        <f ca="1">IF(OFFSET(貼付け_2024実績,3,3)&lt;&gt;"",OFFSET(貼付け_2024実績,3,3),"")</f>
        <v/>
      </c>
      <c r="D346" s="224" t="str">
        <f ca="1">IF(OFFSET(貼付け_2025実績,3,3)&lt;&gt;"",OFFSET(貼付け_2025実績,3,3),"")</f>
        <v/>
      </c>
      <c r="E346" s="224" t="str">
        <f ca="1">IF(OFFSET(貼付け_2026実績,3,3)&lt;&gt;"",OFFSET(貼付け_2026実績,3,3),"")</f>
        <v/>
      </c>
      <c r="F346" s="224" t="str">
        <f ca="1">IF(OFFSET(貼付け_2027実績,3,3)&lt;&gt;"",OFFSET(貼付け_2027実績,3,3),"")</f>
        <v/>
      </c>
      <c r="G346" s="746" t="str">
        <f ca="1">IF(F346="",IF(E346="",IF(D346="",C346,D346),E346),F346)</f>
        <v/>
      </c>
      <c r="IE346" s="219"/>
      <c r="IF346" s="219"/>
      <c r="IG346" s="219"/>
      <c r="IH346" s="219"/>
    </row>
    <row r="347" spans="1:242" s="197" customFormat="1" ht="20.100000000000001" hidden="1" customHeight="1">
      <c r="A347" s="197">
        <v>7</v>
      </c>
      <c r="B347" s="224" t="s">
        <v>4367</v>
      </c>
      <c r="C347" s="224" t="str">
        <f ca="1">OFFSET(貼付け_2024実績,0,4)</f>
        <v>要選択</v>
      </c>
      <c r="D347" s="224" t="str">
        <f ca="1">OFFSET(貼付け_2025実績,0,4)</f>
        <v>要選択</v>
      </c>
      <c r="E347" s="224" t="str">
        <f ca="1">OFFSET(貼付け_2026実績,0,4)</f>
        <v>要選択</v>
      </c>
      <c r="F347" s="224" t="str">
        <f ca="1">OFFSET(貼付け_2027実績,0,4)</f>
        <v>要選択</v>
      </c>
      <c r="G347" s="746">
        <f ca="1">IFERROR(MATCH(TRUE,INDEX(C347:F347&lt;&gt;"要選択",),0),1)+2024</f>
        <v>2025</v>
      </c>
      <c r="H347" s="197" t="s">
        <v>4368</v>
      </c>
      <c r="IE347" s="219"/>
      <c r="IF347" s="219"/>
      <c r="IG347" s="219"/>
      <c r="IH347" s="219"/>
    </row>
    <row r="348" spans="1:242" s="197" customFormat="1" ht="20.100000000000001" hidden="1" customHeight="1">
      <c r="A348" s="197">
        <v>8</v>
      </c>
      <c r="B348" s="224" t="s">
        <v>4369</v>
      </c>
      <c r="C348" s="224" t="str">
        <f ca="1">IF(OFFSET(貼付け_2024実績,1,6)="","",OFFSET(貼付け_2024実績,1,6))</f>
        <v/>
      </c>
      <c r="D348" s="224" t="str">
        <f ca="1">IF(OFFSET(貼付け_2025実績,1,6)="","",OFFSET(貼付け_2025実績,1,6))</f>
        <v/>
      </c>
      <c r="E348" s="224" t="str">
        <f ca="1">IF(OFFSET(貼付け_2026実績,1,6)="","",OFFSET(貼付け_2026実績,1,6))</f>
        <v/>
      </c>
      <c r="F348" s="224" t="str">
        <f ca="1">IF(OFFSET(貼付け_2027実績,1,6)="","",OFFSET(貼付け_2027実績,1,6))</f>
        <v/>
      </c>
      <c r="G348" s="746" t="str">
        <f t="shared" ref="G348:G355" ca="1" si="214">IF(F348="",IF(E348="",IF(D348="",C348,D348),E348),F348)</f>
        <v/>
      </c>
      <c r="IE348" s="219"/>
      <c r="IF348" s="219"/>
      <c r="IG348" s="219"/>
      <c r="IH348" s="219"/>
    </row>
    <row r="349" spans="1:242" s="197" customFormat="1" ht="20.100000000000001" hidden="1" customHeight="1">
      <c r="A349" s="197">
        <v>9</v>
      </c>
      <c r="B349" s="224" t="s">
        <v>4370</v>
      </c>
      <c r="C349" s="224" t="str">
        <f ca="1">IF(OFFSET(貼付け_2024実績,2,6)="","",OFFSET(貼付け_2024実績,2,6))</f>
        <v/>
      </c>
      <c r="D349" s="224" t="str">
        <f ca="1">IF(OFFSET(貼付け_2025実績,2,6)="","",OFFSET(貼付け_2025実績,2,6))</f>
        <v/>
      </c>
      <c r="E349" s="224" t="str">
        <f ca="1">IF(OFFSET(貼付け_2026実績,2,6)="","",OFFSET(貼付け_2026実績,2,6))</f>
        <v/>
      </c>
      <c r="F349" s="224" t="str">
        <f ca="1">IF(OFFSET(貼付け_2027実績,2,6)="","",OFFSET(貼付け_2027実績,2,6))</f>
        <v/>
      </c>
      <c r="G349" s="746" t="str">
        <f t="shared" ca="1" si="214"/>
        <v/>
      </c>
      <c r="IE349" s="219"/>
      <c r="IF349" s="219"/>
      <c r="IG349" s="219"/>
      <c r="IH349" s="219"/>
    </row>
    <row r="350" spans="1:242" s="197" customFormat="1" ht="20.100000000000001" hidden="1" customHeight="1">
      <c r="A350" s="197">
        <v>10</v>
      </c>
      <c r="B350" s="224" t="s">
        <v>4371</v>
      </c>
      <c r="C350" s="224" t="str">
        <f ca="1">IF(OFFSET(貼付け_2024実績,3,6)="","",OFFSET(貼付け_2024実績,3,6))</f>
        <v/>
      </c>
      <c r="D350" s="224" t="str">
        <f ca="1">IF(OFFSET(貼付け_2025実績,3,6)="","",OFFSET(貼付け_2025実績,3,6))</f>
        <v/>
      </c>
      <c r="E350" s="224" t="str">
        <f ca="1">IF(OFFSET(貼付け_2026実績,3,6)="","",OFFSET(貼付け_2026実績,3,6))</f>
        <v/>
      </c>
      <c r="F350" s="224" t="str">
        <f ca="1">IF(OFFSET(貼付け_2027実績,3,6)="","",OFFSET(貼付け_2027実績,3,6))</f>
        <v/>
      </c>
      <c r="G350" s="746" t="str">
        <f t="shared" ca="1" si="214"/>
        <v/>
      </c>
      <c r="IE350" s="219"/>
      <c r="IF350" s="219"/>
      <c r="IG350" s="219"/>
      <c r="IH350" s="219"/>
    </row>
    <row r="351" spans="1:242" s="197" customFormat="1" ht="20.100000000000001" hidden="1" customHeight="1">
      <c r="A351" s="197">
        <v>11</v>
      </c>
      <c r="B351" s="224" t="s">
        <v>4372</v>
      </c>
      <c r="C351" s="224" t="str">
        <f ca="1">IF(OFFSET(貼付け_2024実績,1,8)="","",OFFSET(貼付け_2024実績,1,8))</f>
        <v/>
      </c>
      <c r="D351" s="224" t="str">
        <f ca="1">IF(OFFSET(貼付け_2025実績,1,8)="","",OFFSET(貼付け_2025実績,1,8))</f>
        <v/>
      </c>
      <c r="E351" s="224" t="str">
        <f ca="1">IF(OFFSET(貼付け_2026実績,1,8)="","",OFFSET(貼付け_2026実績,1,8))</f>
        <v/>
      </c>
      <c r="F351" s="224" t="str">
        <f ca="1">IF(OFFSET(貼付け_2027実績,1,8)="","",OFFSET(貼付け_2027実績,1,8))</f>
        <v/>
      </c>
      <c r="G351" s="746" t="str">
        <f t="shared" ca="1" si="214"/>
        <v/>
      </c>
      <c r="IE351" s="219"/>
      <c r="IF351" s="219"/>
      <c r="IG351" s="219"/>
      <c r="IH351" s="219"/>
    </row>
    <row r="352" spans="1:242" s="197" customFormat="1" ht="20.100000000000001" hidden="1" customHeight="1">
      <c r="A352" s="197">
        <v>12</v>
      </c>
      <c r="B352" s="224" t="s">
        <v>4373</v>
      </c>
      <c r="C352" s="224" t="str">
        <f ca="1">IF(OFFSET(貼付け_2024実績,2,8)="","",OFFSET(貼付け_2024実績,2,8))</f>
        <v/>
      </c>
      <c r="D352" s="224" t="str">
        <f ca="1">IF(OFFSET(貼付け_2025実績,2,8)="","",OFFSET(貼付け_2025実績,2,8))</f>
        <v/>
      </c>
      <c r="E352" s="224" t="str">
        <f ca="1">IF(OFFSET(貼付け_2026実績,2,8)="","",OFFSET(貼付け_2026実績,2,8))</f>
        <v/>
      </c>
      <c r="F352" s="224" t="str">
        <f ca="1">IF(OFFSET(貼付け_2027実績,2,8)="","",OFFSET(貼付け_2027実績,2,8))</f>
        <v/>
      </c>
      <c r="G352" s="746" t="str">
        <f t="shared" ca="1" si="214"/>
        <v/>
      </c>
      <c r="IE352" s="219"/>
      <c r="IF352" s="219"/>
      <c r="IG352" s="219"/>
      <c r="IH352" s="219"/>
    </row>
    <row r="353" spans="1:242" s="197" customFormat="1" ht="20.100000000000001" hidden="1" customHeight="1">
      <c r="A353" s="197">
        <v>13</v>
      </c>
      <c r="B353" s="224" t="s">
        <v>4374</v>
      </c>
      <c r="C353" s="224" t="str">
        <f ca="1">IF(OFFSET(貼付け_2024実績,0,1)="","",IF(C348="■","第１号該当事業者",IF(C349="■","第２号該当事業者",""))&amp;IF(OR(C348="■",C349="■"),IF(C350="■","かつ第３号該当事業者",""),"第３号該当事業者"))</f>
        <v/>
      </c>
      <c r="D353" s="224" t="str">
        <f ca="1">IF(OFFSET(貼付け_2025実績,0,1)="","",IF(D348="■","第１号該当事業者",IF(D349="■","第２号該当事業者",""))&amp;IF(OR(D348="■",D349="■"),IF(D350="■","かつ第３号該当事業者",""),"第３号該当事業者"))</f>
        <v/>
      </c>
      <c r="E353" s="224" t="str">
        <f ca="1">IF(OFFSET(貼付け_2026実績,0,1)="","",IF(E348="■","第１号該当事業者",IF(E349="■","第２号該当事業者",""))&amp;IF(OR(E348="■",E349="■"),IF(E350="■","かつ第３号該当事業者",""),"第３号該当事業者"))</f>
        <v/>
      </c>
      <c r="F353" s="224" t="str">
        <f ca="1">IF(OFFSET(貼付け_2027実績,0,1)="","",IF(F348="■","第１号該当事業者",IF(F349="■","第２号該当事業者",""))&amp;IF(OR(F348="■",F349="■"),IF(F350="■","かつ第３号該当事業者",""),"第３号該当事業者"))</f>
        <v/>
      </c>
      <c r="G353" s="746" t="str">
        <f t="shared" ca="1" si="214"/>
        <v/>
      </c>
      <c r="IE353" s="219"/>
      <c r="IF353" s="219"/>
      <c r="IG353" s="219"/>
      <c r="IH353" s="219"/>
    </row>
    <row r="354" spans="1:242" s="197" customFormat="1" ht="20.100000000000001" hidden="1" customHeight="1">
      <c r="A354" s="197">
        <v>14</v>
      </c>
      <c r="B354" s="224" t="s">
        <v>4375</v>
      </c>
      <c r="C354" s="224" t="str">
        <f ca="1">IF(OFFSET(貼付け_2024実績,0,1)="","",IF(C351="■","工場等に関する削減計画策定者","")&amp;IF(C351="■",IF(C352="■","かつ自動車に関する削減計画策定者",""),"自動車に関する削減計画策定者"))</f>
        <v/>
      </c>
      <c r="D354" s="224" t="str">
        <f ca="1">IF(OFFSET(貼付け_2025実績,0,1)="","",IF(D351="■","工場等に関する削減計画策定者","")&amp;IF(D351="■",IF(D352="■","かつ自動車に関する削減計画策定者",""),"自動車に関する削減計画策定者"))</f>
        <v/>
      </c>
      <c r="E354" s="224" t="str">
        <f ca="1">IF(OFFSET(貼付け_2026実績,0,1)="","",IF(E351="■","工場等に関する削減計画策定者","")&amp;IF(E351="■",IF(E352="■","かつ自動車に関する削減計画策定者",""),"自動車に関する削減計画策定者"))</f>
        <v/>
      </c>
      <c r="F354" s="224" t="str">
        <f ca="1">IF(OFFSET(貼付け_2027実績,0,1)="","",IF(F351="■","工場等に関する削減計画策定者","")&amp;IF(F351="■",IF(F352="■","かつ自動車に関する削減計画策定者",""),"自動車に関する削減計画策定者"))</f>
        <v/>
      </c>
      <c r="G354" s="746" t="str">
        <f t="shared" ca="1" si="214"/>
        <v/>
      </c>
      <c r="IE354" s="219"/>
      <c r="IF354" s="219"/>
      <c r="IG354" s="219"/>
      <c r="IH354" s="219"/>
    </row>
    <row r="355" spans="1:242" s="197" customFormat="1" ht="20.100000000000001" hidden="1" customHeight="1">
      <c r="A355" s="197">
        <v>15</v>
      </c>
      <c r="B355" s="224" t="s">
        <v>4293</v>
      </c>
      <c r="C355" s="224" t="str">
        <f ca="1">IF(OFFSET(貼付け_2024実績,0,1)="","",IF(OR(OFFSET(貼付け_2024実績,1,10)&lt;&gt;"",OFFSET(貼付け_2024実績,1,11)&lt;&gt;""),"単一の指標を設定","複数の指標を設定"))</f>
        <v/>
      </c>
      <c r="D355" s="224" t="str">
        <f ca="1">IF(OFFSET(貼付け_2025実績,0,1)="","",IF(OR(OFFSET(貼付け_2025実績,1,10)&lt;&gt;"",OFFSET(貼付け_2025実績,1,11)&lt;&gt;""),"単一の指標を設定","複数の指標を設定"))</f>
        <v/>
      </c>
      <c r="E355" s="224" t="str">
        <f ca="1">IF(OFFSET(貼付け_2026実績,0,1)="","",IF(OR(OFFSET(貼付け_2026実績,1,10)&lt;&gt;"",OFFSET(貼付け_2026実績,1,11)&lt;&gt;""),"単一の指標を設定","複数の指標を設定"))</f>
        <v/>
      </c>
      <c r="F355" s="224" t="str">
        <f ca="1">IF(OFFSET(貼付け_2027実績,0,1)="","",IF(OR(OFFSET(貼付け_2027実績,1,10)&lt;&gt;"",OFFSET(貼付け_2027実績,1,11)&lt;&gt;""),"単一の指標を設定","複数の指標を設定"))</f>
        <v/>
      </c>
      <c r="G355" s="746" t="str">
        <f t="shared" ca="1" si="214"/>
        <v/>
      </c>
      <c r="IE355" s="219"/>
      <c r="IF355" s="219"/>
      <c r="IG355" s="219"/>
      <c r="IH355" s="219"/>
    </row>
  </sheetData>
  <sheetProtection formatCells="0"/>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CE99"/>
  <sheetViews>
    <sheetView showGridLines="0" view="pageBreakPreview" zoomScaleNormal="85" zoomScaleSheetLayoutView="100" workbookViewId="0">
      <pane xSplit="25" ySplit="4" topLeftCell="Z5" activePane="bottomRight" state="frozen"/>
      <selection pane="topRight" activeCell="Z1" sqref="Z1"/>
      <selection pane="bottomLeft" activeCell="A5" sqref="A5"/>
      <selection pane="bottomRight" activeCell="Z2" sqref="Z2"/>
    </sheetView>
  </sheetViews>
  <sheetFormatPr defaultColWidth="8.6640625" defaultRowHeight="10.8" outlineLevelCol="1"/>
  <cols>
    <col min="1" max="1" width="0.6640625" style="12" customWidth="1"/>
    <col min="2" max="2" width="4.44140625" style="12" customWidth="1"/>
    <col min="3" max="4" width="5.6640625" style="12" customWidth="1"/>
    <col min="5" max="5" width="2.44140625" style="12" customWidth="1"/>
    <col min="6" max="6" width="5.21875" style="12" customWidth="1"/>
    <col min="7" max="7" width="5" style="12" customWidth="1"/>
    <col min="8" max="8" width="4.88671875" style="12" customWidth="1"/>
    <col min="9" max="9" width="2.6640625" style="12" customWidth="1"/>
    <col min="10" max="10" width="5" style="12" customWidth="1"/>
    <col min="11" max="11" width="2.6640625" style="12" customWidth="1"/>
    <col min="12" max="13" width="2.44140625" style="12" customWidth="1"/>
    <col min="14" max="14" width="2.6640625" style="12" customWidth="1"/>
    <col min="15" max="15" width="2.44140625" style="12" customWidth="1"/>
    <col min="16" max="16" width="5.6640625" style="12" customWidth="1"/>
    <col min="17" max="17" width="2.6640625" style="12" customWidth="1"/>
    <col min="18" max="18" width="3.21875" style="71" customWidth="1"/>
    <col min="19" max="24" width="3.109375" style="71" customWidth="1"/>
    <col min="25" max="25" width="4.44140625" style="12" customWidth="1"/>
    <col min="26" max="26" width="40" style="12" customWidth="1"/>
    <col min="27" max="27" width="5.77734375" style="12" hidden="1" customWidth="1" outlineLevel="1"/>
    <col min="28" max="28" width="72.44140625" style="12" hidden="1" customWidth="1" outlineLevel="1"/>
    <col min="29" max="29" width="3.109375" style="14" customWidth="1" collapsed="1"/>
    <col min="30" max="30" width="1.109375" style="12" customWidth="1"/>
    <col min="31" max="31" width="4.44140625" style="12" customWidth="1"/>
    <col min="32" max="33" width="5.6640625" style="12" customWidth="1"/>
    <col min="34" max="34" width="2.6640625" style="12" customWidth="1"/>
    <col min="35" max="35" width="5.21875" style="12" customWidth="1"/>
    <col min="36" max="36" width="5" style="12" customWidth="1"/>
    <col min="37" max="37" width="4.88671875" style="12" customWidth="1"/>
    <col min="38" max="38" width="2.6640625" style="12" customWidth="1"/>
    <col min="39" max="39" width="5" style="12" customWidth="1"/>
    <col min="40" max="40" width="2.6640625" style="12" customWidth="1"/>
    <col min="41" max="42" width="2.44140625" style="12" customWidth="1"/>
    <col min="43" max="44" width="2.6640625" style="12" customWidth="1"/>
    <col min="45" max="45" width="5.6640625" style="12" customWidth="1"/>
    <col min="46" max="46" width="2.6640625" style="12" customWidth="1"/>
    <col min="47" max="47" width="3.21875" style="71" customWidth="1"/>
    <col min="48" max="48" width="3.109375" style="71" customWidth="1"/>
    <col min="49" max="49" width="4.109375" style="71" customWidth="1"/>
    <col min="50" max="50" width="3.109375" style="71" customWidth="1"/>
    <col min="51" max="51" width="3.6640625" style="71" customWidth="1"/>
    <col min="52" max="52" width="3.109375" style="71" customWidth="1"/>
    <col min="53" max="53" width="3" style="71" bestFit="1" customWidth="1"/>
    <col min="54" max="54" width="3.77734375" style="12" customWidth="1"/>
    <col min="55" max="55" width="9.6640625" style="12" customWidth="1"/>
    <col min="56" max="16384" width="8.6640625" style="12"/>
  </cols>
  <sheetData>
    <row r="1" spans="1:83" ht="12" customHeight="1">
      <c r="A1" s="1262" t="s">
        <v>217</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Z1" s="163" t="s">
        <v>4945</v>
      </c>
      <c r="AA1" s="102" t="s">
        <v>3607</v>
      </c>
      <c r="AB1" s="102" t="s">
        <v>3608</v>
      </c>
      <c r="AD1" s="1262" t="s">
        <v>217</v>
      </c>
      <c r="AE1" s="1262"/>
      <c r="AF1" s="1262"/>
      <c r="AG1" s="1262"/>
      <c r="AH1" s="1262"/>
      <c r="AI1" s="1262"/>
      <c r="AJ1" s="1262"/>
      <c r="AK1" s="1262"/>
      <c r="AL1" s="1262"/>
      <c r="AM1" s="1262"/>
      <c r="AN1" s="1262"/>
      <c r="AO1" s="1262"/>
      <c r="AP1" s="1262"/>
      <c r="AQ1" s="1262"/>
      <c r="AR1" s="1262"/>
      <c r="AS1" s="1262"/>
      <c r="AT1" s="1262"/>
      <c r="AU1" s="1262"/>
      <c r="AV1" s="1262"/>
      <c r="AW1" s="1262"/>
      <c r="AX1" s="1262"/>
      <c r="AY1" s="1262"/>
      <c r="AZ1" s="1262"/>
      <c r="BA1" s="1262"/>
      <c r="CD1" s="12" t="s">
        <v>249</v>
      </c>
      <c r="CE1" s="128" t="s">
        <v>250</v>
      </c>
    </row>
    <row r="2" spans="1:83" ht="12" customHeight="1">
      <c r="A2" s="1223" t="s">
        <v>59</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AD2" s="1223" t="s">
        <v>59</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CD2" s="12" t="s">
        <v>251</v>
      </c>
      <c r="CE2" s="128" t="s">
        <v>252</v>
      </c>
    </row>
    <row r="3" spans="1:83" ht="12" customHeight="1">
      <c r="A3" s="1263"/>
      <c r="B3" s="1263"/>
      <c r="C3" s="1263"/>
      <c r="D3" s="1263"/>
      <c r="E3" s="1263"/>
      <c r="F3" s="1263"/>
      <c r="G3" s="1263"/>
      <c r="H3" s="1263"/>
      <c r="I3" s="1263"/>
      <c r="J3" s="1263"/>
      <c r="K3" s="1263"/>
      <c r="L3" s="1263"/>
      <c r="M3" s="1263"/>
      <c r="N3" s="1263"/>
      <c r="O3" s="1263"/>
      <c r="P3" s="1263"/>
      <c r="Q3" s="1263"/>
      <c r="R3" s="1263"/>
      <c r="S3" s="1263"/>
      <c r="T3" s="1263"/>
      <c r="U3" s="1263"/>
      <c r="V3" s="1263"/>
      <c r="W3" s="1263"/>
      <c r="X3" s="1263"/>
      <c r="AD3" s="1263"/>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CE3" s="128" t="s">
        <v>253</v>
      </c>
    </row>
    <row r="4" spans="1:83" s="15" customFormat="1" ht="20.100000000000001" customHeight="1">
      <c r="A4" s="1259" t="s">
        <v>126</v>
      </c>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Z4" s="139" t="s">
        <v>3631</v>
      </c>
      <c r="AC4" s="16"/>
      <c r="AD4" s="1259" t="s">
        <v>126</v>
      </c>
      <c r="AE4" s="1259"/>
      <c r="AF4" s="1259"/>
      <c r="AG4" s="1259"/>
      <c r="AH4" s="1259"/>
      <c r="AI4" s="1259"/>
      <c r="AJ4" s="1259"/>
      <c r="AK4" s="1259"/>
      <c r="AL4" s="1259"/>
      <c r="AM4" s="1259"/>
      <c r="AN4" s="1259"/>
      <c r="AO4" s="1259"/>
      <c r="AP4" s="1259"/>
      <c r="AQ4" s="1259"/>
      <c r="AR4" s="1259"/>
      <c r="AS4" s="1259"/>
      <c r="AT4" s="1259"/>
      <c r="AU4" s="1259"/>
      <c r="AV4" s="1259"/>
      <c r="AW4" s="1259"/>
      <c r="AX4" s="1259"/>
      <c r="AY4" s="1259"/>
      <c r="AZ4" s="1259"/>
      <c r="BA4" s="1259"/>
      <c r="CE4" s="128" t="s">
        <v>254</v>
      </c>
    </row>
    <row r="5" spans="1:83">
      <c r="A5" s="1263"/>
      <c r="B5" s="1261" t="s">
        <v>1</v>
      </c>
      <c r="C5" s="1261"/>
      <c r="D5" s="1261"/>
      <c r="E5" s="1261"/>
      <c r="F5" s="1261"/>
      <c r="G5" s="1261"/>
      <c r="H5" s="1261"/>
      <c r="I5" s="1261"/>
      <c r="J5" s="1261"/>
      <c r="K5" s="1261"/>
      <c r="L5" s="1261"/>
      <c r="M5" s="1261"/>
      <c r="N5" s="1261"/>
      <c r="O5" s="1261"/>
      <c r="P5" s="1261"/>
      <c r="Q5" s="1261"/>
      <c r="R5" s="1261"/>
      <c r="S5" s="1261"/>
      <c r="T5" s="1261"/>
      <c r="U5" s="1261"/>
      <c r="V5" s="1261"/>
      <c r="W5" s="1261"/>
      <c r="X5" s="1261"/>
      <c r="AD5" s="1263"/>
      <c r="AE5" s="1261" t="s">
        <v>1</v>
      </c>
      <c r="AF5" s="1261"/>
      <c r="AG5" s="1261"/>
      <c r="AH5" s="1261"/>
      <c r="AI5" s="1261"/>
      <c r="AJ5" s="1261"/>
      <c r="AK5" s="1261"/>
      <c r="AL5" s="1261"/>
      <c r="AM5" s="1261"/>
      <c r="AN5" s="1261"/>
      <c r="AO5" s="1261"/>
      <c r="AP5" s="1261"/>
      <c r="AQ5" s="1261"/>
      <c r="AR5" s="1261"/>
      <c r="AS5" s="1261"/>
      <c r="AT5" s="1261"/>
      <c r="AU5" s="1261"/>
      <c r="AV5" s="1261"/>
      <c r="AW5" s="1261"/>
      <c r="AX5" s="1261"/>
      <c r="AY5" s="1261"/>
      <c r="AZ5" s="1261"/>
      <c r="BA5" s="1261"/>
      <c r="CE5" s="128" t="s">
        <v>255</v>
      </c>
    </row>
    <row r="6" spans="1:83" s="15" customFormat="1" ht="20.100000000000001" customHeight="1">
      <c r="A6" s="1263"/>
      <c r="B6" s="1264"/>
      <c r="C6" s="1264"/>
      <c r="D6" s="1264"/>
      <c r="E6" s="1264"/>
      <c r="F6" s="1264"/>
      <c r="G6" s="1264"/>
      <c r="H6" s="1264"/>
      <c r="I6" s="1264"/>
      <c r="J6" s="1264"/>
      <c r="K6" s="1264"/>
      <c r="L6" s="1264"/>
      <c r="M6" s="1264"/>
      <c r="N6" s="1264"/>
      <c r="O6" s="1264"/>
      <c r="P6" s="1264"/>
      <c r="Q6" s="1264"/>
      <c r="R6" s="1265"/>
      <c r="S6" s="1265"/>
      <c r="T6" s="161" t="s">
        <v>113</v>
      </c>
      <c r="U6" s="11"/>
      <c r="V6" s="161" t="s">
        <v>256</v>
      </c>
      <c r="W6" s="11"/>
      <c r="X6" s="161" t="s">
        <v>115</v>
      </c>
      <c r="AB6" s="103" t="s">
        <v>3634</v>
      </c>
      <c r="AC6" s="16"/>
      <c r="AD6" s="1263"/>
      <c r="AU6" s="1266" t="str">
        <f>LEFT(Z1,4)</f>
        <v>2025</v>
      </c>
      <c r="AV6" s="1266"/>
      <c r="AW6" s="161" t="s">
        <v>113</v>
      </c>
      <c r="AX6" s="59">
        <v>7</v>
      </c>
      <c r="AY6" s="161" t="s">
        <v>114</v>
      </c>
      <c r="AZ6" s="59">
        <v>15</v>
      </c>
      <c r="BA6" s="161" t="s">
        <v>115</v>
      </c>
      <c r="CE6" s="128" t="s">
        <v>257</v>
      </c>
    </row>
    <row r="7" spans="1:83" s="15" customFormat="1" ht="20.100000000000001" customHeight="1">
      <c r="A7" s="1263"/>
      <c r="B7" s="1223" t="s">
        <v>62</v>
      </c>
      <c r="C7" s="1223"/>
      <c r="D7" s="1223"/>
      <c r="E7" s="1223"/>
      <c r="F7" s="1223"/>
      <c r="G7" s="1223"/>
      <c r="H7" s="1223"/>
      <c r="I7" s="1223"/>
      <c r="J7" s="1223"/>
      <c r="K7" s="1223"/>
      <c r="L7" s="1223"/>
      <c r="M7" s="1223"/>
      <c r="N7" s="1223"/>
      <c r="O7" s="1223"/>
      <c r="P7" s="1223"/>
      <c r="Q7" s="1223"/>
      <c r="R7" s="1223"/>
      <c r="S7" s="1223"/>
      <c r="T7" s="1223"/>
      <c r="U7" s="1223"/>
      <c r="V7" s="1223"/>
      <c r="W7" s="1223"/>
      <c r="X7" s="1223"/>
      <c r="AC7" s="16"/>
      <c r="AD7" s="1263"/>
      <c r="AE7" s="1223" t="s">
        <v>62</v>
      </c>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CE7" s="128" t="s">
        <v>258</v>
      </c>
    </row>
    <row r="8" spans="1:83" s="15" customFormat="1" ht="15" customHeight="1">
      <c r="A8" s="1263"/>
      <c r="B8" s="1224" t="s">
        <v>116</v>
      </c>
      <c r="C8" s="1224"/>
      <c r="D8" s="1224"/>
      <c r="E8" s="1224"/>
      <c r="F8" s="1224"/>
      <c r="G8" s="1224"/>
      <c r="H8" s="1224"/>
      <c r="I8" s="1224"/>
      <c r="J8" s="1224"/>
      <c r="K8" s="1224"/>
      <c r="L8" s="1224"/>
      <c r="M8" s="1126"/>
      <c r="N8" s="1126"/>
      <c r="O8" s="155" t="s">
        <v>259</v>
      </c>
      <c r="P8" s="157"/>
      <c r="Q8" s="1259"/>
      <c r="R8" s="1259"/>
      <c r="S8" s="1259"/>
      <c r="T8" s="1259"/>
      <c r="U8" s="1259"/>
      <c r="V8" s="1259"/>
      <c r="W8" s="1259"/>
      <c r="X8" s="1259"/>
      <c r="AB8" s="142" t="s">
        <v>3635</v>
      </c>
      <c r="AC8" s="16"/>
      <c r="AD8" s="1263"/>
      <c r="AE8" s="1224" t="s">
        <v>116</v>
      </c>
      <c r="AF8" s="1224"/>
      <c r="AG8" s="1224"/>
      <c r="AH8" s="1224"/>
      <c r="AI8" s="1224"/>
      <c r="AJ8" s="1224"/>
      <c r="AK8" s="1224"/>
      <c r="AL8" s="1224"/>
      <c r="AM8" s="1224"/>
      <c r="AN8" s="1224"/>
      <c r="AO8" s="1224"/>
      <c r="AP8" s="1121" t="s">
        <v>260</v>
      </c>
      <c r="AQ8" s="1121"/>
      <c r="AR8" s="158" t="s">
        <v>261</v>
      </c>
      <c r="AS8" s="156" t="s">
        <v>262</v>
      </c>
      <c r="AT8" s="1260"/>
      <c r="AU8" s="1260"/>
      <c r="AV8" s="1260"/>
      <c r="AW8" s="1260"/>
      <c r="AX8" s="1260"/>
      <c r="AY8" s="1260"/>
      <c r="AZ8" s="1260"/>
      <c r="BA8" s="1260"/>
      <c r="CE8" s="128" t="s">
        <v>263</v>
      </c>
    </row>
    <row r="9" spans="1:83" s="15" customFormat="1" ht="15" customHeight="1">
      <c r="A9" s="1263"/>
      <c r="B9" s="1224" t="s">
        <v>117</v>
      </c>
      <c r="C9" s="1224"/>
      <c r="D9" s="1224"/>
      <c r="E9" s="1224"/>
      <c r="F9" s="1224"/>
      <c r="G9" s="1224"/>
      <c r="H9" s="1224"/>
      <c r="I9" s="1224"/>
      <c r="J9" s="1224"/>
      <c r="K9" s="1224"/>
      <c r="L9" s="1224"/>
      <c r="M9" s="1225" t="s">
        <v>3714</v>
      </c>
      <c r="N9" s="1225"/>
      <c r="O9" s="1225"/>
      <c r="P9" s="1225"/>
      <c r="Q9" s="1225"/>
      <c r="R9" s="1225"/>
      <c r="S9" s="1225"/>
      <c r="T9" s="1225"/>
      <c r="U9" s="1225"/>
      <c r="V9" s="1225"/>
      <c r="W9" s="1225"/>
      <c r="X9" s="60"/>
      <c r="AC9" s="16"/>
      <c r="AD9" s="1263"/>
      <c r="AE9" s="1224" t="s">
        <v>117</v>
      </c>
      <c r="AF9" s="1224"/>
      <c r="AG9" s="1224"/>
      <c r="AH9" s="1224"/>
      <c r="AI9" s="1224"/>
      <c r="AJ9" s="1224"/>
      <c r="AK9" s="1224"/>
      <c r="AL9" s="1224"/>
      <c r="AM9" s="1224"/>
      <c r="AN9" s="1224"/>
      <c r="AO9" s="1224"/>
      <c r="AP9" s="1121" t="s">
        <v>264</v>
      </c>
      <c r="AQ9" s="1121"/>
      <c r="AR9" s="1121"/>
      <c r="AS9" s="1121"/>
      <c r="AT9" s="1121"/>
      <c r="AU9" s="1121"/>
      <c r="AV9" s="1121"/>
      <c r="AW9" s="1121"/>
      <c r="AX9" s="1121"/>
      <c r="AY9" s="1121"/>
      <c r="AZ9" s="1121"/>
      <c r="BA9" s="16"/>
      <c r="CE9" s="128" t="s">
        <v>265</v>
      </c>
    </row>
    <row r="10" spans="1:83" s="15" customFormat="1" ht="15" customHeight="1">
      <c r="A10" s="1263"/>
      <c r="B10" s="1224"/>
      <c r="C10" s="1224"/>
      <c r="D10" s="1224"/>
      <c r="E10" s="1224"/>
      <c r="F10" s="1224"/>
      <c r="G10" s="1224"/>
      <c r="H10" s="1224"/>
      <c r="I10" s="1224"/>
      <c r="J10" s="1224"/>
      <c r="K10" s="1224"/>
      <c r="L10" s="1224"/>
      <c r="M10" s="1225"/>
      <c r="N10" s="1225"/>
      <c r="O10" s="1225"/>
      <c r="P10" s="1225"/>
      <c r="Q10" s="1225"/>
      <c r="R10" s="1225"/>
      <c r="S10" s="1225"/>
      <c r="T10" s="1225"/>
      <c r="U10" s="1225"/>
      <c r="V10" s="1225"/>
      <c r="W10" s="1225"/>
      <c r="X10" s="60"/>
      <c r="AC10" s="16"/>
      <c r="AD10" s="1263"/>
      <c r="AE10" s="1224"/>
      <c r="AF10" s="1224"/>
      <c r="AG10" s="1224"/>
      <c r="AH10" s="1224"/>
      <c r="AI10" s="1224"/>
      <c r="AJ10" s="1224"/>
      <c r="AK10" s="1224"/>
      <c r="AL10" s="1224"/>
      <c r="AM10" s="1224"/>
      <c r="AN10" s="1224"/>
      <c r="AO10" s="1224"/>
      <c r="AP10" s="1121" t="s">
        <v>218</v>
      </c>
      <c r="AQ10" s="1121"/>
      <c r="AR10" s="1121"/>
      <c r="AS10" s="1121"/>
      <c r="AT10" s="1121"/>
      <c r="AU10" s="1121"/>
      <c r="AV10" s="1121"/>
      <c r="AW10" s="1121"/>
      <c r="AX10" s="1121"/>
      <c r="AY10" s="1121"/>
      <c r="AZ10" s="1121"/>
      <c r="BA10" s="16"/>
      <c r="CE10" s="128" t="s">
        <v>266</v>
      </c>
    </row>
    <row r="11" spans="1:83" s="15" customFormat="1" ht="15" customHeight="1">
      <c r="A11" s="1263"/>
      <c r="B11" s="1224" t="s">
        <v>118</v>
      </c>
      <c r="C11" s="1224"/>
      <c r="D11" s="1224"/>
      <c r="E11" s="1224"/>
      <c r="F11" s="1224"/>
      <c r="G11" s="1224"/>
      <c r="H11" s="1224"/>
      <c r="I11" s="1224"/>
      <c r="J11" s="1224"/>
      <c r="K11" s="1224"/>
      <c r="L11" s="1224"/>
      <c r="M11" s="1225"/>
      <c r="N11" s="1225"/>
      <c r="O11" s="1225"/>
      <c r="P11" s="1225"/>
      <c r="Q11" s="1225"/>
      <c r="R11" s="1225"/>
      <c r="S11" s="1225"/>
      <c r="T11" s="1225"/>
      <c r="U11" s="1225"/>
      <c r="V11" s="1225"/>
      <c r="W11" s="1225"/>
      <c r="X11" s="61"/>
      <c r="AC11" s="16"/>
      <c r="AD11" s="1263"/>
      <c r="AE11" s="1224" t="s">
        <v>118</v>
      </c>
      <c r="AF11" s="1224"/>
      <c r="AG11" s="1224"/>
      <c r="AH11" s="1224"/>
      <c r="AI11" s="1224"/>
      <c r="AJ11" s="1224"/>
      <c r="AK11" s="1224"/>
      <c r="AL11" s="1224"/>
      <c r="AM11" s="1224"/>
      <c r="AN11" s="1224"/>
      <c r="AO11" s="1224"/>
      <c r="AP11" s="1121" t="s">
        <v>267</v>
      </c>
      <c r="AQ11" s="1121"/>
      <c r="AR11" s="1121"/>
      <c r="AS11" s="1121"/>
      <c r="AT11" s="1121"/>
      <c r="AU11" s="1121"/>
      <c r="AV11" s="1121"/>
      <c r="AW11" s="1121"/>
      <c r="AX11" s="1121"/>
      <c r="AY11" s="1121"/>
      <c r="AZ11" s="1121"/>
      <c r="BA11" s="16"/>
      <c r="CE11" s="128" t="s">
        <v>268</v>
      </c>
    </row>
    <row r="12" spans="1:83" s="15" customFormat="1" ht="15" customHeight="1">
      <c r="A12" s="1263"/>
      <c r="B12" s="1224"/>
      <c r="C12" s="1224"/>
      <c r="D12" s="1224"/>
      <c r="E12" s="1224"/>
      <c r="F12" s="1224"/>
      <c r="G12" s="1224"/>
      <c r="H12" s="1224"/>
      <c r="I12" s="1224"/>
      <c r="J12" s="1224"/>
      <c r="K12" s="1224"/>
      <c r="L12" s="1224"/>
      <c r="M12" s="1225"/>
      <c r="N12" s="1225"/>
      <c r="O12" s="1225"/>
      <c r="P12" s="1225"/>
      <c r="Q12" s="1225"/>
      <c r="R12" s="1225"/>
      <c r="S12" s="1225"/>
      <c r="T12" s="1225"/>
      <c r="U12" s="1225"/>
      <c r="V12" s="1225"/>
      <c r="W12" s="1225"/>
      <c r="X12" s="161"/>
      <c r="AC12" s="16"/>
      <c r="AD12" s="1263"/>
      <c r="AE12" s="1224"/>
      <c r="AF12" s="1224"/>
      <c r="AG12" s="1224"/>
      <c r="AH12" s="1224"/>
      <c r="AI12" s="1224"/>
      <c r="AJ12" s="1224"/>
      <c r="AK12" s="1224"/>
      <c r="AL12" s="1224"/>
      <c r="AM12" s="1224"/>
      <c r="AN12" s="1224"/>
      <c r="AO12" s="1224"/>
      <c r="AP12" s="1121" t="s">
        <v>3708</v>
      </c>
      <c r="AQ12" s="1121"/>
      <c r="AR12" s="1121"/>
      <c r="AS12" s="1121"/>
      <c r="AT12" s="1121"/>
      <c r="AU12" s="1121"/>
      <c r="AV12" s="1121"/>
      <c r="AW12" s="1121"/>
      <c r="AX12" s="1121"/>
      <c r="AY12" s="1121"/>
      <c r="AZ12" s="1121"/>
      <c r="BA12" s="158"/>
      <c r="CE12" s="128" t="s">
        <v>269</v>
      </c>
    </row>
    <row r="13" spans="1:83">
      <c r="A13" s="1263"/>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AD13" s="1263"/>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CE13" s="128" t="s">
        <v>270</v>
      </c>
    </row>
    <row r="14" spans="1:83" ht="20.100000000000001" customHeight="1">
      <c r="A14" s="1263"/>
      <c r="B14" s="1223" t="s">
        <v>74</v>
      </c>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AD14" s="1263"/>
      <c r="AE14" s="1223" t="s">
        <v>74</v>
      </c>
      <c r="AF14" s="1223"/>
      <c r="AG14" s="1223"/>
      <c r="AH14" s="1223"/>
      <c r="AI14" s="1223"/>
      <c r="AJ14" s="1223"/>
      <c r="AK14" s="1223"/>
      <c r="AL14" s="1223"/>
      <c r="AM14" s="1223"/>
      <c r="AN14" s="1223"/>
      <c r="AO14" s="1223"/>
      <c r="AP14" s="1223"/>
      <c r="AQ14" s="1223"/>
      <c r="AR14" s="1223"/>
      <c r="AS14" s="1223"/>
      <c r="AT14" s="1223"/>
      <c r="AU14" s="1223"/>
      <c r="AV14" s="1223"/>
      <c r="AW14" s="1223"/>
      <c r="AX14" s="1223"/>
      <c r="AY14" s="1223"/>
      <c r="AZ14" s="1223"/>
      <c r="BA14" s="1223"/>
      <c r="CE14" s="128" t="s">
        <v>271</v>
      </c>
    </row>
    <row r="15" spans="1:83" ht="20.100000000000001" customHeight="1" thickBot="1">
      <c r="A15" s="1223" t="s">
        <v>63</v>
      </c>
      <c r="B15" s="1223"/>
      <c r="C15" s="1223"/>
      <c r="D15" s="1223"/>
      <c r="E15" s="1223"/>
      <c r="F15" s="1223"/>
      <c r="G15" s="1223"/>
      <c r="H15" s="1223"/>
      <c r="I15" s="1223"/>
      <c r="J15" s="1223"/>
      <c r="K15" s="1223"/>
      <c r="L15" s="1223"/>
      <c r="M15" s="1223"/>
      <c r="N15" s="1223"/>
      <c r="O15" s="1223"/>
      <c r="P15" s="1223"/>
      <c r="Q15" s="1223"/>
      <c r="R15" s="1223"/>
      <c r="S15" s="1223"/>
      <c r="T15" s="1223"/>
      <c r="U15" s="1223"/>
      <c r="V15" s="1223"/>
      <c r="W15" s="1223"/>
      <c r="X15" s="1223"/>
      <c r="AC15" s="17"/>
      <c r="AD15" s="1223" t="s">
        <v>63</v>
      </c>
      <c r="AE15" s="1223"/>
      <c r="AF15" s="1223"/>
      <c r="AG15" s="1223"/>
      <c r="AH15" s="1223"/>
      <c r="AI15" s="1223"/>
      <c r="AJ15" s="1223"/>
      <c r="AK15" s="1223"/>
      <c r="AL15" s="1223"/>
      <c r="AM15" s="1223"/>
      <c r="AN15" s="1223"/>
      <c r="AO15" s="1223"/>
      <c r="AP15" s="1223"/>
      <c r="AQ15" s="1223"/>
      <c r="AR15" s="1223"/>
      <c r="AS15" s="1223"/>
      <c r="AT15" s="1223"/>
      <c r="AU15" s="1223"/>
      <c r="AV15" s="1223"/>
      <c r="AW15" s="1223"/>
      <c r="AX15" s="1223"/>
      <c r="AY15" s="1223"/>
      <c r="AZ15" s="1223"/>
      <c r="BA15" s="1223"/>
      <c r="BC15" s="62"/>
      <c r="CE15" s="128" t="s">
        <v>272</v>
      </c>
    </row>
    <row r="16" spans="1:83" s="15" customFormat="1" ht="35.1" customHeight="1">
      <c r="A16" s="1226"/>
      <c r="B16" s="1227" t="s">
        <v>273</v>
      </c>
      <c r="C16" s="1228"/>
      <c r="D16" s="1228"/>
      <c r="E16" s="1229" t="str">
        <f ca="1">OFFSET(INDIRECT("貼付け_報告対象年度実績"),1,1)&amp;" "&amp;OFFSET(INDIRECT("貼付け_報告対象年度実績"),2,2)&amp;" "&amp;OFFSET(INDIRECT("貼付け_報告対象年度実績"),2,4)</f>
        <v xml:space="preserve">  </v>
      </c>
      <c r="F16" s="1230"/>
      <c r="G16" s="1230"/>
      <c r="H16" s="1230"/>
      <c r="I16" s="1230"/>
      <c r="J16" s="1230"/>
      <c r="K16" s="1230"/>
      <c r="L16" s="1230"/>
      <c r="M16" s="1230"/>
      <c r="N16" s="1230"/>
      <c r="O16" s="1230"/>
      <c r="P16" s="1230"/>
      <c r="Q16" s="1230"/>
      <c r="R16" s="1230"/>
      <c r="S16" s="1230"/>
      <c r="T16" s="1230"/>
      <c r="U16" s="1230"/>
      <c r="V16" s="1230"/>
      <c r="W16" s="1230"/>
      <c r="X16" s="1231"/>
      <c r="Y16" s="18"/>
      <c r="AC16" s="19"/>
      <c r="AD16" s="1226"/>
      <c r="AE16" s="1232" t="s">
        <v>76</v>
      </c>
      <c r="AF16" s="1233"/>
      <c r="AG16" s="1233"/>
      <c r="AH16" s="1234" t="s">
        <v>3709</v>
      </c>
      <c r="AI16" s="1235"/>
      <c r="AJ16" s="1235"/>
      <c r="AK16" s="1235"/>
      <c r="AL16" s="1235"/>
      <c r="AM16" s="1235"/>
      <c r="AN16" s="1235"/>
      <c r="AO16" s="1235"/>
      <c r="AP16" s="1235"/>
      <c r="AQ16" s="1235"/>
      <c r="AR16" s="1235"/>
      <c r="AS16" s="1235"/>
      <c r="AT16" s="1235"/>
      <c r="AU16" s="1235"/>
      <c r="AV16" s="1235"/>
      <c r="AW16" s="1235"/>
      <c r="AX16" s="1235"/>
      <c r="AY16" s="1235"/>
      <c r="AZ16" s="1235"/>
      <c r="BA16" s="1236"/>
      <c r="BB16" s="18"/>
      <c r="CE16" s="128" t="s">
        <v>274</v>
      </c>
    </row>
    <row r="17" spans="1:83" s="15" customFormat="1" ht="35.1" customHeight="1" thickBot="1">
      <c r="A17" s="1226"/>
      <c r="B17" s="1237" t="s">
        <v>275</v>
      </c>
      <c r="C17" s="1238"/>
      <c r="D17" s="1238"/>
      <c r="E17" s="1239">
        <f ca="1">OFFSET(INDIRECT("貼付け_報告対象年度実績"),3,3)</f>
        <v>0</v>
      </c>
      <c r="F17" s="1240"/>
      <c r="G17" s="1240"/>
      <c r="H17" s="1240"/>
      <c r="I17" s="1240"/>
      <c r="J17" s="1240"/>
      <c r="K17" s="1240"/>
      <c r="L17" s="1240"/>
      <c r="M17" s="1240"/>
      <c r="N17" s="1240"/>
      <c r="O17" s="1240"/>
      <c r="P17" s="1240"/>
      <c r="Q17" s="1240"/>
      <c r="R17" s="1240"/>
      <c r="S17" s="1240"/>
      <c r="T17" s="1240"/>
      <c r="U17" s="1240"/>
      <c r="V17" s="1240"/>
      <c r="W17" s="1240"/>
      <c r="X17" s="1241"/>
      <c r="Y17" s="20" t="s">
        <v>245</v>
      </c>
      <c r="AC17" s="17"/>
      <c r="AD17" s="1226"/>
      <c r="AE17" s="1242" t="s">
        <v>119</v>
      </c>
      <c r="AF17" s="1243"/>
      <c r="AG17" s="1243"/>
      <c r="AH17" s="1244" t="s">
        <v>3710</v>
      </c>
      <c r="AI17" s="1245"/>
      <c r="AJ17" s="1245"/>
      <c r="AK17" s="1245"/>
      <c r="AL17" s="1245"/>
      <c r="AM17" s="1245"/>
      <c r="AN17" s="1245"/>
      <c r="AO17" s="1245"/>
      <c r="AP17" s="1245"/>
      <c r="AQ17" s="1245"/>
      <c r="AR17" s="1245"/>
      <c r="AS17" s="1245"/>
      <c r="AT17" s="1245"/>
      <c r="AU17" s="1245"/>
      <c r="AV17" s="1245"/>
      <c r="AW17" s="1245"/>
      <c r="AX17" s="1245"/>
      <c r="AY17" s="1245"/>
      <c r="AZ17" s="1245"/>
      <c r="BA17" s="1246"/>
      <c r="BB17" s="20" t="s">
        <v>245</v>
      </c>
      <c r="CE17" s="128" t="s">
        <v>276</v>
      </c>
    </row>
    <row r="18" spans="1:83" s="23" customFormat="1" ht="24" customHeight="1">
      <c r="A18" s="1226"/>
      <c r="B18" s="1166" t="s">
        <v>277</v>
      </c>
      <c r="C18" s="1167"/>
      <c r="D18" s="1168"/>
      <c r="E18" s="1175">
        <f ca="1">OFFSET(INDIRECT("貼付け_報告対象年度実績"),1,6)</f>
        <v>0</v>
      </c>
      <c r="F18" s="1177" t="s">
        <v>120</v>
      </c>
      <c r="G18" s="1178"/>
      <c r="H18" s="1178"/>
      <c r="I18" s="1178"/>
      <c r="J18" s="1178"/>
      <c r="K18" s="1178"/>
      <c r="L18" s="1178"/>
      <c r="M18" s="1178"/>
      <c r="N18" s="1178"/>
      <c r="O18" s="1178"/>
      <c r="P18" s="1178"/>
      <c r="Q18" s="1214" t="s">
        <v>243</v>
      </c>
      <c r="R18" s="1215"/>
      <c r="S18" s="1216"/>
      <c r="T18" s="1193">
        <f ca="1">IF(E18="□","",IFERROR(参考2_エネ使用量経年!L95,""))</f>
        <v>0</v>
      </c>
      <c r="U18" s="1194"/>
      <c r="V18" s="1194"/>
      <c r="W18" s="1194"/>
      <c r="X18" s="21" t="s">
        <v>244</v>
      </c>
      <c r="Y18" s="129"/>
      <c r="AB18" s="104" t="s">
        <v>3609</v>
      </c>
      <c r="AC18" s="22"/>
      <c r="AD18" s="1226"/>
      <c r="AE18" s="1166" t="s">
        <v>58</v>
      </c>
      <c r="AF18" s="1167"/>
      <c r="AG18" s="1168"/>
      <c r="AH18" s="1247" t="s">
        <v>219</v>
      </c>
      <c r="AI18" s="1248" t="s">
        <v>120</v>
      </c>
      <c r="AJ18" s="1249"/>
      <c r="AK18" s="1249"/>
      <c r="AL18" s="1249"/>
      <c r="AM18" s="1249"/>
      <c r="AN18" s="1249"/>
      <c r="AO18" s="1249"/>
      <c r="AP18" s="1249"/>
      <c r="AQ18" s="1249"/>
      <c r="AR18" s="1249"/>
      <c r="AS18" s="1249"/>
      <c r="AT18" s="1250"/>
      <c r="AU18" s="1251" t="s">
        <v>278</v>
      </c>
      <c r="AV18" s="1252"/>
      <c r="AW18" s="1257">
        <v>5000</v>
      </c>
      <c r="AX18" s="1258"/>
      <c r="AY18" s="1258"/>
      <c r="AZ18" s="1258"/>
      <c r="BA18" s="63" t="s">
        <v>279</v>
      </c>
      <c r="BB18" s="134"/>
      <c r="CE18" s="128" t="s">
        <v>280</v>
      </c>
    </row>
    <row r="19" spans="1:83" s="23" customFormat="1" ht="24" customHeight="1">
      <c r="A19" s="1226"/>
      <c r="B19" s="1169"/>
      <c r="C19" s="1170"/>
      <c r="D19" s="1171"/>
      <c r="E19" s="1176"/>
      <c r="F19" s="1179"/>
      <c r="G19" s="1180"/>
      <c r="H19" s="1180"/>
      <c r="I19" s="1180"/>
      <c r="J19" s="1180"/>
      <c r="K19" s="1180"/>
      <c r="L19" s="1180"/>
      <c r="M19" s="1180"/>
      <c r="N19" s="1180"/>
      <c r="O19" s="1180"/>
      <c r="P19" s="1180"/>
      <c r="Q19" s="1217"/>
      <c r="R19" s="1218"/>
      <c r="S19" s="1219"/>
      <c r="T19" s="64" t="s">
        <v>281</v>
      </c>
      <c r="U19" s="1182">
        <f ca="1">IF(E18="□","",IFERROR(参考2_エネ使用量経年!T95,""))</f>
        <v>0</v>
      </c>
      <c r="V19" s="1182"/>
      <c r="W19" s="1182"/>
      <c r="X19" s="162" t="s">
        <v>282</v>
      </c>
      <c r="Y19" s="130"/>
      <c r="AB19" s="104" t="s">
        <v>3611</v>
      </c>
      <c r="AC19" s="22"/>
      <c r="AD19" s="1226"/>
      <c r="AE19" s="1169"/>
      <c r="AF19" s="1170"/>
      <c r="AG19" s="1171"/>
      <c r="AH19" s="1184"/>
      <c r="AI19" s="1188"/>
      <c r="AJ19" s="1189"/>
      <c r="AK19" s="1189"/>
      <c r="AL19" s="1189"/>
      <c r="AM19" s="1189"/>
      <c r="AN19" s="1189"/>
      <c r="AO19" s="1189"/>
      <c r="AP19" s="1189"/>
      <c r="AQ19" s="1189"/>
      <c r="AR19" s="1189"/>
      <c r="AS19" s="1189"/>
      <c r="AT19" s="1190"/>
      <c r="AU19" s="1253"/>
      <c r="AV19" s="1254"/>
      <c r="AW19" s="65" t="s">
        <v>283</v>
      </c>
      <c r="AX19" s="1192">
        <v>3000</v>
      </c>
      <c r="AY19" s="1192"/>
      <c r="AZ19" s="1192"/>
      <c r="BA19" s="66" t="s">
        <v>279</v>
      </c>
      <c r="BB19" s="135" t="s">
        <v>246</v>
      </c>
      <c r="BC19" s="67"/>
      <c r="CE19" s="128" t="s">
        <v>284</v>
      </c>
    </row>
    <row r="20" spans="1:83" s="23" customFormat="1" ht="21.9" customHeight="1">
      <c r="A20" s="1226"/>
      <c r="B20" s="1169"/>
      <c r="C20" s="1170"/>
      <c r="D20" s="1171"/>
      <c r="E20" s="1195">
        <f ca="1">OFFSET(INDIRECT("貼付け_報告対象年度実績"),2,6)</f>
        <v>0</v>
      </c>
      <c r="F20" s="1197" t="s">
        <v>121</v>
      </c>
      <c r="G20" s="1198"/>
      <c r="H20" s="1198"/>
      <c r="I20" s="1198"/>
      <c r="J20" s="1198"/>
      <c r="K20" s="1198"/>
      <c r="L20" s="1198"/>
      <c r="M20" s="1198"/>
      <c r="N20" s="1198"/>
      <c r="O20" s="1198"/>
      <c r="P20" s="1198"/>
      <c r="Q20" s="1217"/>
      <c r="R20" s="1218"/>
      <c r="S20" s="1219"/>
      <c r="T20" s="1181">
        <f ca="1">IF(E20="□","",IFERROR(参考2_エネ使用量経年!L95,""))</f>
        <v>0</v>
      </c>
      <c r="U20" s="1182"/>
      <c r="V20" s="1182"/>
      <c r="W20" s="1182"/>
      <c r="X20" s="24" t="s">
        <v>282</v>
      </c>
      <c r="Y20" s="130"/>
      <c r="AB20" s="104" t="s">
        <v>3611</v>
      </c>
      <c r="AC20" s="22"/>
      <c r="AD20" s="1226"/>
      <c r="AE20" s="1169"/>
      <c r="AF20" s="1170"/>
      <c r="AG20" s="1171"/>
      <c r="AH20" s="1183" t="s">
        <v>251</v>
      </c>
      <c r="AI20" s="1185" t="s">
        <v>121</v>
      </c>
      <c r="AJ20" s="1186"/>
      <c r="AK20" s="1186"/>
      <c r="AL20" s="1186"/>
      <c r="AM20" s="1186"/>
      <c r="AN20" s="1186"/>
      <c r="AO20" s="1186"/>
      <c r="AP20" s="1186"/>
      <c r="AQ20" s="1186"/>
      <c r="AR20" s="1186"/>
      <c r="AS20" s="1186"/>
      <c r="AT20" s="1187"/>
      <c r="AU20" s="1253"/>
      <c r="AV20" s="1254"/>
      <c r="AW20" s="1191"/>
      <c r="AX20" s="1192"/>
      <c r="AY20" s="1192"/>
      <c r="AZ20" s="1192"/>
      <c r="BA20" s="68" t="s">
        <v>285</v>
      </c>
      <c r="BB20" s="135"/>
      <c r="CE20" s="128" t="s">
        <v>286</v>
      </c>
    </row>
    <row r="21" spans="1:83" s="23" customFormat="1" ht="21.9" customHeight="1">
      <c r="A21" s="1226"/>
      <c r="B21" s="1169"/>
      <c r="C21" s="1170"/>
      <c r="D21" s="1171"/>
      <c r="E21" s="1176"/>
      <c r="F21" s="1179"/>
      <c r="G21" s="1180"/>
      <c r="H21" s="1180"/>
      <c r="I21" s="1180"/>
      <c r="J21" s="1180"/>
      <c r="K21" s="1180"/>
      <c r="L21" s="1180"/>
      <c r="M21" s="1180"/>
      <c r="N21" s="1180"/>
      <c r="O21" s="1180"/>
      <c r="P21" s="1180"/>
      <c r="Q21" s="1220"/>
      <c r="R21" s="1221"/>
      <c r="S21" s="1222"/>
      <c r="T21" s="64" t="s">
        <v>283</v>
      </c>
      <c r="U21" s="1182">
        <f ca="1">IF(E20="□","",IFERROR(参考2_エネ使用量経年!T95,""))</f>
        <v>0</v>
      </c>
      <c r="V21" s="1182"/>
      <c r="W21" s="1182"/>
      <c r="X21" s="24" t="s">
        <v>282</v>
      </c>
      <c r="Y21" s="131"/>
      <c r="AB21" s="104"/>
      <c r="AC21" s="22"/>
      <c r="AD21" s="1226"/>
      <c r="AE21" s="1169"/>
      <c r="AF21" s="1170"/>
      <c r="AG21" s="1171"/>
      <c r="AH21" s="1184"/>
      <c r="AI21" s="1188"/>
      <c r="AJ21" s="1189"/>
      <c r="AK21" s="1189"/>
      <c r="AL21" s="1189"/>
      <c r="AM21" s="1189"/>
      <c r="AN21" s="1189"/>
      <c r="AO21" s="1189"/>
      <c r="AP21" s="1189"/>
      <c r="AQ21" s="1189"/>
      <c r="AR21" s="1189"/>
      <c r="AS21" s="1189"/>
      <c r="AT21" s="1190"/>
      <c r="AU21" s="1255"/>
      <c r="AV21" s="1256"/>
      <c r="AW21" s="65" t="s">
        <v>123</v>
      </c>
      <c r="AX21" s="1192"/>
      <c r="AY21" s="1192"/>
      <c r="AZ21" s="1192"/>
      <c r="BA21" s="68" t="s">
        <v>285</v>
      </c>
      <c r="BB21" s="135"/>
      <c r="CE21" s="128" t="s">
        <v>287</v>
      </c>
    </row>
    <row r="22" spans="1:83" s="23" customFormat="1" ht="21.9" customHeight="1">
      <c r="A22" s="1226"/>
      <c r="B22" s="1169"/>
      <c r="C22" s="1170"/>
      <c r="D22" s="1171"/>
      <c r="E22" s="1195">
        <f ca="1">OFFSET(INDIRECT("貼付け_報告対象年度実績"),3,6)</f>
        <v>0</v>
      </c>
      <c r="F22" s="1197" t="s">
        <v>77</v>
      </c>
      <c r="G22" s="1198"/>
      <c r="H22" s="1198"/>
      <c r="I22" s="1198"/>
      <c r="J22" s="1198"/>
      <c r="K22" s="1198"/>
      <c r="L22" s="1198"/>
      <c r="M22" s="1198"/>
      <c r="N22" s="1198"/>
      <c r="O22" s="1198"/>
      <c r="P22" s="1198"/>
      <c r="Q22" s="1201" t="s">
        <v>57</v>
      </c>
      <c r="R22" s="1202"/>
      <c r="S22" s="1203"/>
      <c r="T22" s="1181">
        <f ca="1">IF(E22="□","",IFERROR(参考2_エネ使用量経年!L118,""))</f>
        <v>0</v>
      </c>
      <c r="U22" s="1182"/>
      <c r="V22" s="1182"/>
      <c r="W22" s="1182"/>
      <c r="X22" s="24" t="s">
        <v>8</v>
      </c>
      <c r="Y22" s="132"/>
      <c r="AB22" s="104" t="s">
        <v>3610</v>
      </c>
      <c r="AC22" s="22"/>
      <c r="AD22" s="1226"/>
      <c r="AE22" s="1169"/>
      <c r="AF22" s="1170"/>
      <c r="AG22" s="1171"/>
      <c r="AH22" s="1183" t="s">
        <v>219</v>
      </c>
      <c r="AI22" s="1185" t="s">
        <v>77</v>
      </c>
      <c r="AJ22" s="1186"/>
      <c r="AK22" s="1186"/>
      <c r="AL22" s="1186"/>
      <c r="AM22" s="1186"/>
      <c r="AN22" s="1186"/>
      <c r="AO22" s="1186"/>
      <c r="AP22" s="1186"/>
      <c r="AQ22" s="1186"/>
      <c r="AR22" s="1186"/>
      <c r="AS22" s="1186"/>
      <c r="AT22" s="1187"/>
      <c r="AU22" s="1209" t="s">
        <v>57</v>
      </c>
      <c r="AV22" s="1210"/>
      <c r="AW22" s="1191">
        <v>170</v>
      </c>
      <c r="AX22" s="1192"/>
      <c r="AY22" s="1192"/>
      <c r="AZ22" s="1192"/>
      <c r="BA22" s="68" t="s">
        <v>8</v>
      </c>
      <c r="BB22" s="135"/>
      <c r="CE22" s="128" t="s">
        <v>288</v>
      </c>
    </row>
    <row r="23" spans="1:83" s="23" customFormat="1" ht="21.9" customHeight="1" thickBot="1">
      <c r="A23" s="1226"/>
      <c r="B23" s="1172"/>
      <c r="C23" s="1173"/>
      <c r="D23" s="1174"/>
      <c r="E23" s="1196"/>
      <c r="F23" s="1199"/>
      <c r="G23" s="1200"/>
      <c r="H23" s="1200"/>
      <c r="I23" s="1200"/>
      <c r="J23" s="1200"/>
      <c r="K23" s="1200"/>
      <c r="L23" s="1200"/>
      <c r="M23" s="1200"/>
      <c r="N23" s="1200"/>
      <c r="O23" s="1200"/>
      <c r="P23" s="1200"/>
      <c r="Q23" s="1204"/>
      <c r="R23" s="1205"/>
      <c r="S23" s="1206"/>
      <c r="T23" s="164" t="s">
        <v>283</v>
      </c>
      <c r="U23" s="1213">
        <f ca="1">IF(E22="□","",IFERROR(参考2_エネ使用量経年!T118,""))</f>
        <v>0</v>
      </c>
      <c r="V23" s="1213"/>
      <c r="W23" s="1213"/>
      <c r="X23" s="159" t="s">
        <v>8</v>
      </c>
      <c r="Y23" s="133"/>
      <c r="Z23" s="15"/>
      <c r="AC23" s="22"/>
      <c r="AD23" s="1226"/>
      <c r="AE23" s="1172"/>
      <c r="AF23" s="1173"/>
      <c r="AG23" s="1174"/>
      <c r="AH23" s="1207"/>
      <c r="AI23" s="1208"/>
      <c r="AJ23" s="1173"/>
      <c r="AK23" s="1173"/>
      <c r="AL23" s="1173"/>
      <c r="AM23" s="1173"/>
      <c r="AN23" s="1173"/>
      <c r="AO23" s="1173"/>
      <c r="AP23" s="1173"/>
      <c r="AQ23" s="1173"/>
      <c r="AR23" s="1173"/>
      <c r="AS23" s="1173"/>
      <c r="AT23" s="1174"/>
      <c r="AU23" s="1211"/>
      <c r="AV23" s="1212"/>
      <c r="AW23" s="69" t="s">
        <v>289</v>
      </c>
      <c r="AX23" s="1154">
        <v>110</v>
      </c>
      <c r="AY23" s="1154"/>
      <c r="AZ23" s="1154"/>
      <c r="BA23" s="70" t="s">
        <v>8</v>
      </c>
      <c r="BB23" s="136" t="s">
        <v>246</v>
      </c>
      <c r="BE23" s="15"/>
      <c r="CE23" s="128" t="s">
        <v>290</v>
      </c>
    </row>
    <row r="24" spans="1:83" ht="15.9" customHeight="1">
      <c r="A24" s="1226"/>
      <c r="B24" s="1155" t="s">
        <v>21</v>
      </c>
      <c r="C24" s="1158" t="s">
        <v>22</v>
      </c>
      <c r="D24" s="1159"/>
      <c r="E24" s="1" t="s">
        <v>3593</v>
      </c>
      <c r="F24" s="1164" t="s">
        <v>23</v>
      </c>
      <c r="G24" s="1164"/>
      <c r="H24" s="1164"/>
      <c r="I24" s="1164"/>
      <c r="J24" s="1164"/>
      <c r="K24" s="1164"/>
      <c r="L24" s="1164"/>
      <c r="M24" s="1164"/>
      <c r="N24" s="1164"/>
      <c r="O24" s="2" t="s">
        <v>3593</v>
      </c>
      <c r="P24" s="1164" t="s">
        <v>24</v>
      </c>
      <c r="Q24" s="1164"/>
      <c r="R24" s="1164"/>
      <c r="S24" s="1164"/>
      <c r="T24" s="1164"/>
      <c r="U24" s="1164"/>
      <c r="V24" s="1164"/>
      <c r="W24" s="1164"/>
      <c r="X24" s="1165"/>
      <c r="Y24" s="27"/>
      <c r="AC24" s="28"/>
      <c r="AD24" s="1226"/>
      <c r="AE24" s="1155" t="s">
        <v>21</v>
      </c>
      <c r="AF24" s="1158" t="s">
        <v>22</v>
      </c>
      <c r="AG24" s="1159"/>
      <c r="AH24" s="25" t="s">
        <v>291</v>
      </c>
      <c r="AI24" s="1164" t="s">
        <v>23</v>
      </c>
      <c r="AJ24" s="1164"/>
      <c r="AK24" s="1164"/>
      <c r="AL24" s="1164"/>
      <c r="AM24" s="1164"/>
      <c r="AN24" s="1164"/>
      <c r="AO24" s="1164"/>
      <c r="AP24" s="1164"/>
      <c r="AQ24" s="1164"/>
      <c r="AR24" s="26" t="s">
        <v>291</v>
      </c>
      <c r="AS24" s="1164" t="s">
        <v>24</v>
      </c>
      <c r="AT24" s="1164"/>
      <c r="AU24" s="1164"/>
      <c r="AV24" s="1164"/>
      <c r="AW24" s="1164"/>
      <c r="AX24" s="1164"/>
      <c r="AY24" s="1164"/>
      <c r="AZ24" s="1164"/>
      <c r="BA24" s="1165"/>
      <c r="BB24" s="27"/>
      <c r="CE24" s="128" t="s">
        <v>293</v>
      </c>
    </row>
    <row r="25" spans="1:83" ht="15.9" customHeight="1">
      <c r="A25" s="1226"/>
      <c r="B25" s="1156"/>
      <c r="C25" s="1160"/>
      <c r="D25" s="1161"/>
      <c r="E25" s="3" t="s">
        <v>3593</v>
      </c>
      <c r="F25" s="1142" t="s">
        <v>25</v>
      </c>
      <c r="G25" s="1142"/>
      <c r="H25" s="1142"/>
      <c r="I25" s="1142"/>
      <c r="J25" s="1142"/>
      <c r="K25" s="1142"/>
      <c r="L25" s="1142"/>
      <c r="M25" s="1142"/>
      <c r="N25" s="1142"/>
      <c r="O25" s="4" t="s">
        <v>3593</v>
      </c>
      <c r="P25" s="1142" t="s">
        <v>26</v>
      </c>
      <c r="Q25" s="1142"/>
      <c r="R25" s="1142"/>
      <c r="S25" s="1142"/>
      <c r="T25" s="1142"/>
      <c r="U25" s="1142"/>
      <c r="V25" s="1142"/>
      <c r="W25" s="1142"/>
      <c r="X25" s="1153"/>
      <c r="Y25" s="27"/>
      <c r="AD25" s="1226"/>
      <c r="AE25" s="1156"/>
      <c r="AF25" s="1160"/>
      <c r="AG25" s="1161"/>
      <c r="AH25" s="29" t="s">
        <v>3</v>
      </c>
      <c r="AI25" s="1142" t="s">
        <v>25</v>
      </c>
      <c r="AJ25" s="1142"/>
      <c r="AK25" s="1142"/>
      <c r="AL25" s="1142"/>
      <c r="AM25" s="1142"/>
      <c r="AN25" s="1142"/>
      <c r="AO25" s="1142"/>
      <c r="AP25" s="1142"/>
      <c r="AQ25" s="1142"/>
      <c r="AR25" s="30" t="s">
        <v>292</v>
      </c>
      <c r="AS25" s="1142" t="s">
        <v>26</v>
      </c>
      <c r="AT25" s="1142"/>
      <c r="AU25" s="1142"/>
      <c r="AV25" s="1142"/>
      <c r="AW25" s="1142"/>
      <c r="AX25" s="1142"/>
      <c r="AY25" s="1142"/>
      <c r="AZ25" s="1142"/>
      <c r="BA25" s="1153"/>
      <c r="BB25" s="27"/>
      <c r="CE25" s="128" t="s">
        <v>294</v>
      </c>
    </row>
    <row r="26" spans="1:83" ht="15.9" customHeight="1">
      <c r="A26" s="1226"/>
      <c r="B26" s="1156"/>
      <c r="C26" s="1160"/>
      <c r="D26" s="1161"/>
      <c r="E26" s="3" t="s">
        <v>3593</v>
      </c>
      <c r="F26" s="1142" t="s">
        <v>27</v>
      </c>
      <c r="G26" s="1142"/>
      <c r="H26" s="1142"/>
      <c r="I26" s="1142"/>
      <c r="J26" s="1142"/>
      <c r="K26" s="1142"/>
      <c r="L26" s="1142"/>
      <c r="M26" s="1142"/>
      <c r="N26" s="1142"/>
      <c r="O26" s="4" t="s">
        <v>3593</v>
      </c>
      <c r="P26" s="1142" t="s">
        <v>28</v>
      </c>
      <c r="Q26" s="1142"/>
      <c r="R26" s="1142"/>
      <c r="S26" s="1142"/>
      <c r="T26" s="1142"/>
      <c r="U26" s="1142"/>
      <c r="V26" s="1142"/>
      <c r="W26" s="1142"/>
      <c r="X26" s="1153"/>
      <c r="Y26" s="27"/>
      <c r="AD26" s="1226"/>
      <c r="AE26" s="1156"/>
      <c r="AF26" s="1160"/>
      <c r="AG26" s="1161"/>
      <c r="AH26" s="29" t="s">
        <v>251</v>
      </c>
      <c r="AI26" s="1142" t="s">
        <v>27</v>
      </c>
      <c r="AJ26" s="1142"/>
      <c r="AK26" s="1142"/>
      <c r="AL26" s="1142"/>
      <c r="AM26" s="1142"/>
      <c r="AN26" s="1142"/>
      <c r="AO26" s="1142"/>
      <c r="AP26" s="1142"/>
      <c r="AQ26" s="1142"/>
      <c r="AR26" s="30" t="s">
        <v>291</v>
      </c>
      <c r="AS26" s="1142" t="s">
        <v>28</v>
      </c>
      <c r="AT26" s="1142"/>
      <c r="AU26" s="1142"/>
      <c r="AV26" s="1142"/>
      <c r="AW26" s="1142"/>
      <c r="AX26" s="1142"/>
      <c r="AY26" s="1142"/>
      <c r="AZ26" s="1142"/>
      <c r="BA26" s="1153"/>
      <c r="BB26" s="27"/>
      <c r="CE26" s="128" t="s">
        <v>295</v>
      </c>
    </row>
    <row r="27" spans="1:83" ht="15.9" customHeight="1">
      <c r="A27" s="1226"/>
      <c r="B27" s="1156"/>
      <c r="C27" s="1160"/>
      <c r="D27" s="1161"/>
      <c r="E27" s="3" t="s">
        <v>3593</v>
      </c>
      <c r="F27" s="1142" t="s">
        <v>29</v>
      </c>
      <c r="G27" s="1142"/>
      <c r="H27" s="1142"/>
      <c r="I27" s="1142"/>
      <c r="J27" s="1142"/>
      <c r="K27" s="1142"/>
      <c r="L27" s="1142"/>
      <c r="M27" s="1142"/>
      <c r="N27" s="1142"/>
      <c r="O27" s="4" t="s">
        <v>3593</v>
      </c>
      <c r="P27" s="1142" t="s">
        <v>30</v>
      </c>
      <c r="Q27" s="1142"/>
      <c r="R27" s="1142"/>
      <c r="S27" s="1142"/>
      <c r="T27" s="1142"/>
      <c r="U27" s="1142"/>
      <c r="V27" s="1142"/>
      <c r="W27" s="1142"/>
      <c r="X27" s="1153"/>
      <c r="Y27" s="27"/>
      <c r="AD27" s="1226"/>
      <c r="AE27" s="1156"/>
      <c r="AF27" s="1160"/>
      <c r="AG27" s="1161"/>
      <c r="AH27" s="29" t="s">
        <v>291</v>
      </c>
      <c r="AI27" s="1142" t="s">
        <v>29</v>
      </c>
      <c r="AJ27" s="1142"/>
      <c r="AK27" s="1142"/>
      <c r="AL27" s="1142"/>
      <c r="AM27" s="1142"/>
      <c r="AN27" s="1142"/>
      <c r="AO27" s="1142"/>
      <c r="AP27" s="1142"/>
      <c r="AQ27" s="1142"/>
      <c r="AR27" s="30" t="s">
        <v>296</v>
      </c>
      <c r="AS27" s="1142" t="s">
        <v>30</v>
      </c>
      <c r="AT27" s="1142"/>
      <c r="AU27" s="1142"/>
      <c r="AV27" s="1142"/>
      <c r="AW27" s="1142"/>
      <c r="AX27" s="1142"/>
      <c r="AY27" s="1142"/>
      <c r="AZ27" s="1142"/>
      <c r="BA27" s="1153"/>
      <c r="BB27" s="27"/>
      <c r="CE27" s="128" t="s">
        <v>297</v>
      </c>
    </row>
    <row r="28" spans="1:83" ht="15.9" customHeight="1">
      <c r="A28" s="1226"/>
      <c r="B28" s="1156"/>
      <c r="C28" s="1160"/>
      <c r="D28" s="1161"/>
      <c r="E28" s="3" t="s">
        <v>3593</v>
      </c>
      <c r="F28" s="1142" t="s">
        <v>31</v>
      </c>
      <c r="G28" s="1142"/>
      <c r="H28" s="1142"/>
      <c r="I28" s="1142"/>
      <c r="J28" s="1142"/>
      <c r="K28" s="1142"/>
      <c r="L28" s="1142"/>
      <c r="M28" s="1142"/>
      <c r="N28" s="1142"/>
      <c r="O28" s="4" t="s">
        <v>3593</v>
      </c>
      <c r="P28" s="1142" t="s">
        <v>32</v>
      </c>
      <c r="Q28" s="1142"/>
      <c r="R28" s="1142"/>
      <c r="S28" s="1142"/>
      <c r="T28" s="1142"/>
      <c r="U28" s="1142"/>
      <c r="V28" s="1142"/>
      <c r="W28" s="1142"/>
      <c r="X28" s="1153"/>
      <c r="Y28" s="27"/>
      <c r="AD28" s="1226"/>
      <c r="AE28" s="1156"/>
      <c r="AF28" s="1160"/>
      <c r="AG28" s="1161"/>
      <c r="AH28" s="29" t="s">
        <v>219</v>
      </c>
      <c r="AI28" s="1142" t="s">
        <v>31</v>
      </c>
      <c r="AJ28" s="1142"/>
      <c r="AK28" s="1142"/>
      <c r="AL28" s="1142"/>
      <c r="AM28" s="1142"/>
      <c r="AN28" s="1142"/>
      <c r="AO28" s="1142"/>
      <c r="AP28" s="1142"/>
      <c r="AQ28" s="1142"/>
      <c r="AR28" s="30" t="s">
        <v>3</v>
      </c>
      <c r="AS28" s="1142" t="s">
        <v>32</v>
      </c>
      <c r="AT28" s="1142"/>
      <c r="AU28" s="1142"/>
      <c r="AV28" s="1142"/>
      <c r="AW28" s="1142"/>
      <c r="AX28" s="1142"/>
      <c r="AY28" s="1142"/>
      <c r="AZ28" s="1142"/>
      <c r="BA28" s="1153"/>
      <c r="BB28" s="27"/>
      <c r="CE28" s="128" t="s">
        <v>298</v>
      </c>
    </row>
    <row r="29" spans="1:83" ht="15.9" customHeight="1">
      <c r="A29" s="1226"/>
      <c r="B29" s="1156"/>
      <c r="C29" s="1160"/>
      <c r="D29" s="1161"/>
      <c r="E29" s="3" t="s">
        <v>3593</v>
      </c>
      <c r="F29" s="1142" t="s">
        <v>33</v>
      </c>
      <c r="G29" s="1142"/>
      <c r="H29" s="1142"/>
      <c r="I29" s="1142"/>
      <c r="J29" s="1142"/>
      <c r="K29" s="1142"/>
      <c r="L29" s="1142"/>
      <c r="M29" s="1142"/>
      <c r="N29" s="1142"/>
      <c r="O29" s="4" t="s">
        <v>3593</v>
      </c>
      <c r="P29" s="1142" t="s">
        <v>34</v>
      </c>
      <c r="Q29" s="1142"/>
      <c r="R29" s="1142"/>
      <c r="S29" s="1142"/>
      <c r="T29" s="1142"/>
      <c r="U29" s="1142"/>
      <c r="V29" s="1142"/>
      <c r="W29" s="1142"/>
      <c r="X29" s="1153"/>
      <c r="Y29" s="27"/>
      <c r="AD29" s="1226"/>
      <c r="AE29" s="1156"/>
      <c r="AF29" s="1160"/>
      <c r="AG29" s="1161"/>
      <c r="AH29" s="29" t="s">
        <v>3</v>
      </c>
      <c r="AI29" s="1142" t="s">
        <v>33</v>
      </c>
      <c r="AJ29" s="1142"/>
      <c r="AK29" s="1142"/>
      <c r="AL29" s="1142"/>
      <c r="AM29" s="1142"/>
      <c r="AN29" s="1142"/>
      <c r="AO29" s="1142"/>
      <c r="AP29" s="1142"/>
      <c r="AQ29" s="1142"/>
      <c r="AR29" s="30" t="s">
        <v>3</v>
      </c>
      <c r="AS29" s="1142" t="s">
        <v>34</v>
      </c>
      <c r="AT29" s="1142"/>
      <c r="AU29" s="1142"/>
      <c r="AV29" s="1142"/>
      <c r="AW29" s="1142"/>
      <c r="AX29" s="1142"/>
      <c r="AY29" s="1142"/>
      <c r="AZ29" s="1142"/>
      <c r="BA29" s="1153"/>
      <c r="BB29" s="27"/>
      <c r="CE29" s="128" t="s">
        <v>299</v>
      </c>
    </row>
    <row r="30" spans="1:83" ht="15.9" customHeight="1">
      <c r="A30" s="1226"/>
      <c r="B30" s="1156"/>
      <c r="C30" s="1160"/>
      <c r="D30" s="1161"/>
      <c r="E30" s="3" t="s">
        <v>3593</v>
      </c>
      <c r="F30" s="1142" t="s">
        <v>35</v>
      </c>
      <c r="G30" s="1142"/>
      <c r="H30" s="1142"/>
      <c r="I30" s="1142"/>
      <c r="J30" s="1142"/>
      <c r="K30" s="1142"/>
      <c r="L30" s="1142"/>
      <c r="M30" s="1142"/>
      <c r="N30" s="1142"/>
      <c r="O30" s="4" t="s">
        <v>3593</v>
      </c>
      <c r="P30" s="1142" t="s">
        <v>36</v>
      </c>
      <c r="Q30" s="1142"/>
      <c r="R30" s="1142"/>
      <c r="S30" s="1142"/>
      <c r="T30" s="1142"/>
      <c r="U30" s="1142"/>
      <c r="V30" s="1142"/>
      <c r="W30" s="1142"/>
      <c r="X30" s="1153"/>
      <c r="Y30" s="27"/>
      <c r="AD30" s="1226"/>
      <c r="AE30" s="1156"/>
      <c r="AF30" s="1160"/>
      <c r="AG30" s="1161"/>
      <c r="AH30" s="29" t="s">
        <v>292</v>
      </c>
      <c r="AI30" s="1142" t="s">
        <v>35</v>
      </c>
      <c r="AJ30" s="1142"/>
      <c r="AK30" s="1142"/>
      <c r="AL30" s="1142"/>
      <c r="AM30" s="1142"/>
      <c r="AN30" s="1142"/>
      <c r="AO30" s="1142"/>
      <c r="AP30" s="1142"/>
      <c r="AQ30" s="1142"/>
      <c r="AR30" s="30" t="s">
        <v>296</v>
      </c>
      <c r="AS30" s="1142" t="s">
        <v>36</v>
      </c>
      <c r="AT30" s="1142"/>
      <c r="AU30" s="1142"/>
      <c r="AV30" s="1142"/>
      <c r="AW30" s="1142"/>
      <c r="AX30" s="1142"/>
      <c r="AY30" s="1142"/>
      <c r="AZ30" s="1142"/>
      <c r="BA30" s="1153"/>
      <c r="BB30" s="27"/>
      <c r="CE30" s="128" t="s">
        <v>208</v>
      </c>
    </row>
    <row r="31" spans="1:83" ht="15.9" customHeight="1">
      <c r="A31" s="1226"/>
      <c r="B31" s="1156"/>
      <c r="C31" s="1160"/>
      <c r="D31" s="1161"/>
      <c r="E31" s="3" t="s">
        <v>3593</v>
      </c>
      <c r="F31" s="1142" t="s">
        <v>37</v>
      </c>
      <c r="G31" s="1142"/>
      <c r="H31" s="1142"/>
      <c r="I31" s="1142"/>
      <c r="J31" s="1142"/>
      <c r="K31" s="1142"/>
      <c r="L31" s="1142"/>
      <c r="M31" s="1142"/>
      <c r="N31" s="1142"/>
      <c r="O31" s="4" t="s">
        <v>3593</v>
      </c>
      <c r="P31" s="1142" t="s">
        <v>38</v>
      </c>
      <c r="Q31" s="1142"/>
      <c r="R31" s="1142"/>
      <c r="S31" s="1142"/>
      <c r="T31" s="1142"/>
      <c r="U31" s="1142"/>
      <c r="V31" s="1142"/>
      <c r="W31" s="1142"/>
      <c r="X31" s="1153"/>
      <c r="Y31" s="27"/>
      <c r="AD31" s="1226"/>
      <c r="AE31" s="1156"/>
      <c r="AF31" s="1160"/>
      <c r="AG31" s="1161"/>
      <c r="AH31" s="29" t="s">
        <v>296</v>
      </c>
      <c r="AI31" s="1142" t="s">
        <v>37</v>
      </c>
      <c r="AJ31" s="1142"/>
      <c r="AK31" s="1142"/>
      <c r="AL31" s="1142"/>
      <c r="AM31" s="1142"/>
      <c r="AN31" s="1142"/>
      <c r="AO31" s="1142"/>
      <c r="AP31" s="1142"/>
      <c r="AQ31" s="1142"/>
      <c r="AR31" s="30" t="s">
        <v>291</v>
      </c>
      <c r="AS31" s="1142" t="s">
        <v>38</v>
      </c>
      <c r="AT31" s="1142"/>
      <c r="AU31" s="1142"/>
      <c r="AV31" s="1142"/>
      <c r="AW31" s="1142"/>
      <c r="AX31" s="1142"/>
      <c r="AY31" s="1142"/>
      <c r="AZ31" s="1142"/>
      <c r="BA31" s="1153"/>
      <c r="BB31" s="27"/>
      <c r="CE31" s="128" t="s">
        <v>300</v>
      </c>
    </row>
    <row r="32" spans="1:83" ht="15.9" customHeight="1">
      <c r="A32" s="1226"/>
      <c r="B32" s="1156"/>
      <c r="C32" s="1160"/>
      <c r="D32" s="1161"/>
      <c r="E32" s="3" t="s">
        <v>3593</v>
      </c>
      <c r="F32" s="1142" t="s">
        <v>39</v>
      </c>
      <c r="G32" s="1142"/>
      <c r="H32" s="1142"/>
      <c r="I32" s="1142"/>
      <c r="J32" s="1142"/>
      <c r="K32" s="1142"/>
      <c r="L32" s="1142"/>
      <c r="M32" s="1142"/>
      <c r="N32" s="1142"/>
      <c r="O32" s="4" t="s">
        <v>3593</v>
      </c>
      <c r="P32" s="1142" t="s">
        <v>112</v>
      </c>
      <c r="Q32" s="1142"/>
      <c r="R32" s="1142"/>
      <c r="S32" s="1142"/>
      <c r="T32" s="1142"/>
      <c r="U32" s="1142"/>
      <c r="V32" s="1142"/>
      <c r="W32" s="1142"/>
      <c r="X32" s="1153"/>
      <c r="Y32" s="27"/>
      <c r="AD32" s="1226"/>
      <c r="AE32" s="1156"/>
      <c r="AF32" s="1160"/>
      <c r="AG32" s="1161"/>
      <c r="AH32" s="29" t="s">
        <v>3</v>
      </c>
      <c r="AI32" s="1142" t="s">
        <v>39</v>
      </c>
      <c r="AJ32" s="1142"/>
      <c r="AK32" s="1142"/>
      <c r="AL32" s="1142"/>
      <c r="AM32" s="1142"/>
      <c r="AN32" s="1142"/>
      <c r="AO32" s="1142"/>
      <c r="AP32" s="1142"/>
      <c r="AQ32" s="1142"/>
      <c r="AR32" s="30" t="s">
        <v>251</v>
      </c>
      <c r="AS32" s="1142" t="s">
        <v>112</v>
      </c>
      <c r="AT32" s="1142"/>
      <c r="AU32" s="1142"/>
      <c r="AV32" s="1142"/>
      <c r="AW32" s="1142"/>
      <c r="AX32" s="1142"/>
      <c r="AY32" s="1142"/>
      <c r="AZ32" s="1142"/>
      <c r="BA32" s="1153"/>
      <c r="BB32" s="27"/>
      <c r="CE32" s="128" t="s">
        <v>301</v>
      </c>
    </row>
    <row r="33" spans="1:83" ht="15.9" customHeight="1">
      <c r="A33" s="1226"/>
      <c r="B33" s="1156"/>
      <c r="C33" s="1162"/>
      <c r="D33" s="1163"/>
      <c r="E33" s="3" t="s">
        <v>3593</v>
      </c>
      <c r="F33" s="1142" t="s">
        <v>40</v>
      </c>
      <c r="G33" s="1142"/>
      <c r="H33" s="1142"/>
      <c r="I33" s="1142"/>
      <c r="J33" s="1142"/>
      <c r="K33" s="1142"/>
      <c r="L33" s="1142"/>
      <c r="M33" s="1142"/>
      <c r="N33" s="1142"/>
      <c r="O33" s="1143"/>
      <c r="P33" s="1143"/>
      <c r="Q33" s="1143"/>
      <c r="R33" s="1143"/>
      <c r="S33" s="1143"/>
      <c r="T33" s="1143"/>
      <c r="U33" s="1143"/>
      <c r="V33" s="1143"/>
      <c r="W33" s="1143"/>
      <c r="X33" s="1144"/>
      <c r="Y33" s="27"/>
      <c r="AD33" s="1226"/>
      <c r="AE33" s="1156"/>
      <c r="AF33" s="1162"/>
      <c r="AG33" s="1163"/>
      <c r="AH33" s="29" t="s">
        <v>291</v>
      </c>
      <c r="AI33" s="1142" t="s">
        <v>40</v>
      </c>
      <c r="AJ33" s="1142"/>
      <c r="AK33" s="1142"/>
      <c r="AL33" s="1142"/>
      <c r="AM33" s="1142"/>
      <c r="AN33" s="1142"/>
      <c r="AO33" s="1142"/>
      <c r="AP33" s="1142"/>
      <c r="AQ33" s="1142"/>
      <c r="AR33" s="1143"/>
      <c r="AS33" s="1143"/>
      <c r="AT33" s="1143"/>
      <c r="AU33" s="1143"/>
      <c r="AV33" s="1143"/>
      <c r="AW33" s="1143"/>
      <c r="AX33" s="1143"/>
      <c r="AY33" s="1143"/>
      <c r="AZ33" s="1143"/>
      <c r="BA33" s="1144"/>
      <c r="BB33" s="27"/>
      <c r="CE33" s="128" t="s">
        <v>302</v>
      </c>
    </row>
    <row r="34" spans="1:83" ht="24.9" customHeight="1" thickBot="1">
      <c r="A34" s="1226"/>
      <c r="B34" s="1157"/>
      <c r="C34" s="1145" t="s">
        <v>4</v>
      </c>
      <c r="D34" s="1146"/>
      <c r="E34" s="1147"/>
      <c r="F34" s="1148"/>
      <c r="G34" s="1148"/>
      <c r="H34" s="1148"/>
      <c r="I34" s="1148"/>
      <c r="J34" s="1148"/>
      <c r="K34" s="1148"/>
      <c r="L34" s="1148"/>
      <c r="M34" s="1148"/>
      <c r="N34" s="1148"/>
      <c r="O34" s="1148"/>
      <c r="P34" s="1148"/>
      <c r="Q34" s="1148"/>
      <c r="R34" s="1148"/>
      <c r="S34" s="1148"/>
      <c r="T34" s="1148"/>
      <c r="U34" s="1148"/>
      <c r="V34" s="1148"/>
      <c r="W34" s="1148"/>
      <c r="X34" s="1149"/>
      <c r="Y34" s="27"/>
      <c r="AC34" s="31"/>
      <c r="AD34" s="1226"/>
      <c r="AE34" s="1157"/>
      <c r="AF34" s="1145" t="s">
        <v>4</v>
      </c>
      <c r="AG34" s="1146"/>
      <c r="AH34" s="1150" t="s">
        <v>220</v>
      </c>
      <c r="AI34" s="1151"/>
      <c r="AJ34" s="1151"/>
      <c r="AK34" s="1151"/>
      <c r="AL34" s="1151"/>
      <c r="AM34" s="1151"/>
      <c r="AN34" s="1151"/>
      <c r="AO34" s="1151"/>
      <c r="AP34" s="1151"/>
      <c r="AQ34" s="1151"/>
      <c r="AR34" s="1151"/>
      <c r="AS34" s="1151"/>
      <c r="AT34" s="1151"/>
      <c r="AU34" s="1151"/>
      <c r="AV34" s="1151"/>
      <c r="AW34" s="1151"/>
      <c r="AX34" s="1151"/>
      <c r="AY34" s="1151"/>
      <c r="AZ34" s="1151"/>
      <c r="BA34" s="1152"/>
      <c r="BB34" s="27"/>
      <c r="CE34" s="128" t="s">
        <v>303</v>
      </c>
    </row>
    <row r="35" spans="1:83" s="15" customFormat="1" ht="20.100000000000001" customHeight="1">
      <c r="A35" s="1226"/>
      <c r="B35" s="1129" t="s">
        <v>124</v>
      </c>
      <c r="C35" s="1130"/>
      <c r="D35" s="1131"/>
      <c r="E35" s="1137" t="s">
        <v>5</v>
      </c>
      <c r="F35" s="1130"/>
      <c r="G35" s="1130"/>
      <c r="H35" s="1138"/>
      <c r="I35" s="1138"/>
      <c r="J35" s="1138"/>
      <c r="K35" s="1138"/>
      <c r="L35" s="1138"/>
      <c r="M35" s="1138"/>
      <c r="N35" s="1138"/>
      <c r="O35" s="1138"/>
      <c r="P35" s="1138"/>
      <c r="Q35" s="1138"/>
      <c r="R35" s="1138"/>
      <c r="S35" s="1138"/>
      <c r="T35" s="1138"/>
      <c r="U35" s="1138"/>
      <c r="V35" s="1138"/>
      <c r="W35" s="1138"/>
      <c r="X35" s="1139"/>
      <c r="Y35" s="18"/>
      <c r="AC35" s="32"/>
      <c r="AD35" s="1226"/>
      <c r="AE35" s="1129" t="s">
        <v>304</v>
      </c>
      <c r="AF35" s="1130"/>
      <c r="AG35" s="1131"/>
      <c r="AH35" s="1137" t="s">
        <v>5</v>
      </c>
      <c r="AI35" s="1130"/>
      <c r="AJ35" s="1130"/>
      <c r="AK35" s="1140" t="s">
        <v>305</v>
      </c>
      <c r="AL35" s="1140"/>
      <c r="AM35" s="1140"/>
      <c r="AN35" s="1140"/>
      <c r="AO35" s="1140"/>
      <c r="AP35" s="1140"/>
      <c r="AQ35" s="1140"/>
      <c r="AR35" s="1140"/>
      <c r="AS35" s="1140"/>
      <c r="AT35" s="1140"/>
      <c r="AU35" s="1140"/>
      <c r="AV35" s="1140"/>
      <c r="AW35" s="1140"/>
      <c r="AX35" s="1140"/>
      <c r="AY35" s="1140"/>
      <c r="AZ35" s="1140"/>
      <c r="BA35" s="1141"/>
      <c r="BB35" s="18"/>
      <c r="CE35" s="128" t="s">
        <v>209</v>
      </c>
    </row>
    <row r="36" spans="1:83" s="15" customFormat="1" ht="20.100000000000001" customHeight="1">
      <c r="A36" s="1226"/>
      <c r="B36" s="1132"/>
      <c r="C36" s="1125"/>
      <c r="D36" s="1133"/>
      <c r="E36" s="1124" t="s">
        <v>41</v>
      </c>
      <c r="F36" s="1125"/>
      <c r="G36" s="1125"/>
      <c r="H36" s="157"/>
      <c r="I36" s="161" t="s">
        <v>122</v>
      </c>
      <c r="J36" s="157"/>
      <c r="K36" s="161" t="s">
        <v>306</v>
      </c>
      <c r="L36" s="1126"/>
      <c r="M36" s="1126"/>
      <c r="N36" s="1127"/>
      <c r="O36" s="1127"/>
      <c r="P36" s="1127"/>
      <c r="Q36" s="1127"/>
      <c r="R36" s="1127"/>
      <c r="S36" s="1127"/>
      <c r="T36" s="1127"/>
      <c r="U36" s="1127"/>
      <c r="V36" s="1127"/>
      <c r="W36" s="1127"/>
      <c r="X36" s="1128"/>
      <c r="AB36" s="142" t="s">
        <v>3636</v>
      </c>
      <c r="AC36" s="16"/>
      <c r="AD36" s="1226"/>
      <c r="AE36" s="1132"/>
      <c r="AF36" s="1125"/>
      <c r="AG36" s="1133"/>
      <c r="AH36" s="1124" t="s">
        <v>41</v>
      </c>
      <c r="AI36" s="1125"/>
      <c r="AJ36" s="1125"/>
      <c r="AK36" s="156" t="s">
        <v>307</v>
      </c>
      <c r="AL36" s="160" t="s">
        <v>308</v>
      </c>
      <c r="AM36" s="156" t="s">
        <v>221</v>
      </c>
      <c r="AN36" s="160" t="s">
        <v>122</v>
      </c>
      <c r="AO36" s="1121" t="s">
        <v>309</v>
      </c>
      <c r="AP36" s="1121"/>
      <c r="AQ36" s="1122"/>
      <c r="AR36" s="1122"/>
      <c r="AS36" s="1122"/>
      <c r="AT36" s="1122"/>
      <c r="AU36" s="1122"/>
      <c r="AV36" s="1122"/>
      <c r="AW36" s="1122"/>
      <c r="AX36" s="1122"/>
      <c r="AY36" s="1122"/>
      <c r="AZ36" s="1122"/>
      <c r="BA36" s="1123"/>
      <c r="CE36" s="128" t="s">
        <v>310</v>
      </c>
    </row>
    <row r="37" spans="1:83" s="15" customFormat="1" ht="20.100000000000001" customHeight="1">
      <c r="A37" s="1226"/>
      <c r="B37" s="1132"/>
      <c r="C37" s="1125"/>
      <c r="D37" s="1133"/>
      <c r="E37" s="1124" t="s">
        <v>51</v>
      </c>
      <c r="F37" s="1125"/>
      <c r="G37" s="1125"/>
      <c r="H37" s="157"/>
      <c r="I37" s="161" t="s">
        <v>308</v>
      </c>
      <c r="J37" s="157"/>
      <c r="K37" s="161" t="s">
        <v>308</v>
      </c>
      <c r="L37" s="1126"/>
      <c r="M37" s="1126"/>
      <c r="N37" s="1127"/>
      <c r="O37" s="1127"/>
      <c r="P37" s="1127"/>
      <c r="Q37" s="1127"/>
      <c r="R37" s="1127"/>
      <c r="S37" s="1127"/>
      <c r="T37" s="1127"/>
      <c r="U37" s="1127"/>
      <c r="V37" s="1127"/>
      <c r="W37" s="1127"/>
      <c r="X37" s="1128"/>
      <c r="AB37" s="142" t="s">
        <v>3636</v>
      </c>
      <c r="AC37" s="16"/>
      <c r="AD37" s="1226"/>
      <c r="AE37" s="1132"/>
      <c r="AF37" s="1125"/>
      <c r="AG37" s="1133"/>
      <c r="AH37" s="1124" t="s">
        <v>51</v>
      </c>
      <c r="AI37" s="1125"/>
      <c r="AJ37" s="1125"/>
      <c r="AK37" s="156" t="s">
        <v>311</v>
      </c>
      <c r="AL37" s="160" t="s">
        <v>261</v>
      </c>
      <c r="AM37" s="156" t="s">
        <v>312</v>
      </c>
      <c r="AN37" s="160" t="s">
        <v>308</v>
      </c>
      <c r="AO37" s="1121" t="s">
        <v>313</v>
      </c>
      <c r="AP37" s="1121"/>
      <c r="AQ37" s="1122"/>
      <c r="AR37" s="1122"/>
      <c r="AS37" s="1122"/>
      <c r="AT37" s="1122"/>
      <c r="AU37" s="1122"/>
      <c r="AV37" s="1122"/>
      <c r="AW37" s="1122"/>
      <c r="AX37" s="1122"/>
      <c r="AY37" s="1122"/>
      <c r="AZ37" s="1122"/>
      <c r="BA37" s="1123"/>
      <c r="CE37" s="128" t="s">
        <v>314</v>
      </c>
    </row>
    <row r="38" spans="1:83" s="15" customFormat="1" ht="20.100000000000001" customHeight="1">
      <c r="A38" s="1226"/>
      <c r="B38" s="1134"/>
      <c r="C38" s="1135"/>
      <c r="D38" s="1136"/>
      <c r="E38" s="1109" t="s">
        <v>42</v>
      </c>
      <c r="F38" s="1110"/>
      <c r="G38" s="1110"/>
      <c r="H38" s="1111"/>
      <c r="I38" s="1112"/>
      <c r="J38" s="1112"/>
      <c r="K38" s="1112"/>
      <c r="L38" s="1112"/>
      <c r="M38" s="1112"/>
      <c r="N38" s="1112"/>
      <c r="O38" s="1112"/>
      <c r="P38" s="1112"/>
      <c r="Q38" s="1112"/>
      <c r="R38" s="1112"/>
      <c r="S38" s="1112"/>
      <c r="T38" s="1112"/>
      <c r="U38" s="1112"/>
      <c r="V38" s="1112"/>
      <c r="W38" s="1112"/>
      <c r="X38" s="1113"/>
      <c r="AC38" s="16"/>
      <c r="AD38" s="1226"/>
      <c r="AE38" s="1134"/>
      <c r="AF38" s="1135"/>
      <c r="AG38" s="1136"/>
      <c r="AH38" s="1109" t="s">
        <v>42</v>
      </c>
      <c r="AI38" s="1110"/>
      <c r="AJ38" s="1110"/>
      <c r="AK38" s="1114" t="s">
        <v>315</v>
      </c>
      <c r="AL38" s="1114"/>
      <c r="AM38" s="1114"/>
      <c r="AN38" s="1114"/>
      <c r="AO38" s="1114"/>
      <c r="AP38" s="1114"/>
      <c r="AQ38" s="1114"/>
      <c r="AR38" s="1114"/>
      <c r="AS38" s="1114"/>
      <c r="AT38" s="1114"/>
      <c r="AU38" s="1114"/>
      <c r="AV38" s="1114"/>
      <c r="AW38" s="1114"/>
      <c r="AX38" s="1114"/>
      <c r="AY38" s="1114"/>
      <c r="AZ38" s="1114"/>
      <c r="BA38" s="1115"/>
      <c r="CE38" s="128" t="s">
        <v>316</v>
      </c>
    </row>
    <row r="39" spans="1:83" s="15" customFormat="1">
      <c r="B39" s="1116"/>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AC39" s="16"/>
      <c r="AE39" s="1116"/>
      <c r="AF39" s="1116"/>
      <c r="AG39" s="1116"/>
      <c r="AH39" s="1116"/>
      <c r="AI39" s="1116"/>
      <c r="AJ39" s="1116"/>
      <c r="AK39" s="1116"/>
      <c r="AL39" s="1116"/>
      <c r="AM39" s="1116"/>
      <c r="AN39" s="1116"/>
      <c r="AO39" s="1116"/>
      <c r="AP39" s="1116"/>
      <c r="AQ39" s="1116"/>
      <c r="AR39" s="1116"/>
      <c r="AS39" s="1116"/>
      <c r="AT39" s="1116"/>
      <c r="AU39" s="1116"/>
      <c r="AV39" s="1116"/>
      <c r="AW39" s="1116"/>
      <c r="AX39" s="1116"/>
      <c r="AY39" s="1116"/>
      <c r="AZ39" s="1116"/>
      <c r="BA39" s="1116"/>
      <c r="CE39" s="128" t="s">
        <v>317</v>
      </c>
    </row>
    <row r="40" spans="1:83" ht="90" customHeight="1">
      <c r="B40" s="33" t="s">
        <v>52</v>
      </c>
      <c r="C40" s="1103"/>
      <c r="D40" s="1103"/>
      <c r="E40" s="1103"/>
      <c r="F40" s="1103"/>
      <c r="G40" s="33" t="s">
        <v>53</v>
      </c>
      <c r="H40" s="1104" t="s">
        <v>318</v>
      </c>
      <c r="I40" s="1120"/>
      <c r="J40" s="1120"/>
      <c r="K40" s="1120"/>
      <c r="L40" s="1120"/>
      <c r="M40" s="1120"/>
      <c r="N40" s="1120"/>
      <c r="O40" s="1117" t="s">
        <v>3632</v>
      </c>
      <c r="P40" s="1118"/>
      <c r="Q40" s="1118"/>
      <c r="R40" s="1118"/>
      <c r="S40" s="1118"/>
      <c r="T40" s="1118"/>
      <c r="U40" s="1118"/>
      <c r="V40" s="1118"/>
      <c r="W40" s="1118"/>
      <c r="X40" s="1119"/>
      <c r="AE40" s="33" t="s">
        <v>52</v>
      </c>
      <c r="AF40" s="1103"/>
      <c r="AG40" s="1103"/>
      <c r="AH40" s="1103"/>
      <c r="AI40" s="1103"/>
      <c r="AJ40" s="33" t="s">
        <v>53</v>
      </c>
      <c r="AK40" s="1104" t="s">
        <v>319</v>
      </c>
      <c r="AL40" s="1105"/>
      <c r="AM40" s="1105"/>
      <c r="AN40" s="1105"/>
      <c r="AO40" s="1105"/>
      <c r="AP40" s="1105"/>
      <c r="AQ40" s="1105"/>
      <c r="AR40" s="1105"/>
      <c r="AS40" s="1106" t="s">
        <v>3630</v>
      </c>
      <c r="AT40" s="1107"/>
      <c r="AU40" s="1107"/>
      <c r="AV40" s="1107"/>
      <c r="AW40" s="1107"/>
      <c r="AX40" s="1107"/>
      <c r="AY40" s="1107"/>
      <c r="AZ40" s="1107"/>
      <c r="BA40" s="1108"/>
      <c r="CE40" s="128" t="s">
        <v>320</v>
      </c>
    </row>
    <row r="41" spans="1:83">
      <c r="C41" s="93"/>
      <c r="D41" s="93"/>
      <c r="E41" s="93"/>
      <c r="F41" s="93"/>
      <c r="G41" s="93"/>
      <c r="H41" s="93"/>
      <c r="I41" s="93"/>
      <c r="J41" s="93"/>
      <c r="K41" s="93"/>
      <c r="L41" s="93"/>
      <c r="M41" s="93"/>
      <c r="N41" s="93"/>
      <c r="O41" s="93"/>
      <c r="P41" s="93"/>
      <c r="Q41" s="93"/>
      <c r="R41" s="60"/>
      <c r="S41" s="60"/>
      <c r="AF41" s="93"/>
      <c r="AG41" s="93"/>
      <c r="AH41" s="93"/>
      <c r="AI41" s="93"/>
      <c r="AJ41" s="93"/>
      <c r="AK41" s="93"/>
      <c r="AL41" s="93"/>
      <c r="AM41" s="93"/>
      <c r="AN41" s="93"/>
      <c r="AO41" s="93"/>
      <c r="AP41" s="93"/>
      <c r="AQ41" s="93"/>
      <c r="AR41" s="93"/>
      <c r="AS41" s="93"/>
      <c r="AT41" s="93"/>
      <c r="AU41" s="60"/>
      <c r="AV41" s="60"/>
      <c r="CE41" s="128" t="s">
        <v>321</v>
      </c>
    </row>
    <row r="42" spans="1:83">
      <c r="CE42" s="128" t="s">
        <v>322</v>
      </c>
    </row>
    <row r="43" spans="1:83">
      <c r="CE43" s="128" t="s">
        <v>323</v>
      </c>
    </row>
    <row r="44" spans="1:83">
      <c r="CE44" s="128" t="s">
        <v>324</v>
      </c>
    </row>
    <row r="45" spans="1:83">
      <c r="CE45" s="128" t="s">
        <v>325</v>
      </c>
    </row>
    <row r="46" spans="1:83">
      <c r="CE46" s="128" t="s">
        <v>326</v>
      </c>
    </row>
    <row r="47" spans="1:83">
      <c r="CE47" s="128" t="s">
        <v>327</v>
      </c>
    </row>
    <row r="48" spans="1:83">
      <c r="CE48" s="128" t="s">
        <v>328</v>
      </c>
    </row>
    <row r="49" spans="83:83">
      <c r="CE49" s="128" t="s">
        <v>329</v>
      </c>
    </row>
    <row r="50" spans="83:83">
      <c r="CE50" s="128" t="s">
        <v>330</v>
      </c>
    </row>
    <row r="51" spans="83:83">
      <c r="CE51" s="128" t="s">
        <v>331</v>
      </c>
    </row>
    <row r="52" spans="83:83">
      <c r="CE52" s="128" t="s">
        <v>332</v>
      </c>
    </row>
    <row r="53" spans="83:83">
      <c r="CE53" s="128" t="s">
        <v>333</v>
      </c>
    </row>
    <row r="54" spans="83:83">
      <c r="CE54" s="128" t="s">
        <v>334</v>
      </c>
    </row>
    <row r="55" spans="83:83">
      <c r="CE55" s="128" t="s">
        <v>335</v>
      </c>
    </row>
    <row r="56" spans="83:83">
      <c r="CE56" s="128" t="s">
        <v>336</v>
      </c>
    </row>
    <row r="57" spans="83:83">
      <c r="CE57" s="128" t="s">
        <v>337</v>
      </c>
    </row>
    <row r="58" spans="83:83">
      <c r="CE58" s="128" t="s">
        <v>338</v>
      </c>
    </row>
    <row r="59" spans="83:83">
      <c r="CE59" s="128" t="s">
        <v>339</v>
      </c>
    </row>
    <row r="60" spans="83:83">
      <c r="CE60" s="128" t="s">
        <v>340</v>
      </c>
    </row>
    <row r="61" spans="83:83">
      <c r="CE61" s="128" t="s">
        <v>341</v>
      </c>
    </row>
    <row r="62" spans="83:83">
      <c r="CE62" s="128" t="s">
        <v>342</v>
      </c>
    </row>
    <row r="63" spans="83:83">
      <c r="CE63" s="128" t="s">
        <v>343</v>
      </c>
    </row>
    <row r="64" spans="83:83">
      <c r="CE64" s="128" t="s">
        <v>344</v>
      </c>
    </row>
    <row r="65" spans="83:83">
      <c r="CE65" s="128" t="s">
        <v>345</v>
      </c>
    </row>
    <row r="66" spans="83:83">
      <c r="CE66" s="128" t="s">
        <v>346</v>
      </c>
    </row>
    <row r="67" spans="83:83">
      <c r="CE67" s="128" t="s">
        <v>347</v>
      </c>
    </row>
    <row r="68" spans="83:83">
      <c r="CE68" s="128" t="s">
        <v>348</v>
      </c>
    </row>
    <row r="69" spans="83:83">
      <c r="CE69" s="128" t="s">
        <v>349</v>
      </c>
    </row>
    <row r="70" spans="83:83">
      <c r="CE70" s="128" t="s">
        <v>350</v>
      </c>
    </row>
    <row r="71" spans="83:83">
      <c r="CE71" s="128" t="s">
        <v>351</v>
      </c>
    </row>
    <row r="72" spans="83:83">
      <c r="CE72" s="128" t="s">
        <v>352</v>
      </c>
    </row>
    <row r="73" spans="83:83">
      <c r="CE73" s="128" t="s">
        <v>353</v>
      </c>
    </row>
    <row r="74" spans="83:83">
      <c r="CE74" s="128" t="s">
        <v>354</v>
      </c>
    </row>
    <row r="75" spans="83:83">
      <c r="CE75" s="128" t="s">
        <v>355</v>
      </c>
    </row>
    <row r="76" spans="83:83">
      <c r="CE76" s="128" t="s">
        <v>356</v>
      </c>
    </row>
    <row r="77" spans="83:83">
      <c r="CE77" s="128" t="s">
        <v>357</v>
      </c>
    </row>
    <row r="78" spans="83:83">
      <c r="CE78" s="128" t="s">
        <v>358</v>
      </c>
    </row>
    <row r="79" spans="83:83">
      <c r="CE79" s="128" t="s">
        <v>359</v>
      </c>
    </row>
    <row r="80" spans="83:83">
      <c r="CE80" s="128" t="s">
        <v>360</v>
      </c>
    </row>
    <row r="81" spans="83:83">
      <c r="CE81" s="128" t="s">
        <v>361</v>
      </c>
    </row>
    <row r="82" spans="83:83">
      <c r="CE82" s="128" t="s">
        <v>362</v>
      </c>
    </row>
    <row r="83" spans="83:83">
      <c r="CE83" s="128" t="s">
        <v>363</v>
      </c>
    </row>
    <row r="84" spans="83:83">
      <c r="CE84" s="128" t="s">
        <v>364</v>
      </c>
    </row>
    <row r="85" spans="83:83">
      <c r="CE85" s="128" t="s">
        <v>365</v>
      </c>
    </row>
    <row r="86" spans="83:83">
      <c r="CE86" s="128" t="s">
        <v>366</v>
      </c>
    </row>
    <row r="87" spans="83:83">
      <c r="CE87" s="128" t="s">
        <v>367</v>
      </c>
    </row>
    <row r="88" spans="83:83">
      <c r="CE88" s="128" t="s">
        <v>368</v>
      </c>
    </row>
    <row r="89" spans="83:83">
      <c r="CE89" s="128" t="s">
        <v>369</v>
      </c>
    </row>
    <row r="90" spans="83:83">
      <c r="CE90" s="128" t="s">
        <v>370</v>
      </c>
    </row>
    <row r="91" spans="83:83">
      <c r="CE91" s="128" t="s">
        <v>371</v>
      </c>
    </row>
    <row r="92" spans="83:83">
      <c r="CE92" s="128" t="s">
        <v>372</v>
      </c>
    </row>
    <row r="93" spans="83:83">
      <c r="CE93" s="128" t="s">
        <v>373</v>
      </c>
    </row>
    <row r="94" spans="83:83">
      <c r="CE94" s="128" t="s">
        <v>374</v>
      </c>
    </row>
    <row r="95" spans="83:83">
      <c r="CE95" s="128" t="s">
        <v>375</v>
      </c>
    </row>
    <row r="96" spans="83:83">
      <c r="CE96" s="128" t="s">
        <v>376</v>
      </c>
    </row>
    <row r="97" spans="83:83">
      <c r="CE97" s="128" t="s">
        <v>377</v>
      </c>
    </row>
    <row r="98" spans="83:83">
      <c r="CE98" s="128" t="s">
        <v>378</v>
      </c>
    </row>
    <row r="99" spans="83:83">
      <c r="CE99" s="128" t="s">
        <v>379</v>
      </c>
    </row>
  </sheetData>
  <sheetProtection password="E7B8" sheet="1" formatCells="0"/>
  <mergeCells count="159">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 ref="M8:N8"/>
    <mergeCell ref="Q8:X8"/>
    <mergeCell ref="AE8:AO8"/>
    <mergeCell ref="AP8:AQ8"/>
    <mergeCell ref="AT8:BA8"/>
    <mergeCell ref="B13:X13"/>
    <mergeCell ref="AE13:BA13"/>
    <mergeCell ref="B14:X14"/>
    <mergeCell ref="AE14:BA14"/>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F30:N30"/>
    <mergeCell ref="P30:X30"/>
    <mergeCell ref="AI30:AQ30"/>
    <mergeCell ref="AS30:BA30"/>
    <mergeCell ref="F27:N27"/>
    <mergeCell ref="P27:X27"/>
    <mergeCell ref="AI27:AQ27"/>
    <mergeCell ref="AS27:BA27"/>
    <mergeCell ref="F28:N28"/>
    <mergeCell ref="P28:X28"/>
    <mergeCell ref="AI28:AQ28"/>
    <mergeCell ref="AS28:BA28"/>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C40:F40"/>
    <mergeCell ref="AF40:AI40"/>
    <mergeCell ref="AK40:AR40"/>
    <mergeCell ref="AS40:BA40"/>
    <mergeCell ref="E38:G38"/>
    <mergeCell ref="H38:X38"/>
    <mergeCell ref="AH38:AJ38"/>
    <mergeCell ref="AK38:BA38"/>
    <mergeCell ref="B39:X39"/>
    <mergeCell ref="AE39:BA39"/>
    <mergeCell ref="O40:X40"/>
    <mergeCell ref="H40:N40"/>
  </mergeCells>
  <phoneticPr fontId="3"/>
  <conditionalFormatting sqref="H36:H37 J36:J37 L36:M37">
    <cfRule type="containsText" dxfId="102" priority="8" operator="containsText" text=" ">
      <formula>NOT(ISERROR(SEARCH(" ",H36)))</formula>
    </cfRule>
  </conditionalFormatting>
  <conditionalFormatting sqref="E18:E21">
    <cfRule type="expression" dxfId="101" priority="7">
      <formula>AND($E$18="■",$E$20="■")</formula>
    </cfRule>
  </conditionalFormatting>
  <conditionalFormatting sqref="Y18:Y19">
    <cfRule type="expression" dxfId="100" priority="5">
      <formula>AND($Y$18="○",$Y$19="○")</formula>
    </cfRule>
    <cfRule type="expression" dxfId="99" priority="6">
      <formula>AND($E$18="■",$Y$18="",$Y$19="")</formula>
    </cfRule>
  </conditionalFormatting>
  <conditionalFormatting sqref="Y20:Y21">
    <cfRule type="expression" dxfId="98" priority="3">
      <formula>AND($Y$20="○",$Y$21="○")</formula>
    </cfRule>
    <cfRule type="expression" dxfId="97" priority="4">
      <formula>AND($E$20="■",$Y$20="",$Y$21="")</formula>
    </cfRule>
  </conditionalFormatting>
  <conditionalFormatting sqref="Y22:Y23">
    <cfRule type="expression" dxfId="96" priority="1">
      <formula>AND($Y$22="○",$Y$23="○")</formula>
    </cfRule>
    <cfRule type="expression" dxfId="95" priority="2">
      <formula>AND($E$22="■",$Y$22="",$Y$23="")</formula>
    </cfRule>
  </conditionalFormatting>
  <dataValidations count="25">
    <dataValidation type="list" allowBlank="1" showInputMessage="1" showErrorMessage="1" promptTitle="プルダウン選択" prompt="該当する大分類を一つだけ選び、■を選択してください。" sqref="AR24:AR32 AH24:AH33">
      <formula1>$CD$1:$CD$2</formula1>
    </dataValidation>
    <dataValidation type="list" allowBlank="1" showInputMessage="1" showErrorMessage="1" promptTitle="プルダウン選択" prompt="該当する中分類を選択してください。" sqref="AH34:BA34">
      <formula1>$CE$1:$CE$99</formula1>
    </dataValidation>
    <dataValidation allowBlank="1" showInputMessage="1" showErrorMessage="1" prompt="半角数字で入力してください。" sqref="AM36:AM37 AS8 AP8:AQ8 AK36:AK37 AO36:AP37"/>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AP10:AZ10"/>
    <dataValidation allowBlank="1" showInputMessage="1" showErrorMessage="1" prompt="法人の場合、1行目に法人名をご記入ください（全角の場合は22文字以内）。" sqref="AP11:AZ11"/>
    <dataValidation allowBlank="1" showInputMessage="1" showErrorMessage="1" prompt="法人の場合、2行目に代表者名をご記入ください（全角の場合は22文字以内）。" sqref="AP12:AZ12"/>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県内のエネルギー量の合計を半角数字で入力してください。" sqref="AW20:AZ20 AW18:AZ18"/>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使用台数の合計を半角数字で入力してください。" sqref="AW22:AZ22"/>
    <dataValidation allowBlank="1" showInputMessage="1" showErrorMessage="1" prompt="横浜市及び川崎市を除いた区域の使用台数の合計を半角数字で入力してください。" sqref="AX23:AZ23"/>
    <dataValidation allowBlank="1" showInputMessage="1" showErrorMessage="1" prompt="半角で入力してください。" sqref="AK38:BA38"/>
    <dataValidation allowBlank="1" showInputMessage="1" showErrorMessage="1" prompt="社として、本制度の問い合わせや本県からの案内を受け取られるところをご記入ください。（委託先でも可）" sqref="AK35:BA35"/>
    <dataValidation type="list" allowBlank="1" showInputMessage="1" showErrorMessage="1" sqref="BB18:BB23 Y18:Y23">
      <formula1>"○"</formula1>
    </dataValidation>
    <dataValidation imeMode="halfAlpha" allowBlank="1" showInputMessage="1" showErrorMessage="1" prompt="半角数字で入力" sqref="K36:K37 I36:I37"/>
    <dataValidation type="list" allowBlank="1" showInputMessage="1" showErrorMessage="1" sqref="O24:O32 E24:E33">
      <formula1>$CD$1:$CD$2</formula1>
    </dataValidation>
    <dataValidation type="list" allowBlank="1" showInputMessage="1" showErrorMessage="1" sqref="E34:X34">
      <formula1>$CE$1:$CE$99</formula1>
    </dataValidation>
    <dataValidation imeMode="halfAlpha" allowBlank="1" showInputMessage="1" showErrorMessage="1" sqref="U23:W23 U21:W21 T22:W22 T20:W20 U19:W19 T18:W18 H38:X38"/>
    <dataValidation type="whole" imeMode="halfAlpha" allowBlank="1" showInputMessage="1" showErrorMessage="1" sqref="W6">
      <formula1>1</formula1>
      <formula2>31</formula2>
    </dataValidation>
    <dataValidation type="whole" imeMode="halfAlpha" allowBlank="1" showInputMessage="1" showErrorMessage="1" sqref="U6">
      <formula1>1</formula1>
      <formula2>12</formula2>
    </dataValidation>
    <dataValidation type="custom" imeMode="off" allowBlank="1" showInputMessage="1" showErrorMessage="1" prompt="半角数字で入力してください。" sqref="M8:N8">
      <formula1>OR(LENB(M8)=0,LENB(M8)=3)</formula1>
    </dataValidation>
    <dataValidation type="custom" imeMode="off" allowBlank="1" showInputMessage="1" showErrorMessage="1" prompt="半角数字で入力してください。"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61" r:id="rId5" name="Check Box 45">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9262" r:id="rId6" name="Check Box 46">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9265" r:id="rId7" name="Check Box 49">
              <controlPr defaultSize="0" autoFill="0" autoLine="0" autoPict="0">
                <anchor moveWithCells="1">
                  <from>
                    <xdr:col>25</xdr:col>
                    <xdr:colOff>266700</xdr:colOff>
                    <xdr:row>32</xdr:row>
                    <xdr:rowOff>45720</xdr:rowOff>
                  </from>
                  <to>
                    <xdr:col>25</xdr:col>
                    <xdr:colOff>556260</xdr:colOff>
                    <xdr:row>33</xdr:row>
                    <xdr:rowOff>152400</xdr:rowOff>
                  </to>
                </anchor>
              </controlPr>
            </control>
          </mc:Choice>
        </mc:AlternateContent>
        <mc:AlternateContent xmlns:mc="http://schemas.openxmlformats.org/markup-compatibility/2006">
          <mc:Choice Requires="x14">
            <control shapeId="9266" r:id="rId8" name="Check Box 50">
              <controlPr defaultSize="0" autoFill="0" autoLine="0" autoPict="0">
                <anchor moveWithCells="1">
                  <from>
                    <xdr:col>25</xdr:col>
                    <xdr:colOff>289560</xdr:colOff>
                    <xdr:row>34</xdr:row>
                    <xdr:rowOff>198120</xdr:rowOff>
                  </from>
                  <to>
                    <xdr:col>25</xdr:col>
                    <xdr:colOff>563880</xdr:colOff>
                    <xdr:row>36</xdr:row>
                    <xdr:rowOff>7620</xdr:rowOff>
                  </to>
                </anchor>
              </controlPr>
            </control>
          </mc:Choice>
        </mc:AlternateContent>
        <mc:AlternateContent xmlns:mc="http://schemas.openxmlformats.org/markup-compatibility/2006">
          <mc:Choice Requires="x14">
            <control shapeId="9267" r:id="rId9" name="Check Box 51">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9268" r:id="rId10" name="Check Box 52">
              <controlPr defaultSize="0" autoFill="0" autoLine="0" autoPict="0">
                <anchor moveWithCells="1">
                  <from>
                    <xdr:col>25</xdr:col>
                    <xdr:colOff>251460</xdr:colOff>
                    <xdr:row>7</xdr:row>
                    <xdr:rowOff>0</xdr:rowOff>
                  </from>
                  <to>
                    <xdr:col>25</xdr:col>
                    <xdr:colOff>525780</xdr:colOff>
                    <xdr:row>8</xdr:row>
                    <xdr:rowOff>114300</xdr:rowOff>
                  </to>
                </anchor>
              </controlPr>
            </control>
          </mc:Choice>
        </mc:AlternateContent>
        <mc:AlternateContent xmlns:mc="http://schemas.openxmlformats.org/markup-compatibility/2006">
          <mc:Choice Requires="x14">
            <control shapeId="9269" r:id="rId11" name="Check Box 53">
              <controlPr defaultSize="0" autoFill="0" autoLine="0" autoPict="0">
                <anchor moveWithCells="1">
                  <from>
                    <xdr:col>25</xdr:col>
                    <xdr:colOff>251460</xdr:colOff>
                    <xdr:row>10</xdr:row>
                    <xdr:rowOff>22860</xdr:rowOff>
                  </from>
                  <to>
                    <xdr:col>25</xdr:col>
                    <xdr:colOff>533400</xdr:colOff>
                    <xdr:row>11</xdr:row>
                    <xdr:rowOff>152400</xdr:rowOff>
                  </to>
                </anchor>
              </controlPr>
            </control>
          </mc:Choice>
        </mc:AlternateContent>
        <mc:AlternateContent xmlns:mc="http://schemas.openxmlformats.org/markup-compatibility/2006">
          <mc:Choice Requires="x14">
            <control shapeId="9270" r:id="rId12" name="Check Box 54">
              <controlPr defaultSize="0" autoFill="0" autoLine="0" autoPict="0">
                <anchor moveWithCells="1">
                  <from>
                    <xdr:col>25</xdr:col>
                    <xdr:colOff>251460</xdr:colOff>
                    <xdr:row>13</xdr:row>
                    <xdr:rowOff>99060</xdr:rowOff>
                  </from>
                  <to>
                    <xdr:col>25</xdr:col>
                    <xdr:colOff>533400</xdr:colOff>
                    <xdr:row>14</xdr:row>
                    <xdr:rowOff>175260</xdr:rowOff>
                  </to>
                </anchor>
              </controlPr>
            </control>
          </mc:Choice>
        </mc:AlternateContent>
        <mc:AlternateContent xmlns:mc="http://schemas.openxmlformats.org/markup-compatibility/2006">
          <mc:Choice Requires="x14">
            <control shapeId="9273" r:id="rId13" name="Check Box 57">
              <controlPr defaultSize="0" autoFill="0" autoLine="0" autoPict="0">
                <anchor moveWithCells="1">
                  <from>
                    <xdr:col>25</xdr:col>
                    <xdr:colOff>297180</xdr:colOff>
                    <xdr:row>26</xdr:row>
                    <xdr:rowOff>68580</xdr:rowOff>
                  </from>
                  <to>
                    <xdr:col>25</xdr:col>
                    <xdr:colOff>579120</xdr:colOff>
                    <xdr:row>27</xdr:row>
                    <xdr:rowOff>182880</xdr:rowOff>
                  </to>
                </anchor>
              </controlPr>
            </control>
          </mc:Choice>
        </mc:AlternateContent>
        <mc:AlternateContent xmlns:mc="http://schemas.openxmlformats.org/markup-compatibility/2006">
          <mc:Choice Requires="x14">
            <control shapeId="9277" r:id="rId14" name="Check Box 61">
              <controlPr defaultSize="0" autoFill="0" autoLine="0" autoPict="0">
                <anchor moveWithCells="1">
                  <from>
                    <xdr:col>25</xdr:col>
                    <xdr:colOff>274320</xdr:colOff>
                    <xdr:row>21</xdr:row>
                    <xdr:rowOff>7620</xdr:rowOff>
                  </from>
                  <to>
                    <xdr:col>25</xdr:col>
                    <xdr:colOff>556260</xdr:colOff>
                    <xdr:row>22</xdr:row>
                    <xdr:rowOff>45720</xdr:rowOff>
                  </to>
                </anchor>
              </controlPr>
            </control>
          </mc:Choice>
        </mc:AlternateContent>
        <mc:AlternateContent xmlns:mc="http://schemas.openxmlformats.org/markup-compatibility/2006">
          <mc:Choice Requires="x14">
            <control shapeId="9280" r:id="rId15" name="Check Box 64">
              <controlPr defaultSize="0" autoFill="0" autoLine="0" autoPict="0">
                <anchor moveWithCells="1">
                  <from>
                    <xdr:col>25</xdr:col>
                    <xdr:colOff>251460</xdr:colOff>
                    <xdr:row>16</xdr:row>
                    <xdr:rowOff>76200</xdr:rowOff>
                  </from>
                  <to>
                    <xdr:col>25</xdr:col>
                    <xdr:colOff>541020</xdr:colOff>
                    <xdr:row>16</xdr:row>
                    <xdr:rowOff>381000</xdr:rowOff>
                  </to>
                </anchor>
              </controlPr>
            </control>
          </mc:Choice>
        </mc:AlternateContent>
        <mc:AlternateContent xmlns:mc="http://schemas.openxmlformats.org/markup-compatibility/2006">
          <mc:Choice Requires="x14">
            <control shapeId="9281" r:id="rId16" name="Check Box 65">
              <controlPr defaultSize="0" autoFill="0" autoLine="0" autoPict="0">
                <anchor moveWithCells="1">
                  <from>
                    <xdr:col>25</xdr:col>
                    <xdr:colOff>259080</xdr:colOff>
                    <xdr:row>18</xdr:row>
                    <xdr:rowOff>121920</xdr:rowOff>
                  </from>
                  <to>
                    <xdr:col>25</xdr:col>
                    <xdr:colOff>541020</xdr:colOff>
                    <xdr:row>19</xdr:row>
                    <xdr:rowOff>129540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Y47"/>
  <sheetViews>
    <sheetView showGridLines="0" view="pageBreakPreview" zoomScaleNormal="85" zoomScaleSheetLayoutView="100" workbookViewId="0">
      <selection activeCell="R19" sqref="R19:T19"/>
    </sheetView>
  </sheetViews>
  <sheetFormatPr defaultColWidth="9" defaultRowHeight="13.2" outlineLevelCol="1"/>
  <cols>
    <col min="1" max="1" width="1.6640625" style="39" customWidth="1"/>
    <col min="2" max="2" width="4.88671875" style="40" customWidth="1"/>
    <col min="3" max="3" width="4.88671875" style="41" customWidth="1"/>
    <col min="4" max="4" width="5.21875" style="41" customWidth="1"/>
    <col min="5" max="5" width="6.3320312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2.88671875" style="41" customWidth="1"/>
    <col min="17" max="18" width="5.6640625" style="41" customWidth="1"/>
    <col min="19" max="19" width="2.77734375" style="41" customWidth="1"/>
    <col min="20" max="20" width="2.88671875" style="41" customWidth="1"/>
    <col min="21" max="21" width="5.6640625" style="41" customWidth="1"/>
    <col min="22" max="22" width="12.21875" style="125" customWidth="1"/>
    <col min="23" max="23" width="32.44140625" style="39" customWidth="1"/>
    <col min="24" max="24" width="9" style="39" hidden="1" customWidth="1" outlineLevel="1"/>
    <col min="25" max="25" width="75.44140625" style="39" hidden="1" customWidth="1" outlineLevel="1"/>
    <col min="26" max="26" width="3.109375" style="14" customWidth="1" collapsed="1"/>
    <col min="27" max="27" width="3.109375" style="14" customWidth="1"/>
    <col min="28" max="28" width="2.44140625" style="39" customWidth="1"/>
    <col min="29" max="29" width="4.88671875" style="40" customWidth="1"/>
    <col min="30" max="30" width="4.88671875" style="41" customWidth="1"/>
    <col min="31" max="31" width="5" style="41" customWidth="1"/>
    <col min="32" max="32" width="7.10937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1" width="5.664062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3.77734375" style="39" customWidth="1"/>
    <col min="50" max="16384" width="9" style="39"/>
  </cols>
  <sheetData>
    <row r="1" spans="1:48" s="34" customFormat="1" ht="12">
      <c r="A1" s="94" t="s">
        <v>43</v>
      </c>
      <c r="B1" s="73"/>
      <c r="C1" s="73"/>
      <c r="D1" s="73"/>
      <c r="E1" s="73"/>
      <c r="F1" s="73"/>
      <c r="G1" s="73"/>
      <c r="H1" s="73"/>
      <c r="I1" s="73"/>
      <c r="J1" s="73"/>
      <c r="K1" s="73"/>
      <c r="L1" s="73"/>
      <c r="M1" s="73"/>
      <c r="N1" s="73"/>
      <c r="O1" s="73"/>
      <c r="P1" s="73"/>
      <c r="Q1" s="73"/>
      <c r="R1" s="73"/>
      <c r="S1" s="73"/>
      <c r="T1" s="73"/>
      <c r="U1" s="74">
        <f>結果1面!M11</f>
        <v>0</v>
      </c>
      <c r="W1" s="109" t="str">
        <f>結果1面!$Z$1</f>
        <v>2025ver5</v>
      </c>
      <c r="X1" s="102" t="s">
        <v>3614</v>
      </c>
      <c r="Y1" s="102" t="s">
        <v>3608</v>
      </c>
      <c r="AA1" s="13"/>
      <c r="AB1" s="1400" t="s">
        <v>43</v>
      </c>
      <c r="AC1" s="1400"/>
      <c r="AD1" s="1400"/>
      <c r="AE1" s="1400"/>
      <c r="AF1" s="1400"/>
      <c r="AG1" s="1400"/>
      <c r="AH1" s="1400"/>
      <c r="AI1" s="1400"/>
      <c r="AJ1" s="1400"/>
      <c r="AK1" s="1400"/>
      <c r="AL1" s="1400"/>
      <c r="AM1" s="1400"/>
      <c r="AN1" s="1400"/>
      <c r="AO1" s="1400"/>
      <c r="AP1" s="1400"/>
      <c r="AQ1" s="1400"/>
      <c r="AR1" s="1400"/>
      <c r="AS1" s="1400"/>
      <c r="AT1" s="1400"/>
      <c r="AU1" s="1400"/>
      <c r="AV1" s="1400"/>
    </row>
    <row r="2" spans="1:48" s="35" customFormat="1" ht="12.6" thickBot="1">
      <c r="A2" s="1223" t="s">
        <v>64</v>
      </c>
      <c r="B2" s="1223"/>
      <c r="C2" s="1223"/>
      <c r="D2" s="1223"/>
      <c r="E2" s="1223"/>
      <c r="F2" s="1223"/>
      <c r="G2" s="1223"/>
      <c r="H2" s="1223"/>
      <c r="I2" s="1223"/>
      <c r="J2" s="1223"/>
      <c r="K2" s="1223"/>
      <c r="L2" s="1223"/>
      <c r="M2" s="1223"/>
      <c r="N2" s="1223"/>
      <c r="O2" s="1223"/>
      <c r="P2" s="1223"/>
      <c r="Q2" s="1223"/>
      <c r="R2" s="1223"/>
      <c r="S2" s="1223"/>
      <c r="T2" s="1223"/>
      <c r="U2" s="1223"/>
      <c r="V2" s="126"/>
      <c r="X2" s="85"/>
      <c r="Y2" s="107"/>
      <c r="Z2" s="14"/>
      <c r="AA2" s="14"/>
      <c r="AB2" s="1223" t="s">
        <v>64</v>
      </c>
      <c r="AC2" s="1223"/>
      <c r="AD2" s="1223"/>
      <c r="AE2" s="1223"/>
      <c r="AF2" s="1223"/>
      <c r="AG2" s="1223"/>
      <c r="AH2" s="1223"/>
      <c r="AI2" s="1223"/>
      <c r="AJ2" s="1223"/>
      <c r="AK2" s="1223"/>
      <c r="AL2" s="1223"/>
      <c r="AM2" s="1223"/>
      <c r="AN2" s="1223"/>
      <c r="AO2" s="1223"/>
      <c r="AP2" s="1223"/>
      <c r="AQ2" s="1223"/>
      <c r="AR2" s="1223"/>
      <c r="AS2" s="1223"/>
      <c r="AT2" s="1223"/>
      <c r="AU2" s="1223"/>
      <c r="AV2" s="1223"/>
    </row>
    <row r="3" spans="1:48" s="34" customFormat="1" ht="18.75" customHeight="1">
      <c r="A3" s="12"/>
      <c r="B3" s="1364"/>
      <c r="C3" s="1116"/>
      <c r="D3" s="176"/>
      <c r="E3" s="98" t="s">
        <v>2</v>
      </c>
      <c r="F3" s="98" t="s">
        <v>99</v>
      </c>
      <c r="G3" s="1465"/>
      <c r="H3" s="1465"/>
      <c r="I3" s="98" t="s">
        <v>2</v>
      </c>
      <c r="J3" s="1404"/>
      <c r="K3" s="1218"/>
      <c r="L3" s="1218"/>
      <c r="M3" s="1218"/>
      <c r="N3" s="1218"/>
      <c r="O3" s="1218"/>
      <c r="P3" s="1218"/>
      <c r="Q3" s="1218"/>
      <c r="R3" s="1218"/>
      <c r="S3" s="1218"/>
      <c r="T3" s="1218"/>
      <c r="U3" s="1218"/>
      <c r="V3" s="41"/>
      <c r="Y3" s="143" t="s">
        <v>3637</v>
      </c>
      <c r="Z3" s="28"/>
      <c r="AA3" s="31"/>
      <c r="AB3" s="12"/>
      <c r="AC3" s="1401"/>
      <c r="AD3" s="1402"/>
      <c r="AE3" s="95">
        <f>LEFT(W1,4)-3</f>
        <v>2022</v>
      </c>
      <c r="AF3" s="98" t="s">
        <v>2</v>
      </c>
      <c r="AG3" s="98" t="s">
        <v>99</v>
      </c>
      <c r="AH3" s="1403">
        <f>AE3+2</f>
        <v>2024</v>
      </c>
      <c r="AI3" s="1403"/>
      <c r="AJ3" s="98" t="s">
        <v>2</v>
      </c>
      <c r="AK3" s="1404"/>
      <c r="AL3" s="1218"/>
      <c r="AM3" s="1218"/>
      <c r="AN3" s="1218"/>
      <c r="AO3" s="1218"/>
      <c r="AP3" s="1218"/>
      <c r="AQ3" s="1218"/>
      <c r="AR3" s="1218"/>
      <c r="AS3" s="1218"/>
      <c r="AT3" s="1218"/>
      <c r="AU3" s="1218"/>
      <c r="AV3" s="1218"/>
    </row>
    <row r="4" spans="1:48" s="36" customFormat="1" ht="7.5" customHeight="1">
      <c r="A4" s="1263"/>
      <c r="B4" s="1263"/>
      <c r="C4" s="1263"/>
      <c r="D4" s="1263"/>
      <c r="E4" s="1263"/>
      <c r="F4" s="1263"/>
      <c r="G4" s="1263"/>
      <c r="H4" s="1263"/>
      <c r="I4" s="1263"/>
      <c r="J4" s="1263"/>
      <c r="K4" s="1263"/>
      <c r="L4" s="1263"/>
      <c r="M4" s="1263"/>
      <c r="N4" s="1263"/>
      <c r="O4" s="1263"/>
      <c r="P4" s="1263"/>
      <c r="Q4" s="1263"/>
      <c r="R4" s="1263"/>
      <c r="S4" s="1263"/>
      <c r="T4" s="1263"/>
      <c r="U4" s="1263"/>
      <c r="V4" s="127"/>
      <c r="Z4" s="16"/>
      <c r="AA4" s="16"/>
      <c r="AB4" s="1263"/>
      <c r="AC4" s="1263"/>
      <c r="AD4" s="1263"/>
      <c r="AE4" s="1263"/>
      <c r="AF4" s="1263"/>
      <c r="AG4" s="1263"/>
      <c r="AH4" s="1263"/>
      <c r="AI4" s="1263"/>
      <c r="AJ4" s="1263"/>
      <c r="AK4" s="1263"/>
      <c r="AL4" s="1263"/>
      <c r="AM4" s="1263"/>
      <c r="AN4" s="1263"/>
      <c r="AO4" s="1263"/>
      <c r="AP4" s="1263"/>
      <c r="AQ4" s="1263"/>
      <c r="AR4" s="1263"/>
      <c r="AS4" s="1263"/>
      <c r="AT4" s="1263"/>
      <c r="AU4" s="1263"/>
      <c r="AV4" s="1263"/>
    </row>
    <row r="5" spans="1:48" s="37" customFormat="1" ht="22.5" customHeight="1">
      <c r="A5" s="1381" t="s">
        <v>3594</v>
      </c>
      <c r="B5" s="1382"/>
      <c r="C5" s="1382"/>
      <c r="D5" s="1382"/>
      <c r="E5" s="1382"/>
      <c r="F5" s="1382"/>
      <c r="G5" s="1382"/>
      <c r="H5" s="1382"/>
      <c r="I5" s="1382"/>
      <c r="J5" s="1382"/>
      <c r="K5" s="1382"/>
      <c r="L5" s="1382"/>
      <c r="M5" s="1382"/>
      <c r="N5" s="1382"/>
      <c r="O5" s="1382"/>
      <c r="P5" s="1382"/>
      <c r="Q5" s="1382"/>
      <c r="R5" s="1382"/>
      <c r="S5" s="1382"/>
      <c r="T5" s="1382"/>
      <c r="U5" s="1382"/>
      <c r="V5" s="125"/>
      <c r="Z5" s="14"/>
      <c r="AA5" s="14"/>
      <c r="AB5" s="1381" t="s">
        <v>3594</v>
      </c>
      <c r="AC5" s="1382"/>
      <c r="AD5" s="1382"/>
      <c r="AE5" s="1382"/>
      <c r="AF5" s="1382"/>
      <c r="AG5" s="1382"/>
      <c r="AH5" s="1382"/>
      <c r="AI5" s="1382"/>
      <c r="AJ5" s="1382"/>
      <c r="AK5" s="1382"/>
      <c r="AL5" s="1382"/>
      <c r="AM5" s="1382"/>
      <c r="AN5" s="1382"/>
      <c r="AO5" s="1382"/>
      <c r="AP5" s="1382"/>
      <c r="AQ5" s="1382"/>
      <c r="AR5" s="1382"/>
      <c r="AS5" s="1382"/>
      <c r="AT5" s="1382"/>
      <c r="AU5" s="1382"/>
      <c r="AV5" s="1382"/>
    </row>
    <row r="6" spans="1:48" s="38" customFormat="1" ht="15" customHeight="1">
      <c r="A6" s="1383"/>
      <c r="B6" s="1166" t="s">
        <v>210</v>
      </c>
      <c r="C6" s="1168"/>
      <c r="D6" s="1137" t="s">
        <v>44</v>
      </c>
      <c r="E6" s="1131"/>
      <c r="F6" s="1387"/>
      <c r="G6" s="1388"/>
      <c r="H6" s="1388"/>
      <c r="I6" s="167" t="str">
        <f ca="1">IF(OR(結果1面!E18="■",結果1面!E20="■"),結果2面!D3-1,"")</f>
        <v/>
      </c>
      <c r="J6" s="1389" t="s">
        <v>2</v>
      </c>
      <c r="K6" s="1389"/>
      <c r="L6" s="1389"/>
      <c r="M6" s="1390"/>
      <c r="N6" s="1391"/>
      <c r="O6" s="1259"/>
      <c r="P6" s="1259"/>
      <c r="Q6" s="1259"/>
      <c r="R6" s="1259"/>
      <c r="S6" s="1259"/>
      <c r="T6" s="1259"/>
      <c r="U6" s="1259"/>
      <c r="V6" s="40"/>
      <c r="Y6" s="120" t="s">
        <v>3612</v>
      </c>
      <c r="Z6" s="16"/>
      <c r="AA6" s="16"/>
      <c r="AB6" s="1383"/>
      <c r="AC6" s="1166" t="s">
        <v>210</v>
      </c>
      <c r="AD6" s="1168"/>
      <c r="AE6" s="1137" t="s">
        <v>44</v>
      </c>
      <c r="AF6" s="1131"/>
      <c r="AG6" s="1387"/>
      <c r="AH6" s="1388"/>
      <c r="AI6" s="1388"/>
      <c r="AJ6" s="106">
        <f>AE3-1</f>
        <v>2021</v>
      </c>
      <c r="AK6" s="1389" t="s">
        <v>2</v>
      </c>
      <c r="AL6" s="1389"/>
      <c r="AM6" s="1389"/>
      <c r="AN6" s="1390"/>
      <c r="AO6" s="1391"/>
      <c r="AP6" s="1259"/>
      <c r="AQ6" s="1259"/>
      <c r="AR6" s="1259"/>
      <c r="AS6" s="1259"/>
      <c r="AT6" s="1259"/>
      <c r="AU6" s="1259"/>
      <c r="AV6" s="1259"/>
    </row>
    <row r="7" spans="1:48" s="38" customFormat="1" ht="15" customHeight="1">
      <c r="A7" s="1383"/>
      <c r="B7" s="1169"/>
      <c r="C7" s="1171"/>
      <c r="D7" s="1385"/>
      <c r="E7" s="1386"/>
      <c r="F7" s="89" t="s">
        <v>100</v>
      </c>
      <c r="G7" s="1409"/>
      <c r="H7" s="1409"/>
      <c r="I7" s="91" t="s">
        <v>101</v>
      </c>
      <c r="J7" s="105"/>
      <c r="K7" s="1395" t="s">
        <v>102</v>
      </c>
      <c r="L7" s="1395"/>
      <c r="M7" s="1396"/>
      <c r="N7" s="1392"/>
      <c r="O7" s="1393"/>
      <c r="P7" s="1393"/>
      <c r="Q7" s="1393"/>
      <c r="R7" s="1393"/>
      <c r="S7" s="1393"/>
      <c r="T7" s="1393"/>
      <c r="U7" s="1393"/>
      <c r="V7" s="40"/>
      <c r="Y7" s="120" t="s">
        <v>3613</v>
      </c>
      <c r="Z7" s="16"/>
      <c r="AA7" s="16"/>
      <c r="AB7" s="1383"/>
      <c r="AC7" s="1169"/>
      <c r="AD7" s="1171"/>
      <c r="AE7" s="1385"/>
      <c r="AF7" s="1386"/>
      <c r="AG7" s="89" t="s">
        <v>100</v>
      </c>
      <c r="AH7" s="1394"/>
      <c r="AI7" s="1394"/>
      <c r="AJ7" s="91" t="s">
        <v>101</v>
      </c>
      <c r="AK7" s="108"/>
      <c r="AL7" s="1395" t="s">
        <v>102</v>
      </c>
      <c r="AM7" s="1395"/>
      <c r="AN7" s="1396"/>
      <c r="AO7" s="1392"/>
      <c r="AP7" s="1393"/>
      <c r="AQ7" s="1393"/>
      <c r="AR7" s="1393"/>
      <c r="AS7" s="1393"/>
      <c r="AT7" s="1393"/>
      <c r="AU7" s="1393"/>
      <c r="AV7" s="1393"/>
    </row>
    <row r="8" spans="1:48" ht="24" customHeight="1">
      <c r="A8" s="1383"/>
      <c r="B8" s="1169"/>
      <c r="C8" s="1171"/>
      <c r="D8" s="1365" t="s">
        <v>60</v>
      </c>
      <c r="E8" s="1187"/>
      <c r="F8" s="1295" t="s">
        <v>84</v>
      </c>
      <c r="G8" s="1289"/>
      <c r="H8" s="1289"/>
      <c r="I8" s="1399"/>
      <c r="J8" s="1301" t="s">
        <v>81</v>
      </c>
      <c r="K8" s="1299"/>
      <c r="L8" s="1299"/>
      <c r="M8" s="1300"/>
      <c r="N8" s="1339" t="s">
        <v>82</v>
      </c>
      <c r="O8" s="1340"/>
      <c r="P8" s="1340"/>
      <c r="Q8" s="1341"/>
      <c r="R8" s="1339" t="s">
        <v>83</v>
      </c>
      <c r="S8" s="1340"/>
      <c r="T8" s="1340"/>
      <c r="U8" s="1342"/>
      <c r="Z8" s="16"/>
      <c r="AA8" s="16"/>
      <c r="AB8" s="1383"/>
      <c r="AC8" s="1169"/>
      <c r="AD8" s="1171"/>
      <c r="AE8" s="1365" t="s">
        <v>60</v>
      </c>
      <c r="AF8" s="1187"/>
      <c r="AG8" s="1295" t="s">
        <v>84</v>
      </c>
      <c r="AH8" s="1289"/>
      <c r="AI8" s="1289"/>
      <c r="AJ8" s="1399"/>
      <c r="AK8" s="1301" t="s">
        <v>81</v>
      </c>
      <c r="AL8" s="1299"/>
      <c r="AM8" s="1299"/>
      <c r="AN8" s="1300"/>
      <c r="AO8" s="1339" t="s">
        <v>82</v>
      </c>
      <c r="AP8" s="1340"/>
      <c r="AQ8" s="1340"/>
      <c r="AR8" s="1341"/>
      <c r="AS8" s="1339" t="s">
        <v>83</v>
      </c>
      <c r="AT8" s="1340"/>
      <c r="AU8" s="1340"/>
      <c r="AV8" s="1342"/>
    </row>
    <row r="9" spans="1:48" ht="14.1" customHeight="1">
      <c r="A9" s="1383"/>
      <c r="B9" s="1169"/>
      <c r="C9" s="1171"/>
      <c r="D9" s="1366"/>
      <c r="E9" s="1367"/>
      <c r="F9" s="1444"/>
      <c r="G9" s="1445"/>
      <c r="H9" s="1445"/>
      <c r="I9" s="1323" t="s">
        <v>103</v>
      </c>
      <c r="J9" s="1428" t="str">
        <f ca="1">IF($I$6&lt;&gt;"",IF($D$3=$G$3,IF(OR(結果1面!$Y$18="○",結果1面!$Y$20="○"),参考3_排出量経年!$L$116,IF(OR(結果1面!$Y$19="○",結果1面!$Y$21="○"),参考3_排出量経年!$T$116,"")),"要入力"),"")</f>
        <v/>
      </c>
      <c r="K9" s="1429"/>
      <c r="L9" s="1429"/>
      <c r="M9" s="1323" t="s">
        <v>103</v>
      </c>
      <c r="N9" s="1418" t="str">
        <f ca="1">IF($I$6&lt;&gt;"",IF($D$3=$G$3-1,IF(OR(結果1面!$Y$18="○",結果1面!$Y$20="○"),参考3_排出量経年!$L$116,IF(OR(結果1面!$Y$19="○",結果1面!$Y$21="○"),参考3_排出量経年!$T$116,"")),IF($D$3&lt;$G$3-1,"要入力","")),"")</f>
        <v/>
      </c>
      <c r="O9" s="1419"/>
      <c r="P9" s="1419"/>
      <c r="Q9" s="1323" t="s">
        <v>103</v>
      </c>
      <c r="R9" s="1418" t="str">
        <f ca="1">IF($I$6&lt;&gt;"",IF($D$3=$G$3-2,IF(OR(結果1面!$Y$18="○",結果1面!$Y$20="○"),参考3_排出量経年!$L$116,IF(OR(結果1面!$Y$19="○",結果1面!$Y$21="○"),参考3_排出量経年!$T$116,"")),IF($D$3&lt;$G$3-2,"要入力","")),"")</f>
        <v/>
      </c>
      <c r="S9" s="1419"/>
      <c r="T9" s="1419"/>
      <c r="U9" s="1273" t="s">
        <v>103</v>
      </c>
      <c r="Y9" s="120" t="s">
        <v>3617</v>
      </c>
      <c r="Z9" s="16"/>
      <c r="AA9" s="16"/>
      <c r="AB9" s="1383"/>
      <c r="AC9" s="1169"/>
      <c r="AD9" s="1171"/>
      <c r="AE9" s="1366"/>
      <c r="AF9" s="1367"/>
      <c r="AG9" s="1375">
        <v>7180</v>
      </c>
      <c r="AH9" s="1376"/>
      <c r="AI9" s="1376"/>
      <c r="AJ9" s="1323" t="s">
        <v>103</v>
      </c>
      <c r="AK9" s="1375">
        <v>7110</v>
      </c>
      <c r="AL9" s="1376"/>
      <c r="AM9" s="1376"/>
      <c r="AN9" s="1323" t="s">
        <v>103</v>
      </c>
      <c r="AO9" s="1375">
        <v>7040</v>
      </c>
      <c r="AP9" s="1376"/>
      <c r="AQ9" s="1376"/>
      <c r="AR9" s="1323" t="s">
        <v>103</v>
      </c>
      <c r="AS9" s="1375">
        <v>6940</v>
      </c>
      <c r="AT9" s="1376"/>
      <c r="AU9" s="1376"/>
      <c r="AV9" s="1273" t="s">
        <v>103</v>
      </c>
    </row>
    <row r="10" spans="1:48" ht="14.1" customHeight="1">
      <c r="A10" s="1383"/>
      <c r="B10" s="1169"/>
      <c r="C10" s="1171"/>
      <c r="D10" s="1366"/>
      <c r="E10" s="1367"/>
      <c r="F10" s="1448"/>
      <c r="G10" s="1449"/>
      <c r="H10" s="1449"/>
      <c r="I10" s="1324"/>
      <c r="J10" s="1434" t="str">
        <f ca="1">IF($I$6&lt;&gt;"",IF($D$3=$G$3,IF(OR(結果1面!$Y$18="○",結果1面!$Y$20="○"),参考3_排出量経年!$L$227,IF(OR(結果1面!$Y$19="○",結果1面!$Y$21="○"),参考3_排出量経年!$T$227,"")),"要入力"),"")</f>
        <v/>
      </c>
      <c r="K10" s="1435"/>
      <c r="L10" s="1435"/>
      <c r="M10" s="1324"/>
      <c r="N10" s="1434" t="str">
        <f ca="1">IF($I$6&lt;&gt;"",IF($D$3=$G$3-1,IF(OR(結果1面!$Y$18="○",結果1面!$Y$20="○"),参考3_排出量経年!$L$227,IF(OR(結果1面!$Y$19="○",結果1面!$Y$21="○"),参考3_排出量経年!$T$227,"")),IF($D$3&lt;$G$3-1,"要入力","")),"")</f>
        <v/>
      </c>
      <c r="O10" s="1435"/>
      <c r="P10" s="1435"/>
      <c r="Q10" s="1324"/>
      <c r="R10" s="1434" t="str">
        <f ca="1">IF($I$6&lt;&gt;"",IF($D$3=$G$3-2,IF(OR(結果1面!$Y$18="○",結果1面!$Y$20="○"),参考3_排出量経年!$L$227,IF(OR(結果1面!$Y$19="○",結果1面!$Y$21="○"),参考3_排出量経年!$T$227,"")),IF($D$3&lt;$G$3-2,"要入力","")),"")</f>
        <v/>
      </c>
      <c r="S10" s="1435"/>
      <c r="T10" s="1435"/>
      <c r="U10" s="1318"/>
      <c r="Z10" s="16"/>
      <c r="AA10" s="16"/>
      <c r="AB10" s="1383"/>
      <c r="AC10" s="1169"/>
      <c r="AD10" s="1171"/>
      <c r="AE10" s="1366"/>
      <c r="AF10" s="1367"/>
      <c r="AG10" s="1397">
        <v>6910</v>
      </c>
      <c r="AH10" s="1398"/>
      <c r="AI10" s="1398"/>
      <c r="AJ10" s="1324"/>
      <c r="AK10" s="1397">
        <v>6840</v>
      </c>
      <c r="AL10" s="1398"/>
      <c r="AM10" s="1398"/>
      <c r="AN10" s="1324"/>
      <c r="AO10" s="1397">
        <v>6770</v>
      </c>
      <c r="AP10" s="1398"/>
      <c r="AQ10" s="1398"/>
      <c r="AR10" s="1324"/>
      <c r="AS10" s="1397">
        <v>6680</v>
      </c>
      <c r="AT10" s="1398"/>
      <c r="AU10" s="1398"/>
      <c r="AV10" s="1318"/>
    </row>
    <row r="11" spans="1:48" ht="24" customHeight="1">
      <c r="A11" s="1383"/>
      <c r="B11" s="1169"/>
      <c r="C11" s="1171"/>
      <c r="D11" s="1366"/>
      <c r="E11" s="1367"/>
      <c r="F11" s="1301" t="s">
        <v>85</v>
      </c>
      <c r="G11" s="1299"/>
      <c r="H11" s="1299"/>
      <c r="I11" s="1300"/>
      <c r="J11" s="1301" t="s">
        <v>86</v>
      </c>
      <c r="K11" s="1299"/>
      <c r="L11" s="1299"/>
      <c r="M11" s="1300"/>
      <c r="N11" s="1301" t="s">
        <v>98</v>
      </c>
      <c r="O11" s="1299"/>
      <c r="P11" s="1299"/>
      <c r="Q11" s="1300"/>
      <c r="R11" s="1310" t="s">
        <v>97</v>
      </c>
      <c r="S11" s="1311"/>
      <c r="T11" s="1312"/>
      <c r="U11" s="1313"/>
      <c r="V11" s="122" t="s">
        <v>2323</v>
      </c>
      <c r="Z11" s="16"/>
      <c r="AA11" s="16"/>
      <c r="AB11" s="1383"/>
      <c r="AC11" s="1169"/>
      <c r="AD11" s="1171"/>
      <c r="AE11" s="1366"/>
      <c r="AF11" s="1367"/>
      <c r="AG11" s="1301" t="s">
        <v>85</v>
      </c>
      <c r="AH11" s="1299"/>
      <c r="AI11" s="1299"/>
      <c r="AJ11" s="1300"/>
      <c r="AK11" s="1301" t="s">
        <v>86</v>
      </c>
      <c r="AL11" s="1299"/>
      <c r="AM11" s="1299"/>
      <c r="AN11" s="1300"/>
      <c r="AO11" s="1301" t="s">
        <v>98</v>
      </c>
      <c r="AP11" s="1299"/>
      <c r="AQ11" s="1299"/>
      <c r="AR11" s="1300"/>
      <c r="AS11" s="1310" t="s">
        <v>97</v>
      </c>
      <c r="AT11" s="1311"/>
      <c r="AU11" s="1312"/>
      <c r="AV11" s="1313"/>
    </row>
    <row r="12" spans="1:48" ht="14.1" customHeight="1">
      <c r="A12" s="1383"/>
      <c r="B12" s="1169"/>
      <c r="C12" s="1171"/>
      <c r="D12" s="1366"/>
      <c r="E12" s="1367"/>
      <c r="F12" s="1418" t="str">
        <f ca="1">IF($I$6&lt;&gt;"",IF($D$3=$G$3-3,IF(OR(結果1面!$Y$18="○",結果1面!$Y$20="○"),参考3_排出量経年!$L$116,IF(OR(結果1面!$Y$19="○",結果1面!$Y$21="○"),参考3_排出量経年!$T$116,"")),IF($D$3&lt;$G$3-3,"要入力","")),"")</f>
        <v/>
      </c>
      <c r="G12" s="1419"/>
      <c r="H12" s="1419"/>
      <c r="I12" s="1323" t="s">
        <v>104</v>
      </c>
      <c r="J12" s="1432" t="str">
        <f ca="1">IF($I$6&lt;&gt;"",IF($D$3=$G$3-4,IF(OR(結果1面!$Y$18="○",結果1面!$Y$20="○"),参考3_排出量経年!$L$116,IF(OR(結果1面!$Y$19="○",結果1面!$Y$21="○"),参考3_排出量経年!$T$116,"")),IF($D$3&lt;$G$3-4,"要入力","")),"")</f>
        <v/>
      </c>
      <c r="K12" s="1433"/>
      <c r="L12" s="1433"/>
      <c r="M12" s="1323" t="s">
        <v>104</v>
      </c>
      <c r="N12" s="1444"/>
      <c r="O12" s="1445"/>
      <c r="P12" s="1445"/>
      <c r="Q12" s="1380" t="s">
        <v>104</v>
      </c>
      <c r="R12" s="1343" t="str">
        <f>IF(F9="","",IF(J12&lt;&gt;"",(F9-J12)/F9*100,IF(F12&lt;&gt;"",(F9-F12)/F9*100,IF(R9&lt;&gt;"",(F9-R9)/F9*100,IF(N9&lt;&gt;"",(F9-N9)/F9*100,(F9-J9)/F9*100)))))</f>
        <v/>
      </c>
      <c r="S12" s="1344"/>
      <c r="T12" s="1344"/>
      <c r="U12" s="1273" t="s">
        <v>105</v>
      </c>
      <c r="V12" s="174" t="str">
        <f>IF(F9="","",IF(J12&lt;&gt;"",IF(0&lt;=N12-J12,"達成","非達成"),IF(F12&lt;&gt;"",IF(0&lt;=N12-F12,"達成","非達成"),IF(R9&lt;&gt;"",IF(0&lt;=N12-R9,"達成","非達成"),IF(N9&lt;&gt;"",IF(0&lt;=N12-N9,"達成","非達成"),IF(0&lt;=N12-J9,"達成","非達成"))))))</f>
        <v/>
      </c>
      <c r="Z12" s="16"/>
      <c r="AA12" s="16"/>
      <c r="AB12" s="1383"/>
      <c r="AC12" s="1169"/>
      <c r="AD12" s="1171"/>
      <c r="AE12" s="1366"/>
      <c r="AF12" s="1367"/>
      <c r="AG12" s="1375"/>
      <c r="AH12" s="1376"/>
      <c r="AI12" s="1376"/>
      <c r="AJ12" s="1323" t="s">
        <v>103</v>
      </c>
      <c r="AK12" s="1375"/>
      <c r="AL12" s="1376"/>
      <c r="AM12" s="1376"/>
      <c r="AN12" s="1323" t="s">
        <v>103</v>
      </c>
      <c r="AO12" s="1375">
        <v>6940</v>
      </c>
      <c r="AP12" s="1376"/>
      <c r="AQ12" s="1376"/>
      <c r="AR12" s="1380" t="s">
        <v>103</v>
      </c>
      <c r="AS12" s="1343">
        <f>IF(AG9="","",IF(AK12&lt;&gt;"",(AG9-AK12)/AG9*100,IF(AG12&lt;&gt;"",(AG9-AG12)/AG9*100,IF(AS9&lt;&gt;"",(AG9-AS9)/AG9*100,IF(AO9&lt;&gt;"",(AG9-AO9)/AG9*100,(AG9-AK9)/AG9*100)))))</f>
        <v>3.3426183844011144</v>
      </c>
      <c r="AT12" s="1344"/>
      <c r="AU12" s="1344"/>
      <c r="AV12" s="1273" t="s">
        <v>105</v>
      </c>
    </row>
    <row r="13" spans="1:48" ht="14.1" customHeight="1">
      <c r="A13" s="1383"/>
      <c r="B13" s="1332"/>
      <c r="C13" s="1288"/>
      <c r="D13" s="1287"/>
      <c r="E13" s="1288"/>
      <c r="F13" s="1434" t="str">
        <f ca="1">IF($I$6&lt;&gt;"",IF($D$3=$G$3-3,IF(OR(結果1面!$Y$18="○",結果1面!$Y$20="○"),参考3_排出量経年!$L$227,IF(OR(結果1面!$Y$19="○",結果1面!$Y$21="○"),参考3_排出量経年!$T$227,"")),IF($D$3&lt;$G$3-3,"要入力","")),"")</f>
        <v/>
      </c>
      <c r="G13" s="1435"/>
      <c r="H13" s="1435"/>
      <c r="I13" s="1379"/>
      <c r="J13" s="1436" t="str">
        <f ca="1">IF($I$6&lt;&gt;"",IF($D$3=$G$3-4,IF(OR(結果1面!$Y$18="○",結果1面!$Y$20="○"),参考3_排出量経年!$L$227,IF(OR(結果1面!$Y$19="○",結果1面!$Y$21="○"),参考3_排出量経年!$T$227,"")),IF($D$3&lt;$G$3-4,"要入力","")),"")</f>
        <v/>
      </c>
      <c r="K13" s="1437"/>
      <c r="L13" s="1437"/>
      <c r="M13" s="1379"/>
      <c r="N13" s="1438"/>
      <c r="O13" s="1439"/>
      <c r="P13" s="1439"/>
      <c r="Q13" s="1283"/>
      <c r="R13" s="1350" t="str">
        <f>IF(F10="","",IF(J13&lt;&gt;"",(F10-J13)/F10*100,IF(F13&lt;&gt;"",(F10-F13)/F10*100,IF(R10&lt;&gt;"",(F10-R10)/F10*100,IF(N10&lt;&gt;"",(F10-N10)/F10*100,(F10-J10)/F10*100)))))</f>
        <v/>
      </c>
      <c r="S13" s="1351"/>
      <c r="T13" s="1351"/>
      <c r="U13" s="1274"/>
      <c r="V13" s="175" t="str">
        <f>IF(F10="","",IF(J13&lt;&gt;"",IF(0&lt;=N13-J13,"達成","非達成"),IF(F13&lt;&gt;"",IF(0&lt;=N13-F13,"達成","非達成"),IF(R10&lt;&gt;"",IF(0&lt;=N13-R10,"達成","非達成"),IF(N10&lt;&gt;"",IF(0&lt;=N13-N10,"達成","非達成"),IF(0&lt;=N13-J10,"達成","非達成"))))))</f>
        <v/>
      </c>
      <c r="AB13" s="1383"/>
      <c r="AC13" s="1332"/>
      <c r="AD13" s="1288"/>
      <c r="AE13" s="1287"/>
      <c r="AF13" s="1288"/>
      <c r="AG13" s="1377"/>
      <c r="AH13" s="1378"/>
      <c r="AI13" s="1378"/>
      <c r="AJ13" s="1379"/>
      <c r="AK13" s="1377"/>
      <c r="AL13" s="1378"/>
      <c r="AM13" s="1378"/>
      <c r="AN13" s="1379"/>
      <c r="AO13" s="1377">
        <v>6680</v>
      </c>
      <c r="AP13" s="1378"/>
      <c r="AQ13" s="1378"/>
      <c r="AR13" s="1283"/>
      <c r="AS13" s="1350">
        <f>IF(AG10="","",IF(AK13&lt;&gt;"",(AG10-AK13)/AG10*100,IF(AG13&lt;&gt;"",(AG10-AG13)/AG10*100,IF(AS10&lt;&gt;"",(AG10-AS10)/AG10*100,IF(AO10&lt;&gt;"",(AG10-AO10)/AG10*100,(AG10-AK10)/AG10*100)))))</f>
        <v>3.3285094066570187</v>
      </c>
      <c r="AT13" s="1351"/>
      <c r="AU13" s="1351"/>
      <c r="AV13" s="1274"/>
    </row>
    <row r="14" spans="1:48" s="34" customFormat="1" ht="26.25" customHeight="1">
      <c r="A14" s="1383"/>
      <c r="B14" s="1166" t="s">
        <v>211</v>
      </c>
      <c r="C14" s="1167"/>
      <c r="D14" s="1356" t="s">
        <v>80</v>
      </c>
      <c r="E14" s="1357"/>
      <c r="F14" s="1450"/>
      <c r="G14" s="1451"/>
      <c r="H14" s="1451"/>
      <c r="I14" s="1452"/>
      <c r="J14" s="1336" t="s">
        <v>75</v>
      </c>
      <c r="K14" s="1337"/>
      <c r="L14" s="1337"/>
      <c r="M14" s="1361"/>
      <c r="N14" s="9" t="str">
        <f>IF(F14="","",I9&amp;"/")</f>
        <v/>
      </c>
      <c r="O14" s="1420"/>
      <c r="P14" s="1420"/>
      <c r="Q14" s="1421"/>
      <c r="R14" s="1364"/>
      <c r="S14" s="1116"/>
      <c r="T14" s="1116"/>
      <c r="U14" s="1116"/>
      <c r="V14" s="41"/>
      <c r="Z14" s="14"/>
      <c r="AA14" s="14"/>
      <c r="AB14" s="1383"/>
      <c r="AC14" s="1166" t="s">
        <v>211</v>
      </c>
      <c r="AD14" s="1167"/>
      <c r="AE14" s="1356" t="s">
        <v>80</v>
      </c>
      <c r="AF14" s="1357"/>
      <c r="AG14" s="1358" t="s">
        <v>3711</v>
      </c>
      <c r="AH14" s="1359"/>
      <c r="AI14" s="1359"/>
      <c r="AJ14" s="1360"/>
      <c r="AK14" s="1336" t="s">
        <v>75</v>
      </c>
      <c r="AL14" s="1337"/>
      <c r="AM14" s="1337"/>
      <c r="AN14" s="1361"/>
      <c r="AO14" s="9" t="str">
        <f>IF(AG14="","",AJ9&amp;"/")</f>
        <v>tCO2/</v>
      </c>
      <c r="AP14" s="1362" t="s">
        <v>224</v>
      </c>
      <c r="AQ14" s="1362"/>
      <c r="AR14" s="1363"/>
      <c r="AS14" s="1364"/>
      <c r="AT14" s="1116"/>
      <c r="AU14" s="1116"/>
      <c r="AV14" s="1116"/>
    </row>
    <row r="15" spans="1:48" ht="24" customHeight="1" thickBot="1">
      <c r="A15" s="1383"/>
      <c r="B15" s="1169"/>
      <c r="C15" s="1170"/>
      <c r="D15" s="1365" t="s">
        <v>69</v>
      </c>
      <c r="E15" s="1187"/>
      <c r="F15" s="1301" t="s">
        <v>93</v>
      </c>
      <c r="G15" s="1299"/>
      <c r="H15" s="1299"/>
      <c r="I15" s="1300"/>
      <c r="J15" s="1301" t="s">
        <v>87</v>
      </c>
      <c r="K15" s="1299"/>
      <c r="L15" s="1299"/>
      <c r="M15" s="1300"/>
      <c r="N15" s="1301" t="s">
        <v>88</v>
      </c>
      <c r="O15" s="1299"/>
      <c r="P15" s="1299"/>
      <c r="Q15" s="1300"/>
      <c r="R15" s="1356" t="s">
        <v>89</v>
      </c>
      <c r="S15" s="1368"/>
      <c r="T15" s="1368"/>
      <c r="U15" s="1369"/>
      <c r="V15" s="173" t="s">
        <v>4578</v>
      </c>
      <c r="Z15" s="31"/>
      <c r="AA15" s="31"/>
      <c r="AB15" s="1383"/>
      <c r="AC15" s="1169"/>
      <c r="AD15" s="1170"/>
      <c r="AE15" s="1365" t="s">
        <v>69</v>
      </c>
      <c r="AF15" s="1187"/>
      <c r="AG15" s="1301" t="s">
        <v>93</v>
      </c>
      <c r="AH15" s="1299"/>
      <c r="AI15" s="1299"/>
      <c r="AJ15" s="1300"/>
      <c r="AK15" s="1301" t="s">
        <v>87</v>
      </c>
      <c r="AL15" s="1299"/>
      <c r="AM15" s="1299"/>
      <c r="AN15" s="1300"/>
      <c r="AO15" s="1301" t="s">
        <v>88</v>
      </c>
      <c r="AP15" s="1299"/>
      <c r="AQ15" s="1299"/>
      <c r="AR15" s="1300"/>
      <c r="AS15" s="1356" t="s">
        <v>89</v>
      </c>
      <c r="AT15" s="1368"/>
      <c r="AU15" s="1368"/>
      <c r="AV15" s="1369"/>
    </row>
    <row r="16" spans="1:48" ht="14.1" customHeight="1">
      <c r="A16" s="1383"/>
      <c r="B16" s="1169"/>
      <c r="C16" s="1170"/>
      <c r="D16" s="1366"/>
      <c r="E16" s="1367"/>
      <c r="F16" s="1446"/>
      <c r="G16" s="1447"/>
      <c r="H16" s="1370" t="str">
        <f>N14&amp;O14</f>
        <v/>
      </c>
      <c r="I16" s="1371"/>
      <c r="J16" s="1424" t="str">
        <f ca="1">IF(J9=0,0,IFERROR(IF($F$14&lt;&gt;"",IF($D$3=$G$3,IF(OR(結果1面!$Y$18="○",結果1面!$Y$20="○"),ROUND(J9/$V$16,2-INT(LOG(J9/$V$16))),IF(OR(結果1面!$Y$19="○",結果1面!$Y$21="○"),ROUND(J9/$V$16,2-INT(LOG(J9/$V$16))),"")),"要入力"),""),""))</f>
        <v/>
      </c>
      <c r="K16" s="1425"/>
      <c r="L16" s="1282" t="str">
        <f>N14&amp;O14</f>
        <v/>
      </c>
      <c r="M16" s="1314"/>
      <c r="N16" s="1424" t="str">
        <f ca="1">IF(N9=0,0,IFERROR(IF($F$14&lt;&gt;"",IF($D$3=$G$3-1,IF(OR(結果1面!$Y$18="○",結果1面!$Y$20="○"),ROUND(N9/$V$16,2-INT(LOG(N9/$V$16))),IF(OR(結果1面!$Y$19="○",結果1面!$Y$21="○"),ROUND(N9/$V$16,2-INT(LOG(N9/$V$16))),"")),IF($D$3&lt;$G$3-1,"要入力","")),""),""))</f>
        <v/>
      </c>
      <c r="O16" s="1425"/>
      <c r="P16" s="1282" t="str">
        <f>N14&amp;O14</f>
        <v/>
      </c>
      <c r="Q16" s="1314"/>
      <c r="R16" s="1424" t="str">
        <f ca="1">IF(R9=0,0,IFERROR(IF($F$14&lt;&gt;"",IF($D$3=$G$3-2,IF(OR(結果1面!$Y$18="○",結果1面!$Y$20="○"),ROUND(R9/$V$16,2-INT(LOG(R9/$V$16))),IF(OR(結果1面!$Y$19="○",結果1面!$Y$21="○"),ROUND(R9/$V$16,2-INT(LOG(R9/$V$16))),"")),IF($D$3&lt;$G$3-2,"要入力","")),""),""))</f>
        <v/>
      </c>
      <c r="S16" s="1425"/>
      <c r="T16" s="1282" t="str">
        <f>N14&amp;O14</f>
        <v/>
      </c>
      <c r="U16" s="1282"/>
      <c r="V16" s="1267"/>
      <c r="Z16" s="31"/>
      <c r="AA16" s="31"/>
      <c r="AB16" s="1383"/>
      <c r="AC16" s="1169"/>
      <c r="AD16" s="1170"/>
      <c r="AE16" s="1366"/>
      <c r="AF16" s="1367"/>
      <c r="AG16" s="1352">
        <v>0.67400000000000004</v>
      </c>
      <c r="AH16" s="1353"/>
      <c r="AI16" s="1370" t="str">
        <f>AO14&amp;AP14</f>
        <v>tCO2/㎡×時間</v>
      </c>
      <c r="AJ16" s="1371"/>
      <c r="AK16" s="1354">
        <v>0.66400000000000003</v>
      </c>
      <c r="AL16" s="1355"/>
      <c r="AM16" s="1282" t="str">
        <f>AO14&amp;AP14</f>
        <v>tCO2/㎡×時間</v>
      </c>
      <c r="AN16" s="1314"/>
      <c r="AO16" s="1352">
        <v>0.66300000000000003</v>
      </c>
      <c r="AP16" s="1353"/>
      <c r="AQ16" s="1282" t="str">
        <f>AO14&amp;AP14</f>
        <v>tCO2/㎡×時間</v>
      </c>
      <c r="AR16" s="1314"/>
      <c r="AS16" s="1354">
        <v>0.64800000000000002</v>
      </c>
      <c r="AT16" s="1355"/>
      <c r="AU16" s="1282" t="str">
        <f>AO14&amp;AP14</f>
        <v>tCO2/㎡×時間</v>
      </c>
      <c r="AV16" s="1303"/>
    </row>
    <row r="17" spans="1:51" ht="14.1" customHeight="1" thickBot="1">
      <c r="A17" s="1383"/>
      <c r="B17" s="1169"/>
      <c r="C17" s="1170"/>
      <c r="D17" s="1366"/>
      <c r="E17" s="1367"/>
      <c r="F17" s="1426"/>
      <c r="G17" s="1427"/>
      <c r="H17" s="1304"/>
      <c r="I17" s="1315"/>
      <c r="J17" s="1422" t="str">
        <f ca="1">IF(J10=0,0,IFERROR(IF($F$14&lt;&gt;"",IF($D$3=$G$3,IF(OR(結果1面!$Y$18="○",結果1面!$Y$20="○"),ROUND(J10/$V$16,2-INT(LOG(J10/$V$16))),IF(OR(結果1面!$Y$19="○",結果1面!$Y$21="○"),ROUND(J10/$V$16,2-INT(LOG(J10/$V$16))),"")),"要入力"),""),""))</f>
        <v/>
      </c>
      <c r="K17" s="1423"/>
      <c r="L17" s="1304"/>
      <c r="M17" s="1315"/>
      <c r="N17" s="1422" t="str">
        <f ca="1">IF(N10=0,0,IFERROR(IF($F$14&lt;&gt;"",IF($D$3=$G$3-1,IF(OR(結果1面!$Y$18="○",結果1面!$Y$20="○"),ROUND(N10/$V$16,2-INT(LOG(N10/$V$16))),IF(OR(結果1面!$Y$19="○",結果1面!$Y$21="○"),ROUND(N10/$V$16,2-INT(LOG(N10/$V$16))),"")),IF($D$3&lt;$G$3-1,"要入力","")),""),""))</f>
        <v/>
      </c>
      <c r="O17" s="1423"/>
      <c r="P17" s="1304"/>
      <c r="Q17" s="1315"/>
      <c r="R17" s="1422" t="str">
        <f ca="1">IF(R10=0,0,IFERROR(IF($F$14&lt;&gt;"",IF($D$3=$G$3-2,IF(OR(結果1面!$Y$18="○",結果1面!$Y$20="○"),ROUND(R10/$V$16,2-INT(LOG(R10/$V$16))),IF(OR(結果1面!$Y$19="○",結果1面!$Y$21="○"),ROUND(R10/$V$16,2-INT(LOG(R10/$V$16))),"")),IF($D$3&lt;$G$3-2,"要入力","")),""),""))</f>
        <v/>
      </c>
      <c r="S17" s="1423"/>
      <c r="T17" s="1304"/>
      <c r="U17" s="1304"/>
      <c r="V17" s="1268"/>
      <c r="AB17" s="1383"/>
      <c r="AC17" s="1169"/>
      <c r="AD17" s="1170"/>
      <c r="AE17" s="1366"/>
      <c r="AF17" s="1367"/>
      <c r="AG17" s="1372">
        <v>0.64400000000000002</v>
      </c>
      <c r="AH17" s="1373"/>
      <c r="AI17" s="1304"/>
      <c r="AJ17" s="1315"/>
      <c r="AK17" s="1374">
        <v>0.63200000000000001</v>
      </c>
      <c r="AL17" s="1373"/>
      <c r="AM17" s="1304"/>
      <c r="AN17" s="1315"/>
      <c r="AO17" s="1372">
        <v>0.63100000000000001</v>
      </c>
      <c r="AP17" s="1373"/>
      <c r="AQ17" s="1304"/>
      <c r="AR17" s="1315"/>
      <c r="AS17" s="1374">
        <v>0.61599999999999999</v>
      </c>
      <c r="AT17" s="1373"/>
      <c r="AU17" s="1304"/>
      <c r="AV17" s="1305"/>
    </row>
    <row r="18" spans="1:51" ht="24" customHeight="1">
      <c r="A18" s="1383"/>
      <c r="B18" s="1169"/>
      <c r="C18" s="1170"/>
      <c r="D18" s="1366"/>
      <c r="E18" s="1367"/>
      <c r="F18" s="1301" t="s">
        <v>90</v>
      </c>
      <c r="G18" s="1299"/>
      <c r="H18" s="1299"/>
      <c r="I18" s="1300"/>
      <c r="J18" s="1301" t="s">
        <v>91</v>
      </c>
      <c r="K18" s="1299"/>
      <c r="L18" s="1299"/>
      <c r="M18" s="1300"/>
      <c r="N18" s="1301" t="s">
        <v>106</v>
      </c>
      <c r="O18" s="1299"/>
      <c r="P18" s="1299"/>
      <c r="Q18" s="1300"/>
      <c r="R18" s="1310" t="s">
        <v>92</v>
      </c>
      <c r="S18" s="1311"/>
      <c r="T18" s="1312"/>
      <c r="U18" s="1313"/>
      <c r="V18" s="172" t="s">
        <v>2323</v>
      </c>
      <c r="Z18" s="22"/>
      <c r="AA18" s="22"/>
      <c r="AB18" s="1383"/>
      <c r="AC18" s="1169"/>
      <c r="AD18" s="1170"/>
      <c r="AE18" s="1366"/>
      <c r="AF18" s="1367"/>
      <c r="AG18" s="1301" t="s">
        <v>90</v>
      </c>
      <c r="AH18" s="1299"/>
      <c r="AI18" s="1299"/>
      <c r="AJ18" s="1300"/>
      <c r="AK18" s="1301" t="s">
        <v>91</v>
      </c>
      <c r="AL18" s="1299"/>
      <c r="AM18" s="1299"/>
      <c r="AN18" s="1300"/>
      <c r="AO18" s="1301" t="s">
        <v>106</v>
      </c>
      <c r="AP18" s="1299"/>
      <c r="AQ18" s="1299"/>
      <c r="AR18" s="1300"/>
      <c r="AS18" s="1310" t="s">
        <v>92</v>
      </c>
      <c r="AT18" s="1311"/>
      <c r="AU18" s="1312"/>
      <c r="AV18" s="1313"/>
    </row>
    <row r="19" spans="1:51" ht="14.1" customHeight="1">
      <c r="A19" s="1383"/>
      <c r="B19" s="1169"/>
      <c r="C19" s="1170"/>
      <c r="D19" s="1366"/>
      <c r="E19" s="1367"/>
      <c r="F19" s="1424" t="str">
        <f ca="1">IF(F12=0,0,IFERROR(IF($F$14&lt;&gt;"",IF($D$3=$G$3-3,IF(OR(結果1面!$Y$18="○",結果1面!$Y$20="○"),ROUND(F12/$V$16,2-INT(LOG(F12/$V$16))),IF(OR(結果1面!$Y$19="○",結果1面!$Y$21="○"),ROUND(F12/$V$16,2-INT(LOG(F12/$V$16))),"")),IF($D$3&lt;$G$3-3,"要入力","")),""),""))</f>
        <v/>
      </c>
      <c r="G19" s="1425"/>
      <c r="H19" s="1282" t="str">
        <f>N14&amp;O14</f>
        <v/>
      </c>
      <c r="I19" s="1282"/>
      <c r="J19" s="1453" t="str">
        <f ca="1">IF(J12=0,0,IFERROR(IF($F$14&lt;&gt;"",IF($D$3=$G$3-4,IF(OR(結果1面!$Y$18="○",結果1面!$Y$20="○"),ROUND(J12/$V$16,2-INT(LOG(J12/$V$16))),IF(OR(結果1面!$Y$19="○",結果1面!$Y$21="○"),ROUND(J12/$V$16,2-INT(LOG(J12/$V$16))),"")),IF($D$3&lt;$G$3-4,"要入力","")),""),""))</f>
        <v/>
      </c>
      <c r="K19" s="1454"/>
      <c r="L19" s="1282" t="str">
        <f>N14&amp;O14</f>
        <v/>
      </c>
      <c r="M19" s="1282"/>
      <c r="N19" s="1446"/>
      <c r="O19" s="1447"/>
      <c r="P19" s="1282" t="str">
        <f>N14&amp;O14</f>
        <v/>
      </c>
      <c r="Q19" s="1282"/>
      <c r="R19" s="1343" t="str">
        <f>IF(F16="","",IF(J19&lt;&gt;"",(F16-J19)/F16*100,IF(F19&lt;&gt;"",(F16-F19)/F16*100,IF(R16&lt;&gt;"",(F16-R16)/F16*100,IF(N16&lt;&gt;"",(F16-N16)/F16*100,(F16-J16)/F16*100)))))</f>
        <v/>
      </c>
      <c r="S19" s="1344"/>
      <c r="T19" s="1344"/>
      <c r="U19" s="1273" t="s">
        <v>107</v>
      </c>
      <c r="V19" s="174" t="str">
        <f>IF(F16="","",IF(J19&lt;&gt;"",IF(0&lt;=N19-J19,"達成","非達成"),IF(F19&lt;&gt;"",IF(0&lt;=N19-F19,"達成","非達成"),IF(R16&lt;&gt;"",IF(0&lt;=N19-R16,"達成","非達成"),IF(N16&lt;&gt;"",IF(0&lt;=N19-N16,"達成","非達成"),IF(0&lt;=N19-J16,"達成","非達成"))))))</f>
        <v/>
      </c>
      <c r="Z19" s="22"/>
      <c r="AA19" s="22"/>
      <c r="AB19" s="1383"/>
      <c r="AC19" s="1169"/>
      <c r="AD19" s="1170"/>
      <c r="AE19" s="1366"/>
      <c r="AF19" s="1367"/>
      <c r="AG19" s="1352"/>
      <c r="AH19" s="1353"/>
      <c r="AI19" s="1282" t="str">
        <f>AO14&amp;AP14</f>
        <v>tCO2/㎡×時間</v>
      </c>
      <c r="AJ19" s="1282"/>
      <c r="AK19" s="1354"/>
      <c r="AL19" s="1355"/>
      <c r="AM19" s="1282" t="str">
        <f>AO14&amp;AP14</f>
        <v>tCO2/㎡×時間</v>
      </c>
      <c r="AN19" s="1282"/>
      <c r="AO19" s="1352">
        <v>0.65400000000000003</v>
      </c>
      <c r="AP19" s="1353"/>
      <c r="AQ19" s="1282" t="str">
        <f>AO14&amp;AP14</f>
        <v>tCO2/㎡×時間</v>
      </c>
      <c r="AR19" s="1282"/>
      <c r="AS19" s="1343">
        <f>IF(AG16="","",IF(AK19&lt;&gt;"",(AG16-AK19)/AG16*100,IF(AG19&lt;&gt;"",(AG16-AG19)/AG16*100,IF(AS16&lt;&gt;"",(AG16-AS16)/AG16*100,IF(AO16&lt;&gt;"",(AG16-AO16)/AG16*100,(AG16-AK16)/AG16*100)))))</f>
        <v>3.8575667655786385</v>
      </c>
      <c r="AT19" s="1344"/>
      <c r="AU19" s="1344"/>
      <c r="AV19" s="1273" t="s">
        <v>105</v>
      </c>
    </row>
    <row r="20" spans="1:51" ht="14.1" customHeight="1">
      <c r="A20" s="1383"/>
      <c r="B20" s="1332"/>
      <c r="C20" s="1333"/>
      <c r="D20" s="1287"/>
      <c r="E20" s="1288"/>
      <c r="F20" s="1422" t="str">
        <f ca="1">IF(F13=0,0,IFERROR(IF($F$14&lt;&gt;"",IF($D$3=$G$3-3,IF(OR(結果1面!$Y$18="○",結果1面!$Y$20="○"),ROUND(F13/$V$16,2-INT(LOG(F13/$V$16))),IF(OR(結果1面!$Y$19="○",結果1面!$Y$21="○"),ROUND(F13/$V$16,2-INT(LOG(F13/$V$16))),"")),IF($D$3&lt;$G$3-3,"要入力","")),""),""))</f>
        <v/>
      </c>
      <c r="G20" s="1423"/>
      <c r="H20" s="1283"/>
      <c r="I20" s="1283"/>
      <c r="J20" s="1440" t="str">
        <f ca="1">IF(J13=0,0,IFERROR(IF($F$14&lt;&gt;"",IF($D$3=$G$3-4,IF(OR(結果1面!$Y$18="○",結果1面!$Y$20="○"),ROUND(J13/$V$16,2-INT(LOG(J13/$V$16))),IF(OR(結果1面!$Y$19="○",結果1面!$Y$21="○"),ROUND(J13/$V$16,2-INT(LOG(J13/$V$16))),"")),IF($D$3&lt;$G$3-4,"要入力","")),""),""))</f>
        <v/>
      </c>
      <c r="K20" s="1441"/>
      <c r="L20" s="1283"/>
      <c r="M20" s="1283"/>
      <c r="N20" s="1430"/>
      <c r="O20" s="1431"/>
      <c r="P20" s="1283"/>
      <c r="Q20" s="1283"/>
      <c r="R20" s="1350" t="str">
        <f>IF(F17="","",IF(J20&lt;&gt;"",(F17-J20)/F17*100,IF(F20&lt;&gt;"",(F17-F20)/F17*100,IF(R17&lt;&gt;"",(F17-R17)/F17*100,IF(N17&lt;&gt;"",(F17-N17)/F17*100,(F17-J17)/F17*100)))))</f>
        <v/>
      </c>
      <c r="S20" s="1351"/>
      <c r="T20" s="1351"/>
      <c r="U20" s="1274"/>
      <c r="V20" s="175" t="str">
        <f>IF(F17="","",IF(J20&lt;&gt;"",IF(0&lt;=N20-J20,"達成","非達成"),IF(F20&lt;&gt;"",IF(0&lt;=N20-F20,"達成","非達成"),IF(R17&lt;&gt;"",IF(0&lt;=N20-R17,"達成","非達成"),IF(N17&lt;&gt;"",IF(0&lt;=N20-N17,"達成","非達成"),IF(0&lt;=N20-J17,"達成","非達成"))))))</f>
        <v/>
      </c>
      <c r="Z20" s="22"/>
      <c r="AA20" s="22"/>
      <c r="AB20" s="1383"/>
      <c r="AC20" s="1332"/>
      <c r="AD20" s="1333"/>
      <c r="AE20" s="1287"/>
      <c r="AF20" s="1288"/>
      <c r="AG20" s="1345"/>
      <c r="AH20" s="1346"/>
      <c r="AI20" s="1283"/>
      <c r="AJ20" s="1283"/>
      <c r="AK20" s="1347"/>
      <c r="AL20" s="1348"/>
      <c r="AM20" s="1283"/>
      <c r="AN20" s="1283"/>
      <c r="AO20" s="1345">
        <v>0.625</v>
      </c>
      <c r="AP20" s="1349"/>
      <c r="AQ20" s="1283"/>
      <c r="AR20" s="1283"/>
      <c r="AS20" s="1350">
        <f>IF(AG17="","",IF(AK20&lt;&gt;"",(AG17-AK20)/AG17*100,IF(AG20&lt;&gt;"",(AG17-AG20)/AG17*100,IF(AS17&lt;&gt;"",(AG17-AS17)/AG17*100,IF(AO17&lt;&gt;"",(AG17-AO17)/AG17*100,(AG17-AK17)/AG17*100)))))</f>
        <v>4.3478260869565259</v>
      </c>
      <c r="AT20" s="1351"/>
      <c r="AU20" s="1351"/>
      <c r="AV20" s="1274"/>
    </row>
    <row r="21" spans="1:51" s="34" customFormat="1" ht="243.75" customHeight="1">
      <c r="A21" s="1383"/>
      <c r="B21" s="1325" t="s">
        <v>79</v>
      </c>
      <c r="C21" s="1326"/>
      <c r="D21" s="1326"/>
      <c r="E21" s="1327"/>
      <c r="F21" s="1455" t="s">
        <v>3723</v>
      </c>
      <c r="G21" s="1456"/>
      <c r="H21" s="1456"/>
      <c r="I21" s="1456"/>
      <c r="J21" s="1456"/>
      <c r="K21" s="1456"/>
      <c r="L21" s="1456"/>
      <c r="M21" s="1456"/>
      <c r="N21" s="1456"/>
      <c r="O21" s="1456"/>
      <c r="P21" s="1456"/>
      <c r="Q21" s="1456"/>
      <c r="R21" s="1456"/>
      <c r="S21" s="1456"/>
      <c r="T21" s="1456"/>
      <c r="U21" s="1457"/>
      <c r="V21" s="41"/>
      <c r="Z21" s="22"/>
      <c r="AA21" s="22"/>
      <c r="AB21" s="1383"/>
      <c r="AC21" s="1325" t="s">
        <v>79</v>
      </c>
      <c r="AD21" s="1326"/>
      <c r="AE21" s="1326"/>
      <c r="AF21" s="1327"/>
      <c r="AG21" s="1328" t="s">
        <v>3720</v>
      </c>
      <c r="AH21" s="1329"/>
      <c r="AI21" s="1329"/>
      <c r="AJ21" s="1329"/>
      <c r="AK21" s="1329"/>
      <c r="AL21" s="1329"/>
      <c r="AM21" s="1329"/>
      <c r="AN21" s="1329"/>
      <c r="AO21" s="1329"/>
      <c r="AP21" s="1329"/>
      <c r="AQ21" s="1329"/>
      <c r="AR21" s="1329"/>
      <c r="AS21" s="1329"/>
      <c r="AT21" s="1329"/>
      <c r="AU21" s="1329"/>
      <c r="AV21" s="1330"/>
    </row>
    <row r="22" spans="1:51" s="34" customFormat="1" ht="7.5" customHeight="1">
      <c r="A22" s="1383"/>
      <c r="B22" s="1331"/>
      <c r="C22" s="1331"/>
      <c r="D22" s="1331"/>
      <c r="E22" s="1331"/>
      <c r="F22" s="1331"/>
      <c r="G22" s="1331"/>
      <c r="H22" s="1331"/>
      <c r="I22" s="1331"/>
      <c r="J22" s="1331"/>
      <c r="K22" s="1331"/>
      <c r="L22" s="1331"/>
      <c r="M22" s="1331"/>
      <c r="N22" s="1331"/>
      <c r="O22" s="1331"/>
      <c r="P22" s="1331"/>
      <c r="Q22" s="1331"/>
      <c r="R22" s="1331"/>
      <c r="S22" s="1331"/>
      <c r="T22" s="1331"/>
      <c r="U22" s="1331"/>
      <c r="V22" s="41"/>
      <c r="Z22" s="22"/>
      <c r="AA22" s="22"/>
      <c r="AB22" s="1383"/>
      <c r="AC22" s="1331"/>
      <c r="AD22" s="1331"/>
      <c r="AE22" s="1331"/>
      <c r="AF22" s="1331"/>
      <c r="AG22" s="1331"/>
      <c r="AH22" s="1331"/>
      <c r="AI22" s="1331"/>
      <c r="AJ22" s="1331"/>
      <c r="AK22" s="1331"/>
      <c r="AL22" s="1331"/>
      <c r="AM22" s="1331"/>
      <c r="AN22" s="1331"/>
      <c r="AO22" s="1331"/>
      <c r="AP22" s="1331"/>
      <c r="AQ22" s="1331"/>
      <c r="AR22" s="1331"/>
      <c r="AS22" s="1331"/>
      <c r="AT22" s="1331"/>
      <c r="AU22" s="1331"/>
      <c r="AV22" s="1331"/>
    </row>
    <row r="23" spans="1:51" ht="21.75" customHeight="1">
      <c r="A23" s="1383"/>
      <c r="B23" s="1166" t="s">
        <v>212</v>
      </c>
      <c r="C23" s="1167"/>
      <c r="D23" s="1248" t="s">
        <v>60</v>
      </c>
      <c r="E23" s="1168"/>
      <c r="F23" s="1336" t="s">
        <v>84</v>
      </c>
      <c r="G23" s="1337"/>
      <c r="H23" s="1337"/>
      <c r="I23" s="1338"/>
      <c r="J23" s="1339" t="s">
        <v>81</v>
      </c>
      <c r="K23" s="1340"/>
      <c r="L23" s="1340"/>
      <c r="M23" s="1341"/>
      <c r="N23" s="1339" t="s">
        <v>82</v>
      </c>
      <c r="O23" s="1340"/>
      <c r="P23" s="1340"/>
      <c r="Q23" s="1341"/>
      <c r="R23" s="1339" t="s">
        <v>83</v>
      </c>
      <c r="S23" s="1340"/>
      <c r="T23" s="1340"/>
      <c r="U23" s="1342"/>
      <c r="Z23" s="22"/>
      <c r="AA23" s="22"/>
      <c r="AB23" s="1383"/>
      <c r="AC23" s="1166" t="s">
        <v>212</v>
      </c>
      <c r="AD23" s="1167"/>
      <c r="AE23" s="1248" t="s">
        <v>60</v>
      </c>
      <c r="AF23" s="1168"/>
      <c r="AG23" s="1336" t="s">
        <v>84</v>
      </c>
      <c r="AH23" s="1337"/>
      <c r="AI23" s="1337"/>
      <c r="AJ23" s="1338"/>
      <c r="AK23" s="1339" t="s">
        <v>81</v>
      </c>
      <c r="AL23" s="1340"/>
      <c r="AM23" s="1340"/>
      <c r="AN23" s="1341"/>
      <c r="AO23" s="1339" t="s">
        <v>82</v>
      </c>
      <c r="AP23" s="1340"/>
      <c r="AQ23" s="1340"/>
      <c r="AR23" s="1341"/>
      <c r="AS23" s="1339" t="s">
        <v>83</v>
      </c>
      <c r="AT23" s="1340"/>
      <c r="AU23" s="1340"/>
      <c r="AV23" s="1342"/>
    </row>
    <row r="24" spans="1:51" ht="14.1" customHeight="1">
      <c r="A24" s="1383"/>
      <c r="B24" s="1169"/>
      <c r="C24" s="1170"/>
      <c r="D24" s="1286"/>
      <c r="E24" s="1171"/>
      <c r="F24" s="1442"/>
      <c r="G24" s="1443"/>
      <c r="H24" s="1443"/>
      <c r="I24" s="1323" t="s">
        <v>103</v>
      </c>
      <c r="J24" s="1442"/>
      <c r="K24" s="1443"/>
      <c r="L24" s="1443"/>
      <c r="M24" s="1323" t="s">
        <v>103</v>
      </c>
      <c r="N24" s="1442"/>
      <c r="O24" s="1443"/>
      <c r="P24" s="1443"/>
      <c r="Q24" s="1323" t="s">
        <v>103</v>
      </c>
      <c r="R24" s="1442"/>
      <c r="S24" s="1443"/>
      <c r="T24" s="1443"/>
      <c r="U24" s="1273" t="s">
        <v>103</v>
      </c>
      <c r="Y24" s="120" t="s">
        <v>3615</v>
      </c>
      <c r="AB24" s="1383"/>
      <c r="AC24" s="1169"/>
      <c r="AD24" s="1170"/>
      <c r="AE24" s="1286"/>
      <c r="AF24" s="1171"/>
      <c r="AG24" s="1316">
        <v>22400</v>
      </c>
      <c r="AH24" s="1317"/>
      <c r="AI24" s="1317"/>
      <c r="AJ24" s="1323" t="s">
        <v>103</v>
      </c>
      <c r="AK24" s="1316">
        <v>22200</v>
      </c>
      <c r="AL24" s="1317"/>
      <c r="AM24" s="1317"/>
      <c r="AN24" s="1323" t="s">
        <v>103</v>
      </c>
      <c r="AO24" s="1316">
        <v>22000</v>
      </c>
      <c r="AP24" s="1317"/>
      <c r="AQ24" s="1317"/>
      <c r="AR24" s="1323" t="s">
        <v>103</v>
      </c>
      <c r="AS24" s="1316">
        <v>21500</v>
      </c>
      <c r="AT24" s="1317"/>
      <c r="AU24" s="1317"/>
      <c r="AV24" s="1273" t="s">
        <v>103</v>
      </c>
    </row>
    <row r="25" spans="1:51" ht="14.1" customHeight="1">
      <c r="A25" s="1383"/>
      <c r="B25" s="1169"/>
      <c r="C25" s="1170"/>
      <c r="D25" s="1286"/>
      <c r="E25" s="1171"/>
      <c r="F25" s="1410"/>
      <c r="G25" s="1411"/>
      <c r="H25" s="1411"/>
      <c r="I25" s="1324"/>
      <c r="J25" s="1410"/>
      <c r="K25" s="1411"/>
      <c r="L25" s="1411"/>
      <c r="M25" s="1324"/>
      <c r="N25" s="1410"/>
      <c r="O25" s="1411"/>
      <c r="P25" s="1411"/>
      <c r="Q25" s="1324"/>
      <c r="R25" s="1410"/>
      <c r="S25" s="1411"/>
      <c r="T25" s="1411"/>
      <c r="U25" s="1318"/>
      <c r="Y25" s="120" t="s">
        <v>3616</v>
      </c>
      <c r="AB25" s="1383"/>
      <c r="AC25" s="1169"/>
      <c r="AD25" s="1170"/>
      <c r="AE25" s="1286"/>
      <c r="AF25" s="1171"/>
      <c r="AG25" s="1319">
        <v>21500</v>
      </c>
      <c r="AH25" s="1320"/>
      <c r="AI25" s="1320"/>
      <c r="AJ25" s="1324"/>
      <c r="AK25" s="1319">
        <v>21300</v>
      </c>
      <c r="AL25" s="1320"/>
      <c r="AM25" s="1320"/>
      <c r="AN25" s="1324"/>
      <c r="AO25" s="1319">
        <v>21100</v>
      </c>
      <c r="AP25" s="1320"/>
      <c r="AQ25" s="1320"/>
      <c r="AR25" s="1324"/>
      <c r="AS25" s="1319">
        <v>20600</v>
      </c>
      <c r="AT25" s="1320"/>
      <c r="AU25" s="1320"/>
      <c r="AV25" s="1318"/>
    </row>
    <row r="26" spans="1:51" ht="21.75" customHeight="1">
      <c r="A26" s="1383"/>
      <c r="B26" s="1169"/>
      <c r="C26" s="1170"/>
      <c r="D26" s="1286"/>
      <c r="E26" s="1171"/>
      <c r="F26" s="1301" t="s">
        <v>85</v>
      </c>
      <c r="G26" s="1299"/>
      <c r="H26" s="1299"/>
      <c r="I26" s="1300"/>
      <c r="J26" s="1301" t="s">
        <v>86</v>
      </c>
      <c r="K26" s="1299"/>
      <c r="L26" s="1299"/>
      <c r="M26" s="1300"/>
      <c r="N26" s="1301" t="s">
        <v>98</v>
      </c>
      <c r="O26" s="1299"/>
      <c r="P26" s="1299"/>
      <c r="Q26" s="1300"/>
      <c r="R26" s="1310" t="s">
        <v>97</v>
      </c>
      <c r="S26" s="1311"/>
      <c r="T26" s="1312"/>
      <c r="U26" s="1313"/>
      <c r="V26" s="122" t="s">
        <v>2323</v>
      </c>
      <c r="AB26" s="1383"/>
      <c r="AC26" s="1169"/>
      <c r="AD26" s="1170"/>
      <c r="AE26" s="1286"/>
      <c r="AF26" s="1171"/>
      <c r="AG26" s="1301" t="s">
        <v>85</v>
      </c>
      <c r="AH26" s="1299"/>
      <c r="AI26" s="1299"/>
      <c r="AJ26" s="1300"/>
      <c r="AK26" s="1301" t="s">
        <v>86</v>
      </c>
      <c r="AL26" s="1299"/>
      <c r="AM26" s="1299"/>
      <c r="AN26" s="1300"/>
      <c r="AO26" s="1301" t="s">
        <v>98</v>
      </c>
      <c r="AP26" s="1299"/>
      <c r="AQ26" s="1299"/>
      <c r="AR26" s="1300"/>
      <c r="AS26" s="1310" t="s">
        <v>97</v>
      </c>
      <c r="AT26" s="1311"/>
      <c r="AU26" s="1312"/>
      <c r="AV26" s="1313"/>
    </row>
    <row r="27" spans="1:51" ht="14.1" customHeight="1">
      <c r="A27" s="1383"/>
      <c r="B27" s="1169"/>
      <c r="C27" s="1170"/>
      <c r="D27" s="1286"/>
      <c r="E27" s="1171"/>
      <c r="F27" s="1442"/>
      <c r="G27" s="1443"/>
      <c r="H27" s="1443"/>
      <c r="I27" s="1323" t="s">
        <v>104</v>
      </c>
      <c r="J27" s="1442"/>
      <c r="K27" s="1443"/>
      <c r="L27" s="1443"/>
      <c r="M27" s="1323" t="s">
        <v>104</v>
      </c>
      <c r="N27" s="1442"/>
      <c r="O27" s="1443"/>
      <c r="P27" s="1443"/>
      <c r="Q27" s="1323" t="s">
        <v>104</v>
      </c>
      <c r="R27" s="1271" t="str">
        <f>IF(F24="","",IF(J27&lt;&gt;"",(F24-J27)/F24*100,IF(F27&lt;&gt;"",(F24-F27)/F24*100,IF(R24&lt;&gt;"",(F24-R24)/F24*100,IF(N24&lt;&gt;"",(F24-N24)/F24*100,(F24-J24)/F24*100)))))</f>
        <v/>
      </c>
      <c r="S27" s="1272"/>
      <c r="T27" s="1272"/>
      <c r="U27" s="1273" t="s">
        <v>105</v>
      </c>
      <c r="V27" s="174" t="str">
        <f>IF(F24="","",IF(J27&lt;&gt;"",IF(0&lt;=N27-J27,"達成","非達成"),IF(F27&lt;&gt;"",IF(0&lt;=N27-F27,"達成","非達成"),IF(R24&lt;&gt;"",IF(0&lt;=N27-R24,"達成","非達成"),IF(N24&lt;&gt;"",IF(0&lt;=N27-N24,"達成","非達成"),IF(0&lt;=N27-J24,"達成","非達成"))))))</f>
        <v/>
      </c>
      <c r="AB27" s="1383"/>
      <c r="AC27" s="1169"/>
      <c r="AD27" s="1170"/>
      <c r="AE27" s="1286"/>
      <c r="AF27" s="1171"/>
      <c r="AG27" s="1316"/>
      <c r="AH27" s="1317"/>
      <c r="AI27" s="1317"/>
      <c r="AJ27" s="1323" t="s">
        <v>103</v>
      </c>
      <c r="AK27" s="1316"/>
      <c r="AL27" s="1317"/>
      <c r="AM27" s="1317"/>
      <c r="AN27" s="1323" t="s">
        <v>103</v>
      </c>
      <c r="AO27" s="1316">
        <v>21500</v>
      </c>
      <c r="AP27" s="1317"/>
      <c r="AQ27" s="1317"/>
      <c r="AR27" s="1323" t="s">
        <v>103</v>
      </c>
      <c r="AS27" s="1271">
        <f>IF(AG24="","",IF(AK27&lt;&gt;"",(AG24-AK27)/AG24*100,IF(AG27&lt;&gt;"",(AG24-AG27)/AG24*100,IF(AS24&lt;&gt;"",(AG24-AS24)/AG24*100,IF(AO24&lt;&gt;"",(AG24-AO24)/AG24*100,(AG24-AK24)/AG24*100)))))</f>
        <v>4.0178571428571432</v>
      </c>
      <c r="AT27" s="1272"/>
      <c r="AU27" s="1272"/>
      <c r="AV27" s="1273" t="s">
        <v>105</v>
      </c>
    </row>
    <row r="28" spans="1:51" ht="14.1" customHeight="1">
      <c r="A28" s="1383"/>
      <c r="B28" s="1169"/>
      <c r="C28" s="1170"/>
      <c r="D28" s="1334"/>
      <c r="E28" s="1335"/>
      <c r="F28" s="1410"/>
      <c r="G28" s="1411"/>
      <c r="H28" s="1411"/>
      <c r="I28" s="1324"/>
      <c r="J28" s="1410"/>
      <c r="K28" s="1411"/>
      <c r="L28" s="1411"/>
      <c r="M28" s="1324"/>
      <c r="N28" s="1410"/>
      <c r="O28" s="1411"/>
      <c r="P28" s="1411"/>
      <c r="Q28" s="1324"/>
      <c r="R28" s="1321" t="str">
        <f>IF(F25="","",IF(J28&lt;&gt;"",(F25-J28)/F25*100,IF(F28&lt;&gt;"",(F25-F28)/F25*100,IF(R25&lt;&gt;"",(F25-R25)/F25*100,IF(N25&lt;&gt;"",(F25-N25)/F25*100,(F25-J25)/F25*100)))))</f>
        <v/>
      </c>
      <c r="S28" s="1322"/>
      <c r="T28" s="1322"/>
      <c r="U28" s="1318"/>
      <c r="V28" s="175" t="str">
        <f>IF(F25="","",IF(J28&lt;&gt;"",IF(0&lt;=N28-J28,"達成","非達成"),IF(F28&lt;&gt;"",IF(0&lt;=N28-F28,"達成","非達成"),IF(R25&lt;&gt;"",IF(0&lt;=N28-R25,"達成","非達成"),IF(N25&lt;&gt;"",IF(0&lt;=N28-N25,"達成","非達成"),IF(0&lt;=N28-J25,"達成","非達成"))))))</f>
        <v/>
      </c>
      <c r="AB28" s="1383"/>
      <c r="AC28" s="1169"/>
      <c r="AD28" s="1170"/>
      <c r="AE28" s="1334"/>
      <c r="AF28" s="1335"/>
      <c r="AG28" s="1319"/>
      <c r="AH28" s="1320"/>
      <c r="AI28" s="1320"/>
      <c r="AJ28" s="1324"/>
      <c r="AK28" s="1319"/>
      <c r="AL28" s="1320"/>
      <c r="AM28" s="1320"/>
      <c r="AN28" s="1324"/>
      <c r="AO28" s="1319">
        <v>20700</v>
      </c>
      <c r="AP28" s="1320"/>
      <c r="AQ28" s="1320"/>
      <c r="AR28" s="1324"/>
      <c r="AS28" s="1321">
        <f>IF(AG25="","",IF(AK28&lt;&gt;"",(AG25-AK28)/AG25*100,IF(AG28&lt;&gt;"",(AG25-AG28)/AG25*100,IF(AS25&lt;&gt;"",(AG25-AS25)/AG25*100,IF(AO25&lt;&gt;"",(AG25-AO25)/AG25*100,(AG25-AK25)/AG25*100)))))</f>
        <v>4.1860465116279073</v>
      </c>
      <c r="AT28" s="1322"/>
      <c r="AU28" s="1322"/>
      <c r="AV28" s="1318"/>
    </row>
    <row r="29" spans="1:51" s="34" customFormat="1" ht="15" customHeight="1">
      <c r="A29" s="1383"/>
      <c r="B29" s="1169"/>
      <c r="C29" s="1170"/>
      <c r="D29" s="1185" t="s">
        <v>69</v>
      </c>
      <c r="E29" s="1285"/>
      <c r="F29" s="1289" t="s">
        <v>80</v>
      </c>
      <c r="G29" s="1289"/>
      <c r="H29" s="1290"/>
      <c r="I29" s="1291"/>
      <c r="J29" s="1462"/>
      <c r="K29" s="1463"/>
      <c r="L29" s="1463"/>
      <c r="M29" s="1464"/>
      <c r="N29" s="1295" t="s">
        <v>75</v>
      </c>
      <c r="O29" s="1289"/>
      <c r="P29" s="1289"/>
      <c r="Q29" s="1296"/>
      <c r="R29" s="10" t="str">
        <f>IF(J29="","",I27&amp;"/")</f>
        <v/>
      </c>
      <c r="S29" s="1458"/>
      <c r="T29" s="1458"/>
      <c r="U29" s="1459"/>
      <c r="V29" s="41"/>
      <c r="X29" s="41"/>
      <c r="Z29" s="14"/>
      <c r="AA29" s="14"/>
      <c r="AB29" s="1383"/>
      <c r="AC29" s="1169"/>
      <c r="AD29" s="1170"/>
      <c r="AE29" s="1185" t="s">
        <v>69</v>
      </c>
      <c r="AF29" s="1285"/>
      <c r="AG29" s="1289" t="s">
        <v>80</v>
      </c>
      <c r="AH29" s="1289"/>
      <c r="AI29" s="1290"/>
      <c r="AJ29" s="1291"/>
      <c r="AK29" s="1292" t="s">
        <v>228</v>
      </c>
      <c r="AL29" s="1293"/>
      <c r="AM29" s="1293"/>
      <c r="AN29" s="1294"/>
      <c r="AO29" s="1295" t="s">
        <v>75</v>
      </c>
      <c r="AP29" s="1289"/>
      <c r="AQ29" s="1289"/>
      <c r="AR29" s="1296"/>
      <c r="AS29" s="10" t="str">
        <f>IF(AK29="","",AJ27&amp;"/")</f>
        <v>tCO2/</v>
      </c>
      <c r="AT29" s="1297" t="s">
        <v>229</v>
      </c>
      <c r="AU29" s="1297"/>
      <c r="AV29" s="1298"/>
      <c r="AY29" s="41"/>
    </row>
    <row r="30" spans="1:51" ht="21.75" customHeight="1">
      <c r="A30" s="1383"/>
      <c r="B30" s="1169"/>
      <c r="C30" s="1170"/>
      <c r="D30" s="1286"/>
      <c r="E30" s="1171"/>
      <c r="F30" s="1299" t="s">
        <v>93</v>
      </c>
      <c r="G30" s="1299"/>
      <c r="H30" s="1299"/>
      <c r="I30" s="1300"/>
      <c r="J30" s="1301" t="s">
        <v>87</v>
      </c>
      <c r="K30" s="1299"/>
      <c r="L30" s="1299"/>
      <c r="M30" s="1300"/>
      <c r="N30" s="1301" t="s">
        <v>88</v>
      </c>
      <c r="O30" s="1299"/>
      <c r="P30" s="1299"/>
      <c r="Q30" s="1300"/>
      <c r="R30" s="1301" t="s">
        <v>89</v>
      </c>
      <c r="S30" s="1299"/>
      <c r="T30" s="1299"/>
      <c r="U30" s="1302"/>
      <c r="AB30" s="1383"/>
      <c r="AC30" s="1169"/>
      <c r="AD30" s="1170"/>
      <c r="AE30" s="1286"/>
      <c r="AF30" s="1171"/>
      <c r="AG30" s="1299" t="s">
        <v>93</v>
      </c>
      <c r="AH30" s="1299"/>
      <c r="AI30" s="1299"/>
      <c r="AJ30" s="1300"/>
      <c r="AK30" s="1301" t="s">
        <v>87</v>
      </c>
      <c r="AL30" s="1299"/>
      <c r="AM30" s="1299"/>
      <c r="AN30" s="1300"/>
      <c r="AO30" s="1301" t="s">
        <v>88</v>
      </c>
      <c r="AP30" s="1299"/>
      <c r="AQ30" s="1299"/>
      <c r="AR30" s="1300"/>
      <c r="AS30" s="1301" t="s">
        <v>89</v>
      </c>
      <c r="AT30" s="1299"/>
      <c r="AU30" s="1299"/>
      <c r="AV30" s="1302"/>
    </row>
    <row r="31" spans="1:51" ht="14.1" customHeight="1">
      <c r="A31" s="1383"/>
      <c r="B31" s="1169"/>
      <c r="C31" s="1170"/>
      <c r="D31" s="1286"/>
      <c r="E31" s="1171"/>
      <c r="F31" s="1417"/>
      <c r="G31" s="1417"/>
      <c r="H31" s="1282" t="str">
        <f>R29&amp;S29</f>
        <v/>
      </c>
      <c r="I31" s="1314"/>
      <c r="J31" s="1405"/>
      <c r="K31" s="1406"/>
      <c r="L31" s="1282" t="str">
        <f>R29&amp;S29</f>
        <v/>
      </c>
      <c r="M31" s="1314"/>
      <c r="N31" s="1416"/>
      <c r="O31" s="1417"/>
      <c r="P31" s="1282" t="str">
        <f>R29&amp;S29</f>
        <v/>
      </c>
      <c r="Q31" s="1314"/>
      <c r="R31" s="1405"/>
      <c r="S31" s="1406"/>
      <c r="T31" s="1282" t="str">
        <f>R29&amp;S29</f>
        <v/>
      </c>
      <c r="U31" s="1303"/>
      <c r="AB31" s="1383"/>
      <c r="AC31" s="1169"/>
      <c r="AD31" s="1170"/>
      <c r="AE31" s="1286"/>
      <c r="AF31" s="1171"/>
      <c r="AG31" s="1281">
        <v>0.67400000000000004</v>
      </c>
      <c r="AH31" s="1281"/>
      <c r="AI31" s="1282" t="str">
        <f>AS29&amp;AT29</f>
        <v>tCO2/トン</v>
      </c>
      <c r="AJ31" s="1314"/>
      <c r="AK31" s="1269">
        <v>0.65900000000000003</v>
      </c>
      <c r="AL31" s="1270"/>
      <c r="AM31" s="1282" t="str">
        <f>AS29&amp;AT29</f>
        <v>tCO2/トン</v>
      </c>
      <c r="AN31" s="1314"/>
      <c r="AO31" s="1284">
        <v>0.66100000000000003</v>
      </c>
      <c r="AP31" s="1281"/>
      <c r="AQ31" s="1282" t="str">
        <f>AS29&amp;AT29</f>
        <v>tCO2/トン</v>
      </c>
      <c r="AR31" s="1314"/>
      <c r="AS31" s="1269">
        <v>0.65200000000000002</v>
      </c>
      <c r="AT31" s="1270"/>
      <c r="AU31" s="1282" t="str">
        <f>AS29&amp;AT29</f>
        <v>tCO2/トン</v>
      </c>
      <c r="AV31" s="1303"/>
    </row>
    <row r="32" spans="1:51" ht="14.1" customHeight="1">
      <c r="A32" s="1383"/>
      <c r="B32" s="1169"/>
      <c r="C32" s="1170"/>
      <c r="D32" s="1286"/>
      <c r="E32" s="1171"/>
      <c r="F32" s="1460"/>
      <c r="G32" s="1461"/>
      <c r="H32" s="1304"/>
      <c r="I32" s="1315"/>
      <c r="J32" s="1407"/>
      <c r="K32" s="1408"/>
      <c r="L32" s="1304"/>
      <c r="M32" s="1315"/>
      <c r="N32" s="1460"/>
      <c r="O32" s="1408"/>
      <c r="P32" s="1304"/>
      <c r="Q32" s="1315"/>
      <c r="R32" s="1407"/>
      <c r="S32" s="1408"/>
      <c r="T32" s="1304"/>
      <c r="U32" s="1305"/>
      <c r="AB32" s="1383"/>
      <c r="AC32" s="1169"/>
      <c r="AD32" s="1170"/>
      <c r="AE32" s="1286"/>
      <c r="AF32" s="1171"/>
      <c r="AG32" s="1306">
        <v>0.64300000000000002</v>
      </c>
      <c r="AH32" s="1307"/>
      <c r="AI32" s="1304"/>
      <c r="AJ32" s="1315"/>
      <c r="AK32" s="1308">
        <v>0.63400000000000001</v>
      </c>
      <c r="AL32" s="1309"/>
      <c r="AM32" s="1304"/>
      <c r="AN32" s="1315"/>
      <c r="AO32" s="1306">
        <v>0.63700000000000001</v>
      </c>
      <c r="AP32" s="1309"/>
      <c r="AQ32" s="1304"/>
      <c r="AR32" s="1315"/>
      <c r="AS32" s="1308">
        <v>0.61399999999999999</v>
      </c>
      <c r="AT32" s="1309"/>
      <c r="AU32" s="1304"/>
      <c r="AV32" s="1305"/>
    </row>
    <row r="33" spans="1:48" ht="21.75" customHeight="1">
      <c r="A33" s="1383"/>
      <c r="B33" s="1169"/>
      <c r="C33" s="1170"/>
      <c r="D33" s="1286"/>
      <c r="E33" s="1171"/>
      <c r="F33" s="1299" t="s">
        <v>90</v>
      </c>
      <c r="G33" s="1299"/>
      <c r="H33" s="1299"/>
      <c r="I33" s="1300"/>
      <c r="J33" s="1301" t="s">
        <v>91</v>
      </c>
      <c r="K33" s="1299"/>
      <c r="L33" s="1299"/>
      <c r="M33" s="1300"/>
      <c r="N33" s="1301" t="s">
        <v>106</v>
      </c>
      <c r="O33" s="1299"/>
      <c r="P33" s="1299"/>
      <c r="Q33" s="1300"/>
      <c r="R33" s="1310" t="s">
        <v>92</v>
      </c>
      <c r="S33" s="1311"/>
      <c r="T33" s="1312"/>
      <c r="U33" s="1313"/>
      <c r="V33" s="122" t="s">
        <v>2323</v>
      </c>
      <c r="AB33" s="1383"/>
      <c r="AC33" s="1169"/>
      <c r="AD33" s="1170"/>
      <c r="AE33" s="1286"/>
      <c r="AF33" s="1171"/>
      <c r="AG33" s="1299" t="s">
        <v>90</v>
      </c>
      <c r="AH33" s="1299"/>
      <c r="AI33" s="1299"/>
      <c r="AJ33" s="1300"/>
      <c r="AK33" s="1301" t="s">
        <v>91</v>
      </c>
      <c r="AL33" s="1299"/>
      <c r="AM33" s="1299"/>
      <c r="AN33" s="1300"/>
      <c r="AO33" s="1301" t="s">
        <v>106</v>
      </c>
      <c r="AP33" s="1299"/>
      <c r="AQ33" s="1299"/>
      <c r="AR33" s="1300"/>
      <c r="AS33" s="1310" t="s">
        <v>92</v>
      </c>
      <c r="AT33" s="1311"/>
      <c r="AU33" s="1312"/>
      <c r="AV33" s="1313"/>
    </row>
    <row r="34" spans="1:48" ht="14.1" customHeight="1">
      <c r="A34" s="1383"/>
      <c r="B34" s="1169"/>
      <c r="C34" s="1170"/>
      <c r="D34" s="1286"/>
      <c r="E34" s="1171"/>
      <c r="F34" s="1417"/>
      <c r="G34" s="1417"/>
      <c r="H34" s="1282" t="str">
        <f>R29&amp;S29</f>
        <v/>
      </c>
      <c r="I34" s="1282"/>
      <c r="J34" s="1405"/>
      <c r="K34" s="1406"/>
      <c r="L34" s="1282" t="str">
        <f>R29&amp;S29</f>
        <v/>
      </c>
      <c r="M34" s="1282"/>
      <c r="N34" s="1416"/>
      <c r="O34" s="1417"/>
      <c r="P34" s="1282" t="str">
        <f>R29&amp;S29</f>
        <v/>
      </c>
      <c r="Q34" s="1282"/>
      <c r="R34" s="1271" t="str">
        <f>IF(F31="","",IF(J34&lt;&gt;"",(F31-J34)/F31*100,IF(F34&lt;&gt;"",(F31-F34)/F31*100,IF(R31&lt;&gt;"",(F31-R31)/F31*100,IF(N31&lt;&gt;"",(F31-N31)/F31*100,(F31-J31)/F31*100)))))</f>
        <v/>
      </c>
      <c r="S34" s="1272"/>
      <c r="T34" s="1272"/>
      <c r="U34" s="1273" t="s">
        <v>107</v>
      </c>
      <c r="V34" s="174" t="str">
        <f>IF(F31="","",IF(J34&lt;&gt;"",IF(0&lt;=N34-J34,"達成","非達成"),IF(F34&lt;&gt;"",IF(0&lt;=N34-F34,"達成","非達成"),IF(R31&lt;&gt;"",IF(0&lt;=N34-R31,"達成","非達成"),IF(N31&lt;&gt;"",IF(0&lt;=N34-N31,"達成","非達成"),IF(0&lt;=N34-J31,"達成","非達成"))))))</f>
        <v/>
      </c>
      <c r="Z34" s="31"/>
      <c r="AA34" s="31"/>
      <c r="AB34" s="1383"/>
      <c r="AC34" s="1169"/>
      <c r="AD34" s="1170"/>
      <c r="AE34" s="1286"/>
      <c r="AF34" s="1171"/>
      <c r="AG34" s="1281"/>
      <c r="AH34" s="1281"/>
      <c r="AI34" s="1282" t="str">
        <f>AS29&amp;AT29</f>
        <v>tCO2/トン</v>
      </c>
      <c r="AJ34" s="1282"/>
      <c r="AK34" s="1269"/>
      <c r="AL34" s="1270"/>
      <c r="AM34" s="1282" t="str">
        <f>AS29&amp;AT29</f>
        <v>tCO2/トン</v>
      </c>
      <c r="AN34" s="1282"/>
      <c r="AO34" s="1284">
        <v>0.65400000000000003</v>
      </c>
      <c r="AP34" s="1281"/>
      <c r="AQ34" s="1282" t="str">
        <f>AS29&amp;AT29</f>
        <v>tCO2/トン</v>
      </c>
      <c r="AR34" s="1282"/>
      <c r="AS34" s="1271">
        <f>IF(AG31="","",IF(AK34&lt;&gt;"",(AG31-AK34)/AG31*100,IF(AG34&lt;&gt;"",(AG31-AG34)/AG31*100,IF(AS31&lt;&gt;"",(AG31-AS31)/AG31*100,IF(AO31&lt;&gt;"",(AG31-AO31)/AG31*100,(AG31-AK31)/AG31*100)))))</f>
        <v>3.2640949554896168</v>
      </c>
      <c r="AT34" s="1272"/>
      <c r="AU34" s="1272"/>
      <c r="AV34" s="1273" t="s">
        <v>105</v>
      </c>
    </row>
    <row r="35" spans="1:48" ht="14.1" customHeight="1" thickBot="1">
      <c r="A35" s="1384"/>
      <c r="B35" s="1332"/>
      <c r="C35" s="1333"/>
      <c r="D35" s="1287"/>
      <c r="E35" s="1288"/>
      <c r="F35" s="1412"/>
      <c r="G35" s="1413"/>
      <c r="H35" s="1283"/>
      <c r="I35" s="1283"/>
      <c r="J35" s="1414"/>
      <c r="K35" s="1415"/>
      <c r="L35" s="1283"/>
      <c r="M35" s="1283"/>
      <c r="N35" s="1412"/>
      <c r="O35" s="1413"/>
      <c r="P35" s="1283"/>
      <c r="Q35" s="1283"/>
      <c r="R35" s="1279" t="str">
        <f>IF(F32="","",IF(J35&lt;&gt;"",(F32-J35)/F32*100,IF(F35&lt;&gt;"",(F32-F35)/F32*100,IF(R32&lt;&gt;"",(F32-R32)/F32*100,IF(N32&lt;&gt;"",(F32-N32)/F32*100,(F32-J32)/F32*100)))))</f>
        <v/>
      </c>
      <c r="S35" s="1280"/>
      <c r="T35" s="1280"/>
      <c r="U35" s="1274"/>
      <c r="V35" s="175" t="str">
        <f>IF(F32="","",IF(J35&lt;&gt;"",IF(0&lt;=N35-J35,"達成","非達成"),IF(F35&lt;&gt;"",IF(0&lt;=N35-F35,"達成","非達成"),IF(R32&lt;&gt;"",IF(0&lt;=N35-R32,"達成","非達成"),IF(N32&lt;&gt;"",IF(0&lt;=N35-N32,"達成","非達成"),IF(0&lt;=N35-J32,"達成","非達成"))))))</f>
        <v/>
      </c>
      <c r="Z35" s="83"/>
      <c r="AA35" s="19"/>
      <c r="AB35" s="1384"/>
      <c r="AC35" s="1332"/>
      <c r="AD35" s="1333"/>
      <c r="AE35" s="1287"/>
      <c r="AF35" s="1288"/>
      <c r="AG35" s="1275"/>
      <c r="AH35" s="1276"/>
      <c r="AI35" s="1283"/>
      <c r="AJ35" s="1283"/>
      <c r="AK35" s="1277"/>
      <c r="AL35" s="1278"/>
      <c r="AM35" s="1283"/>
      <c r="AN35" s="1283"/>
      <c r="AO35" s="1275">
        <v>0.622</v>
      </c>
      <c r="AP35" s="1276"/>
      <c r="AQ35" s="1283"/>
      <c r="AR35" s="1283"/>
      <c r="AS35" s="1279">
        <f>IF(AG32="","",IF(AK35&lt;&gt;"",(AG32-AK35)/AG32*100,IF(AG35&lt;&gt;"",(AG32-AG35)/AG32*100,IF(AS32&lt;&gt;"",(AG32-AS32)/AG32*100,IF(AO32&lt;&gt;"",(AG32-AO32)/AG32*100,(AG32-AK32)/AG32*100)))))</f>
        <v>4.510108864696738</v>
      </c>
      <c r="AT35" s="1280"/>
      <c r="AU35" s="1280"/>
      <c r="AV35" s="1274"/>
    </row>
    <row r="36" spans="1:48">
      <c r="A36" s="34"/>
      <c r="Z36" s="16"/>
      <c r="AA36" s="16"/>
      <c r="AB36" s="34"/>
    </row>
    <row r="37" spans="1:48">
      <c r="A37" s="34"/>
      <c r="Z37" s="16"/>
      <c r="AA37" s="16"/>
      <c r="AB37" s="34"/>
    </row>
    <row r="38" spans="1:48">
      <c r="A38" s="34"/>
      <c r="Z38" s="16"/>
      <c r="AA38" s="16"/>
      <c r="AB38" s="34"/>
    </row>
    <row r="39" spans="1:48">
      <c r="A39" s="34"/>
      <c r="Z39" s="16"/>
      <c r="AA39" s="16"/>
      <c r="AB39" s="34"/>
    </row>
    <row r="40" spans="1:48">
      <c r="A40" s="34"/>
      <c r="AB40" s="34"/>
    </row>
    <row r="41" spans="1:48">
      <c r="A41" s="34"/>
      <c r="AB41" s="34"/>
    </row>
    <row r="42" spans="1:48">
      <c r="A42" s="41"/>
      <c r="AB42" s="41"/>
    </row>
    <row r="43" spans="1:48">
      <c r="A43" s="41"/>
      <c r="AB43" s="41"/>
    </row>
    <row r="44" spans="1:48">
      <c r="A44" s="41"/>
      <c r="AB44" s="41"/>
    </row>
    <row r="45" spans="1:48">
      <c r="A45" s="41"/>
      <c r="AB45" s="41"/>
    </row>
    <row r="46" spans="1:48">
      <c r="A46" s="34"/>
      <c r="AB46" s="34"/>
    </row>
    <row r="47" spans="1:48">
      <c r="A47" s="34"/>
      <c r="AB47" s="34"/>
    </row>
  </sheetData>
  <sheetProtection password="E7B8" sheet="1" formatCells="0"/>
  <dataConsolidate/>
  <mergeCells count="322">
    <mergeCell ref="A2:U2"/>
    <mergeCell ref="B3:C3"/>
    <mergeCell ref="A4:U4"/>
    <mergeCell ref="J3:U3"/>
    <mergeCell ref="G3:H3"/>
    <mergeCell ref="N11:Q11"/>
    <mergeCell ref="N9:P9"/>
    <mergeCell ref="N12:P12"/>
    <mergeCell ref="N8:Q8"/>
    <mergeCell ref="R9:T9"/>
    <mergeCell ref="R11:U11"/>
    <mergeCell ref="U9:U10"/>
    <mergeCell ref="R10:T10"/>
    <mergeCell ref="Q9:Q10"/>
    <mergeCell ref="Q12:Q13"/>
    <mergeCell ref="A5:U5"/>
    <mergeCell ref="A6:A35"/>
    <mergeCell ref="R25:T25"/>
    <mergeCell ref="U24:U25"/>
    <mergeCell ref="K7:M7"/>
    <mergeCell ref="N6:U7"/>
    <mergeCell ref="F6:H6"/>
    <mergeCell ref="J6:M6"/>
    <mergeCell ref="N33:Q33"/>
    <mergeCell ref="N32:O32"/>
    <mergeCell ref="N19:O19"/>
    <mergeCell ref="F27:H27"/>
    <mergeCell ref="J27:L27"/>
    <mergeCell ref="F33:I33"/>
    <mergeCell ref="J33:M33"/>
    <mergeCell ref="F32:G32"/>
    <mergeCell ref="N28:P28"/>
    <mergeCell ref="N24:P24"/>
    <mergeCell ref="J29:M29"/>
    <mergeCell ref="B22:U22"/>
    <mergeCell ref="B23:C35"/>
    <mergeCell ref="D23:E28"/>
    <mergeCell ref="D29:E35"/>
    <mergeCell ref="J32:K32"/>
    <mergeCell ref="F30:I30"/>
    <mergeCell ref="J30:M30"/>
    <mergeCell ref="N30:Q30"/>
    <mergeCell ref="N31:O31"/>
    <mergeCell ref="J24:L24"/>
    <mergeCell ref="F23:I23"/>
    <mergeCell ref="N29:Q29"/>
    <mergeCell ref="N26:Q26"/>
    <mergeCell ref="Q24:Q25"/>
    <mergeCell ref="F29:I29"/>
    <mergeCell ref="J28:L28"/>
    <mergeCell ref="F31:G31"/>
    <mergeCell ref="F25:H25"/>
    <mergeCell ref="J25:L25"/>
    <mergeCell ref="F24:H24"/>
    <mergeCell ref="R30:U30"/>
    <mergeCell ref="S29:U29"/>
    <mergeCell ref="R28:T28"/>
    <mergeCell ref="R24:T24"/>
    <mergeCell ref="R27:T27"/>
    <mergeCell ref="R26:U26"/>
    <mergeCell ref="R23:U23"/>
    <mergeCell ref="J23:M23"/>
    <mergeCell ref="N25:P25"/>
    <mergeCell ref="N27:P27"/>
    <mergeCell ref="Q27:Q28"/>
    <mergeCell ref="N23:Q23"/>
    <mergeCell ref="U27:U28"/>
    <mergeCell ref="B6:C13"/>
    <mergeCell ref="B14:C20"/>
    <mergeCell ref="D14:E14"/>
    <mergeCell ref="F19:G19"/>
    <mergeCell ref="F9:H9"/>
    <mergeCell ref="F16:G16"/>
    <mergeCell ref="F15:I15"/>
    <mergeCell ref="I12:I13"/>
    <mergeCell ref="D6:E7"/>
    <mergeCell ref="F10:H10"/>
    <mergeCell ref="B21:E21"/>
    <mergeCell ref="F14:I14"/>
    <mergeCell ref="F20:G20"/>
    <mergeCell ref="J14:M14"/>
    <mergeCell ref="J16:K16"/>
    <mergeCell ref="J19:K19"/>
    <mergeCell ref="F21:U21"/>
    <mergeCell ref="D8:E13"/>
    <mergeCell ref="D15:E20"/>
    <mergeCell ref="H16:I17"/>
    <mergeCell ref="R13:T13"/>
    <mergeCell ref="F17:G17"/>
    <mergeCell ref="J17:K17"/>
    <mergeCell ref="J8:M8"/>
    <mergeCell ref="J9:L9"/>
    <mergeCell ref="N20:O20"/>
    <mergeCell ref="R20:T20"/>
    <mergeCell ref="J12:L12"/>
    <mergeCell ref="J10:L10"/>
    <mergeCell ref="N10:P10"/>
    <mergeCell ref="J13:L13"/>
    <mergeCell ref="M9:M10"/>
    <mergeCell ref="J11:M11"/>
    <mergeCell ref="M12:M13"/>
    <mergeCell ref="N13:P13"/>
    <mergeCell ref="R8:U8"/>
    <mergeCell ref="R12:T12"/>
    <mergeCell ref="F13:H13"/>
    <mergeCell ref="F18:I18"/>
    <mergeCell ref="J18:M18"/>
    <mergeCell ref="J20:K20"/>
    <mergeCell ref="F12:H12"/>
    <mergeCell ref="F8:I8"/>
    <mergeCell ref="F11:I11"/>
    <mergeCell ref="I9:I10"/>
    <mergeCell ref="U19:U20"/>
    <mergeCell ref="U12:U13"/>
    <mergeCell ref="H19:I20"/>
    <mergeCell ref="L19:M20"/>
    <mergeCell ref="P19:Q20"/>
    <mergeCell ref="N18:Q18"/>
    <mergeCell ref="O14:Q14"/>
    <mergeCell ref="R14:U14"/>
    <mergeCell ref="R17:S17"/>
    <mergeCell ref="J15:M15"/>
    <mergeCell ref="L16:M17"/>
    <mergeCell ref="P16:Q17"/>
    <mergeCell ref="R15:U15"/>
    <mergeCell ref="R19:T19"/>
    <mergeCell ref="R18:U18"/>
    <mergeCell ref="R16:S16"/>
    <mergeCell ref="T16:U17"/>
    <mergeCell ref="N16:O16"/>
    <mergeCell ref="N15:Q15"/>
    <mergeCell ref="N17:O17"/>
    <mergeCell ref="F35:G35"/>
    <mergeCell ref="J35:K35"/>
    <mergeCell ref="N35:O35"/>
    <mergeCell ref="R35:T35"/>
    <mergeCell ref="H34:I35"/>
    <mergeCell ref="N34:O34"/>
    <mergeCell ref="L34:M35"/>
    <mergeCell ref="P34:Q35"/>
    <mergeCell ref="R34:T34"/>
    <mergeCell ref="F34:G34"/>
    <mergeCell ref="AB1:AV1"/>
    <mergeCell ref="AB2:AV2"/>
    <mergeCell ref="AC3:AD3"/>
    <mergeCell ref="AH3:AI3"/>
    <mergeCell ref="AK3:AV3"/>
    <mergeCell ref="AB4:AV4"/>
    <mergeCell ref="U34:U35"/>
    <mergeCell ref="J34:K34"/>
    <mergeCell ref="H31:I32"/>
    <mergeCell ref="L31:M32"/>
    <mergeCell ref="P31:Q32"/>
    <mergeCell ref="J31:K31"/>
    <mergeCell ref="R33:U33"/>
    <mergeCell ref="R31:S31"/>
    <mergeCell ref="T31:U32"/>
    <mergeCell ref="R32:S32"/>
    <mergeCell ref="G7:H7"/>
    <mergeCell ref="I24:I25"/>
    <mergeCell ref="M24:M25"/>
    <mergeCell ref="I27:I28"/>
    <mergeCell ref="M27:M28"/>
    <mergeCell ref="F28:H28"/>
    <mergeCell ref="F26:I26"/>
    <mergeCell ref="J26:M26"/>
    <mergeCell ref="AB5:AV5"/>
    <mergeCell ref="AB6:AB35"/>
    <mergeCell ref="AC6:AD13"/>
    <mergeCell ref="AE6:AF7"/>
    <mergeCell ref="AG6:AI6"/>
    <mergeCell ref="AK6:AN6"/>
    <mergeCell ref="AO6:AV7"/>
    <mergeCell ref="AH7:AI7"/>
    <mergeCell ref="AL7:AN7"/>
    <mergeCell ref="AE8:AF13"/>
    <mergeCell ref="AS9:AU9"/>
    <mergeCell ref="AV9:AV10"/>
    <mergeCell ref="AG10:AI10"/>
    <mergeCell ref="AK10:AM10"/>
    <mergeCell ref="AO10:AQ10"/>
    <mergeCell ref="AS10:AU10"/>
    <mergeCell ref="AG8:AJ8"/>
    <mergeCell ref="AK8:AN8"/>
    <mergeCell ref="AO8:AR8"/>
    <mergeCell ref="AS8:AV8"/>
    <mergeCell ref="AG9:AI9"/>
    <mergeCell ref="AJ9:AJ10"/>
    <mergeCell ref="AK9:AM9"/>
    <mergeCell ref="AN9:AN10"/>
    <mergeCell ref="AO9:AQ9"/>
    <mergeCell ref="AR9:AR10"/>
    <mergeCell ref="AS12:AU12"/>
    <mergeCell ref="AV12:AV13"/>
    <mergeCell ref="AG13:AI13"/>
    <mergeCell ref="AK13:AM13"/>
    <mergeCell ref="AO13:AQ13"/>
    <mergeCell ref="AS13:AU13"/>
    <mergeCell ref="AG11:AJ11"/>
    <mergeCell ref="AK11:AN11"/>
    <mergeCell ref="AO11:AR11"/>
    <mergeCell ref="AS11:AV11"/>
    <mergeCell ref="AG12:AI12"/>
    <mergeCell ref="AJ12:AJ13"/>
    <mergeCell ref="AK12:AM12"/>
    <mergeCell ref="AN12:AN13"/>
    <mergeCell ref="AO12:AQ12"/>
    <mergeCell ref="AR12:AR13"/>
    <mergeCell ref="AC14:AD20"/>
    <mergeCell ref="AE14:AF14"/>
    <mergeCell ref="AG14:AJ14"/>
    <mergeCell ref="AK14:AN14"/>
    <mergeCell ref="AP14:AR14"/>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O17:AP17"/>
    <mergeCell ref="AS17:AT17"/>
    <mergeCell ref="AG18:AJ18"/>
    <mergeCell ref="AK18:AN18"/>
    <mergeCell ref="AO18:AR18"/>
    <mergeCell ref="AS18:AV18"/>
    <mergeCell ref="AS19:AU19"/>
    <mergeCell ref="AV19:AV20"/>
    <mergeCell ref="AG20:AH20"/>
    <mergeCell ref="AK20:AL20"/>
    <mergeCell ref="AO20:AP20"/>
    <mergeCell ref="AS20:AU20"/>
    <mergeCell ref="AG19:AH19"/>
    <mergeCell ref="AI19:AJ20"/>
    <mergeCell ref="AK19:AL19"/>
    <mergeCell ref="AM19:AN20"/>
    <mergeCell ref="AO19:AP19"/>
    <mergeCell ref="AQ19:AR20"/>
    <mergeCell ref="AC21:AF21"/>
    <mergeCell ref="AG21:AV21"/>
    <mergeCell ref="AC22:AV22"/>
    <mergeCell ref="AC23:AD35"/>
    <mergeCell ref="AE23:AF28"/>
    <mergeCell ref="AG23:AJ23"/>
    <mergeCell ref="AK23:AN23"/>
    <mergeCell ref="AO23:AR23"/>
    <mergeCell ref="AS23:AV23"/>
    <mergeCell ref="AG24:AI24"/>
    <mergeCell ref="AV24:AV25"/>
    <mergeCell ref="AG25:AI25"/>
    <mergeCell ref="AK25:AM25"/>
    <mergeCell ref="AO25:AQ25"/>
    <mergeCell ref="AS25:AU25"/>
    <mergeCell ref="AG26:AJ26"/>
    <mergeCell ref="AK26:AN26"/>
    <mergeCell ref="AO26:AR26"/>
    <mergeCell ref="AS26:AV26"/>
    <mergeCell ref="AJ24:AJ25"/>
    <mergeCell ref="AK24:AM24"/>
    <mergeCell ref="AN24:AN25"/>
    <mergeCell ref="AO24:AQ24"/>
    <mergeCell ref="AR24:AR25"/>
    <mergeCell ref="AS24:AU24"/>
    <mergeCell ref="AS27:AU27"/>
    <mergeCell ref="AV27:AV28"/>
    <mergeCell ref="AG28:AI28"/>
    <mergeCell ref="AK28:AM28"/>
    <mergeCell ref="AO28:AQ28"/>
    <mergeCell ref="AS28:AU28"/>
    <mergeCell ref="AG27:AI27"/>
    <mergeCell ref="AJ27:AJ28"/>
    <mergeCell ref="AK27:AM27"/>
    <mergeCell ref="AN27:AN28"/>
    <mergeCell ref="AO27:AQ27"/>
    <mergeCell ref="AR27:AR28"/>
    <mergeCell ref="AU31:AV32"/>
    <mergeCell ref="AG32:AH32"/>
    <mergeCell ref="AK32:AL32"/>
    <mergeCell ref="AO32:AP32"/>
    <mergeCell ref="AS32:AT32"/>
    <mergeCell ref="AG33:AJ33"/>
    <mergeCell ref="AK33:AN33"/>
    <mergeCell ref="AO33:AR33"/>
    <mergeCell ref="AS33:AV33"/>
    <mergeCell ref="AI31:AJ32"/>
    <mergeCell ref="AK31:AL31"/>
    <mergeCell ref="AM31:AN32"/>
    <mergeCell ref="AO31:AP31"/>
    <mergeCell ref="AQ31:AR32"/>
    <mergeCell ref="V16:V17"/>
    <mergeCell ref="AS31:AT31"/>
    <mergeCell ref="AS34:AU34"/>
    <mergeCell ref="AV34:AV35"/>
    <mergeCell ref="AG35:AH35"/>
    <mergeCell ref="AK35:AL35"/>
    <mergeCell ref="AO35:AP35"/>
    <mergeCell ref="AS35:AU35"/>
    <mergeCell ref="AG34:AH34"/>
    <mergeCell ref="AI34:AJ35"/>
    <mergeCell ref="AK34:AL34"/>
    <mergeCell ref="AM34:AN35"/>
    <mergeCell ref="AO34:AP34"/>
    <mergeCell ref="AQ34:AR35"/>
    <mergeCell ref="AE29:AF35"/>
    <mergeCell ref="AG29:AJ29"/>
    <mergeCell ref="AK29:AN29"/>
    <mergeCell ref="AO29:AR29"/>
    <mergeCell ref="AT29:AV29"/>
    <mergeCell ref="AG30:AJ30"/>
    <mergeCell ref="AK30:AN30"/>
    <mergeCell ref="AO30:AR30"/>
    <mergeCell ref="AS30:AV30"/>
    <mergeCell ref="AG31:AH31"/>
  </mergeCells>
  <phoneticPr fontId="3"/>
  <conditionalFormatting sqref="R24:T25 N24:P25 J24:L25 F24:H25 F27:H28 J27:L28 J29:M29 N27:P28 S29:U29 R31:S32 N31:O32 N34:O35 J31:K32 F31:G32 F34:G35 J34:K35">
    <cfRule type="notContainsBlanks" dxfId="94" priority="38">
      <formula>LEN(TRIM(F24))&gt;0</formula>
    </cfRule>
  </conditionalFormatting>
  <conditionalFormatting sqref="J9:L9">
    <cfRule type="expression" dxfId="93" priority="20">
      <formula>$D$3=$G$3</formula>
    </cfRule>
    <cfRule type="expression" dxfId="92" priority="37">
      <formula>$D$3&lt;$G$3</formula>
    </cfRule>
  </conditionalFormatting>
  <conditionalFormatting sqref="J10:L10">
    <cfRule type="expression" dxfId="91" priority="19">
      <formula>$D$3=$G$3</formula>
    </cfRule>
    <cfRule type="expression" dxfId="90" priority="36">
      <formula>$D$3&lt;$G$3</formula>
    </cfRule>
  </conditionalFormatting>
  <conditionalFormatting sqref="J16:K16">
    <cfRule type="expression" dxfId="89" priority="18">
      <formula>$D$3&lt;$G$3</formula>
    </cfRule>
    <cfRule type="expression" dxfId="88" priority="35">
      <formula>$D$3=$G$3</formula>
    </cfRule>
  </conditionalFormatting>
  <conditionalFormatting sqref="J17:K17">
    <cfRule type="expression" dxfId="87" priority="17">
      <formula>$D$3=$G$3</formula>
    </cfRule>
    <cfRule type="expression" dxfId="86" priority="34">
      <formula>$D$3&lt;$G$3</formula>
    </cfRule>
  </conditionalFormatting>
  <conditionalFormatting sqref="N9:P9">
    <cfRule type="expression" dxfId="85" priority="8">
      <formula>$D$3=$G$3-1</formula>
    </cfRule>
    <cfRule type="expression" dxfId="84" priority="33">
      <formula>$D$3&lt;$G$3-1</formula>
    </cfRule>
  </conditionalFormatting>
  <conditionalFormatting sqref="N10:P10">
    <cfRule type="expression" dxfId="83" priority="7">
      <formula>$D$3=$G$3-1</formula>
    </cfRule>
    <cfRule type="expression" dxfId="82" priority="32">
      <formula>$D$3&lt;$G$3-1</formula>
    </cfRule>
  </conditionalFormatting>
  <conditionalFormatting sqref="N16:O16">
    <cfRule type="expression" dxfId="81" priority="16">
      <formula>$D$3=$G$3-1</formula>
    </cfRule>
    <cfRule type="expression" dxfId="80" priority="31">
      <formula>$D$3&lt;$G$3-1</formula>
    </cfRule>
  </conditionalFormatting>
  <conditionalFormatting sqref="N17:O17">
    <cfRule type="expression" dxfId="79" priority="15">
      <formula>$D$3=$G$3-1</formula>
    </cfRule>
    <cfRule type="expression" dxfId="78" priority="30">
      <formula>$D$3&lt;$G$3-1</formula>
    </cfRule>
  </conditionalFormatting>
  <conditionalFormatting sqref="R9:T9">
    <cfRule type="expression" dxfId="77" priority="6">
      <formula>$D$3=$G$3-2</formula>
    </cfRule>
    <cfRule type="expression" dxfId="76" priority="29">
      <formula>$D$3&lt;$G$3-2</formula>
    </cfRule>
  </conditionalFormatting>
  <conditionalFormatting sqref="R10:T10">
    <cfRule type="expression" dxfId="75" priority="5">
      <formula>$D$3=$G$3-2</formula>
    </cfRule>
    <cfRule type="expression" dxfId="74" priority="28">
      <formula>$D$3&lt;$G$3-2</formula>
    </cfRule>
  </conditionalFormatting>
  <conditionalFormatting sqref="R16:S16">
    <cfRule type="expression" dxfId="73" priority="14">
      <formula>$D$3=$G$3-2</formula>
    </cfRule>
    <cfRule type="expression" dxfId="72" priority="26">
      <formula>$D$3&lt;$G$3-2</formula>
    </cfRule>
  </conditionalFormatting>
  <conditionalFormatting sqref="R17:S17">
    <cfRule type="expression" dxfId="71" priority="13">
      <formula>$D$3=$G$3-2</formula>
    </cfRule>
    <cfRule type="expression" dxfId="70" priority="25">
      <formula>$D$3&lt;$G$3-2</formula>
    </cfRule>
  </conditionalFormatting>
  <conditionalFormatting sqref="F12:H12">
    <cfRule type="expression" dxfId="69" priority="4">
      <formula>$D$3=$G$3-3</formula>
    </cfRule>
    <cfRule type="expression" dxfId="68" priority="24">
      <formula>$D$3&lt;$G$3-3</formula>
    </cfRule>
  </conditionalFormatting>
  <conditionalFormatting sqref="F19:G19">
    <cfRule type="expression" dxfId="67" priority="12">
      <formula>$D$3=$G$3-3</formula>
    </cfRule>
    <cfRule type="expression" dxfId="66" priority="23">
      <formula>$D$3&lt;$G$3-3</formula>
    </cfRule>
  </conditionalFormatting>
  <conditionalFormatting sqref="F13:H13">
    <cfRule type="expression" dxfId="65" priority="3">
      <formula>$D$3=$G$3-3</formula>
    </cfRule>
    <cfRule type="expression" dxfId="64" priority="22">
      <formula>$D$3&lt;$G$3-3</formula>
    </cfRule>
  </conditionalFormatting>
  <conditionalFormatting sqref="F20:G20">
    <cfRule type="expression" dxfId="63" priority="11">
      <formula>$D$3=$G$3-3</formula>
    </cfRule>
    <cfRule type="expression" dxfId="62" priority="21">
      <formula>$D$3&lt;$G$3-3</formula>
    </cfRule>
  </conditionalFormatting>
  <conditionalFormatting sqref="J19:K19">
    <cfRule type="expression" dxfId="61" priority="10">
      <formula>$D$3=$G$3-4</formula>
    </cfRule>
  </conditionalFormatting>
  <conditionalFormatting sqref="J20:K20">
    <cfRule type="expression" dxfId="60" priority="9">
      <formula>$D$3=$G$3-4</formula>
    </cfRule>
  </conditionalFormatting>
  <conditionalFormatting sqref="J12:L12">
    <cfRule type="expression" dxfId="59" priority="2">
      <formula>$D$3=$G$3-4</formula>
    </cfRule>
  </conditionalFormatting>
  <conditionalFormatting sqref="J13:L13">
    <cfRule type="expression" dxfId="58" priority="1">
      <formula>$D$3=$G$3-4</formula>
    </cfRule>
  </conditionalFormatting>
  <dataValidations count="10">
    <dataValidation allowBlank="1" showInputMessage="1" showErrorMessage="1" prompt="計画書に記載した数値を半角で転記してください。" sqref="AG31:AH32 AO34:AP35 AO27:AQ28 AG24:AI25 AO19:AP20 AG9:AI10 AO12:AQ13 AG16:AH17"/>
    <dataValidation allowBlank="1" showInputMessage="1" showErrorMessage="1" prompt="基礎排出係数を使用して算出した有効数字3桁の排出量を半角で入力してください。" sqref="AG27:AI27 AK27:AM27 AS24:AU24 AO24:AQ24 AK24:AM24 AO9:AQ9 AG12:AI12 AK12:AM12 AK9:AM9 AS9:AU9"/>
    <dataValidation allowBlank="1" showInputMessage="1" showErrorMessage="1" prompt="調整後排出係数を使用して算出した有効数字3桁の排出量を半角で入力してください。" sqref="AO25:AQ25 AG28:AI28 AK28:AM28 AK25:AM25 AS25:AU25 AK13:AM13 AG13:AI13 AS10:AU10 AK10:AM10 AO10:AQ10"/>
    <dataValidation allowBlank="1" showInputMessage="1" showErrorMessage="1" prompt="「原単位の指標の種類」に記入した指標の単位を入力してください。" sqref="AP14:AR14 AT29:AV29"/>
    <dataValidation allowBlank="1" showInputMessage="1" showErrorMessage="1" prompt="全角1,000文字（23行）まで入力できます。" sqref="AG21:AV21 F21:U21"/>
    <dataValidation allowBlank="1" showInputMessage="1" showErrorMessage="1" prompt="基礎排出係数に基づく排出量原単位を、原則として有効数字3桁半角で入力してください。" sqref="AO31:AP31 AK31:AL31 AK34:AL34 AG34:AH34 AS31:AT31 AK16:AL16 AK19:AL19 AG19:AH19 AO16:AP16 AS16:AT16"/>
    <dataValidation allowBlank="1" showInputMessage="1" showErrorMessage="1" prompt="調整後排出係数に基づく排出量原単位を、原則として有効数字3桁半角で入力してください。" sqref="AK32:AL32 AO32:AP32 AG35:AH35 AK35:AL35 AS32:AT32 AG20:AH20 AK20:AL20 AS17:AT17 AO17:AP17 AK17:AL17"/>
    <dataValidation imeMode="halfAlpha" allowBlank="1" showInputMessage="1" showErrorMessage="1" sqref="R9:T10 N12:P13 N31:O32 J12:L13 J9:L10 F11:I13 F9:H10 F27:H28 N27:P28 J27:L28 F16:G17 J16:K17 N16:O17 R16:S17 N19:O20 J19:K20 F19:G20 F24:H25 J24:L25 N24:P25 R24:T25 N34:O35 J34:K35 F34:G35 F31:G32 J31:K32 R31:S32 N9:P10"/>
    <dataValidation type="whole" imeMode="halfAlpha" allowBlank="1" showInputMessage="1" showErrorMessage="1" prompt="西暦４桁（半角数字）で入力" sqref="G3:H3">
      <formula1>LEFT(W1,4)-1</formula1>
      <formula2>D3+4</formula2>
    </dataValidation>
    <dataValidation type="whole" imeMode="halfAlpha" allowBlank="1" showInputMessage="1" showErrorMessage="1" prompt="西暦４桁（半角数字）で入力" sqref="D3">
      <formula1>LEFT(W1,4)-5</formula1>
      <formula2>LEFT(W1,4)-1</formula2>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22</xdr:col>
                    <xdr:colOff>121920</xdr:colOff>
                    <xdr:row>10</xdr:row>
                    <xdr:rowOff>60960</xdr:rowOff>
                  </from>
                  <to>
                    <xdr:col>22</xdr:col>
                    <xdr:colOff>502920</xdr:colOff>
                    <xdr:row>11</xdr:row>
                    <xdr:rowOff>99060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22</xdr:col>
                    <xdr:colOff>76200</xdr:colOff>
                    <xdr:row>20</xdr:row>
                    <xdr:rowOff>487680</xdr:rowOff>
                  </from>
                  <to>
                    <xdr:col>22</xdr:col>
                    <xdr:colOff>457200</xdr:colOff>
                    <xdr:row>20</xdr:row>
                    <xdr:rowOff>830580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22</xdr:col>
                    <xdr:colOff>114300</xdr:colOff>
                    <xdr:row>2</xdr:row>
                    <xdr:rowOff>7620</xdr:rowOff>
                  </from>
                  <to>
                    <xdr:col>22</xdr:col>
                    <xdr:colOff>441960</xdr:colOff>
                    <xdr:row>3</xdr:row>
                    <xdr:rowOff>22860</xdr:rowOff>
                  </to>
                </anchor>
              </controlPr>
            </control>
          </mc:Choice>
        </mc:AlternateContent>
        <mc:AlternateContent xmlns:mc="http://schemas.openxmlformats.org/markup-compatibility/2006">
          <mc:Choice Requires="x14">
            <control shapeId="2058" r:id="rId7" name="Check Box 10">
              <controlPr defaultSize="0" autoFill="0" autoLine="0" autoPict="0">
                <anchor moveWithCells="1">
                  <from>
                    <xdr:col>22</xdr:col>
                    <xdr:colOff>449580</xdr:colOff>
                    <xdr:row>22</xdr:row>
                    <xdr:rowOff>22860</xdr:rowOff>
                  </from>
                  <to>
                    <xdr:col>22</xdr:col>
                    <xdr:colOff>762000</xdr:colOff>
                    <xdr:row>23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AY42"/>
  <sheetViews>
    <sheetView showGridLines="0" view="pageBreakPreview" zoomScaleNormal="85" zoomScaleSheetLayoutView="100" workbookViewId="0">
      <selection activeCell="F6" sqref="F6:H6"/>
    </sheetView>
  </sheetViews>
  <sheetFormatPr defaultColWidth="9" defaultRowHeight="13.2" outlineLevelCol="1"/>
  <cols>
    <col min="1" max="1" width="1.21875" style="39" customWidth="1"/>
    <col min="2" max="2" width="4.88671875" style="40" customWidth="1"/>
    <col min="3" max="3" width="5.88671875" style="41" customWidth="1"/>
    <col min="4" max="4" width="4.88671875" style="41" customWidth="1"/>
    <col min="5" max="5" width="6.10937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4.33203125" style="41" customWidth="1"/>
    <col min="17" max="18" width="5.6640625" style="41" customWidth="1"/>
    <col min="19" max="19" width="2.77734375" style="41" customWidth="1"/>
    <col min="20" max="20" width="2.88671875" style="41" customWidth="1"/>
    <col min="21" max="21" width="5" style="41" customWidth="1"/>
    <col min="22" max="22" width="11.33203125" style="125" customWidth="1"/>
    <col min="23" max="23" width="33.21875" style="39" customWidth="1"/>
    <col min="24" max="24" width="9" style="39" hidden="1" customWidth="1" outlineLevel="1"/>
    <col min="25" max="25" width="65" style="39" hidden="1" customWidth="1" outlineLevel="1"/>
    <col min="26" max="26" width="3.109375" style="14" customWidth="1" collapsed="1"/>
    <col min="27" max="27" width="3.109375" style="14" customWidth="1"/>
    <col min="28" max="28" width="1.21875" style="39" customWidth="1"/>
    <col min="29" max="29" width="4.88671875" style="40" customWidth="1"/>
    <col min="30" max="30" width="6.21875" style="41" customWidth="1"/>
    <col min="31" max="31" width="4.88671875" style="41" customWidth="1"/>
    <col min="32" max="32" width="6.4414062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0" width="5.6640625" style="41" customWidth="1"/>
    <col min="41" max="41" width="6.554687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5.109375" style="39" customWidth="1"/>
    <col min="50" max="16384" width="9" style="39"/>
  </cols>
  <sheetData>
    <row r="1" spans="1:48" s="34" customFormat="1" ht="12">
      <c r="A1" s="72" t="s">
        <v>46</v>
      </c>
      <c r="B1" s="72"/>
      <c r="C1" s="72"/>
      <c r="D1" s="72"/>
      <c r="E1" s="72"/>
      <c r="F1" s="72"/>
      <c r="G1" s="72"/>
      <c r="H1" s="72"/>
      <c r="I1" s="72"/>
      <c r="J1" s="72"/>
      <c r="K1" s="72"/>
      <c r="L1" s="72"/>
      <c r="M1" s="72"/>
      <c r="N1" s="72"/>
      <c r="O1" s="72"/>
      <c r="P1" s="72"/>
      <c r="Q1" s="72"/>
      <c r="R1" s="72"/>
      <c r="S1" s="72"/>
      <c r="T1" s="72"/>
      <c r="U1" s="74">
        <f>結果1面!$M$11</f>
        <v>0</v>
      </c>
      <c r="V1" s="41"/>
      <c r="W1" s="109" t="str">
        <f>結果1面!$Z$1</f>
        <v>2025ver5</v>
      </c>
      <c r="X1" s="102" t="s">
        <v>3614</v>
      </c>
      <c r="Y1" s="102" t="s">
        <v>3608</v>
      </c>
      <c r="AA1" s="13"/>
      <c r="AB1" s="1400" t="s">
        <v>46</v>
      </c>
      <c r="AC1" s="1400"/>
      <c r="AD1" s="1400"/>
      <c r="AE1" s="1400"/>
      <c r="AF1" s="1400"/>
      <c r="AG1" s="1400"/>
      <c r="AH1" s="1400"/>
      <c r="AI1" s="1400"/>
      <c r="AJ1" s="1400"/>
      <c r="AK1" s="1400"/>
      <c r="AL1" s="1400"/>
      <c r="AM1" s="1400"/>
      <c r="AN1" s="1400"/>
      <c r="AO1" s="1400"/>
      <c r="AP1" s="1400"/>
      <c r="AQ1" s="1400"/>
      <c r="AR1" s="1400"/>
      <c r="AS1" s="1400"/>
      <c r="AT1" s="1400"/>
      <c r="AU1" s="1400"/>
      <c r="AV1" s="1400"/>
    </row>
    <row r="2" spans="1:48" s="37" customFormat="1" ht="25.2" customHeight="1" thickBot="1">
      <c r="A2" s="1381" t="s">
        <v>3595</v>
      </c>
      <c r="B2" s="1534"/>
      <c r="C2" s="1534"/>
      <c r="D2" s="1534"/>
      <c r="E2" s="1534"/>
      <c r="F2" s="1534"/>
      <c r="G2" s="1534"/>
      <c r="H2" s="1534"/>
      <c r="I2" s="1534"/>
      <c r="J2" s="1534"/>
      <c r="K2" s="1534"/>
      <c r="L2" s="1534"/>
      <c r="M2" s="1534"/>
      <c r="N2" s="1534"/>
      <c r="O2" s="1534"/>
      <c r="P2" s="1534"/>
      <c r="Q2" s="1534"/>
      <c r="R2" s="1534"/>
      <c r="S2" s="1534"/>
      <c r="T2" s="1534"/>
      <c r="U2" s="1534"/>
      <c r="V2" s="125"/>
      <c r="Z2" s="14"/>
      <c r="AA2" s="14"/>
      <c r="AB2" s="1381" t="s">
        <v>3595</v>
      </c>
      <c r="AC2" s="1534"/>
      <c r="AD2" s="1534"/>
      <c r="AE2" s="1534"/>
      <c r="AF2" s="1534"/>
      <c r="AG2" s="1534"/>
      <c r="AH2" s="1534"/>
      <c r="AI2" s="1534"/>
      <c r="AJ2" s="1534"/>
      <c r="AK2" s="1534"/>
      <c r="AL2" s="1534"/>
      <c r="AM2" s="1534"/>
      <c r="AN2" s="1534"/>
      <c r="AO2" s="1534"/>
      <c r="AP2" s="1534"/>
      <c r="AQ2" s="1534"/>
      <c r="AR2" s="1534"/>
      <c r="AS2" s="1534"/>
      <c r="AT2" s="1534"/>
      <c r="AU2" s="1534"/>
      <c r="AV2" s="1534"/>
    </row>
    <row r="3" spans="1:48" s="38" customFormat="1" ht="18.75" customHeight="1">
      <c r="A3" s="1383"/>
      <c r="B3" s="1166" t="s">
        <v>213</v>
      </c>
      <c r="C3" s="1168"/>
      <c r="D3" s="1137" t="s">
        <v>44</v>
      </c>
      <c r="E3" s="1131"/>
      <c r="F3" s="1387"/>
      <c r="G3" s="1388"/>
      <c r="H3" s="1388"/>
      <c r="I3" s="167" t="str">
        <f ca="1">IF(結果1面!E22="■",結果2面!D3-1,"")</f>
        <v/>
      </c>
      <c r="J3" s="1389" t="s">
        <v>2</v>
      </c>
      <c r="K3" s="1389"/>
      <c r="L3" s="1389"/>
      <c r="M3" s="1390"/>
      <c r="N3" s="1391"/>
      <c r="O3" s="1259"/>
      <c r="P3" s="1259"/>
      <c r="Q3" s="1259"/>
      <c r="R3" s="1259"/>
      <c r="S3" s="1259"/>
      <c r="T3" s="1259"/>
      <c r="U3" s="1259"/>
      <c r="V3" s="40"/>
      <c r="Y3" s="120" t="s">
        <v>3612</v>
      </c>
      <c r="Z3" s="28"/>
      <c r="AA3" s="31"/>
      <c r="AB3" s="1383"/>
      <c r="AC3" s="1166" t="s">
        <v>213</v>
      </c>
      <c r="AD3" s="1168"/>
      <c r="AE3" s="1137" t="s">
        <v>44</v>
      </c>
      <c r="AF3" s="1131"/>
      <c r="AG3" s="1387"/>
      <c r="AH3" s="1388"/>
      <c r="AI3" s="1388"/>
      <c r="AJ3" s="106">
        <f>LEFT(W1,4)-4</f>
        <v>2021</v>
      </c>
      <c r="AK3" s="1389" t="s">
        <v>2</v>
      </c>
      <c r="AL3" s="1389"/>
      <c r="AM3" s="1389"/>
      <c r="AN3" s="1390"/>
      <c r="AO3" s="1391"/>
      <c r="AP3" s="1259"/>
      <c r="AQ3" s="1259"/>
      <c r="AR3" s="1259"/>
      <c r="AS3" s="1259"/>
      <c r="AT3" s="1259"/>
      <c r="AU3" s="1259"/>
      <c r="AV3" s="1259"/>
    </row>
    <row r="4" spans="1:48" s="38" customFormat="1" ht="18.75" customHeight="1">
      <c r="A4" s="1383"/>
      <c r="B4" s="1169"/>
      <c r="C4" s="1171"/>
      <c r="D4" s="1385"/>
      <c r="E4" s="1386"/>
      <c r="F4" s="145" t="s">
        <v>127</v>
      </c>
      <c r="G4" s="1409"/>
      <c r="H4" s="1409"/>
      <c r="I4" s="146" t="s">
        <v>128</v>
      </c>
      <c r="J4" s="105"/>
      <c r="K4" s="1395" t="s">
        <v>3641</v>
      </c>
      <c r="L4" s="1395"/>
      <c r="M4" s="1396"/>
      <c r="N4" s="1392"/>
      <c r="O4" s="1393"/>
      <c r="P4" s="1393"/>
      <c r="Q4" s="1393"/>
      <c r="R4" s="1393"/>
      <c r="S4" s="1393"/>
      <c r="T4" s="1393"/>
      <c r="U4" s="1393"/>
      <c r="V4" s="40"/>
      <c r="Y4" s="120" t="s">
        <v>3613</v>
      </c>
      <c r="Z4" s="16"/>
      <c r="AA4" s="16"/>
      <c r="AB4" s="1383"/>
      <c r="AC4" s="1169"/>
      <c r="AD4" s="1171"/>
      <c r="AE4" s="1385"/>
      <c r="AF4" s="1386"/>
      <c r="AG4" s="145" t="s">
        <v>100</v>
      </c>
      <c r="AH4" s="1409"/>
      <c r="AI4" s="1409"/>
      <c r="AJ4" s="146" t="s">
        <v>101</v>
      </c>
      <c r="AK4" s="110"/>
      <c r="AL4" s="1395" t="s">
        <v>3641</v>
      </c>
      <c r="AM4" s="1395"/>
      <c r="AN4" s="1396"/>
      <c r="AO4" s="1392"/>
      <c r="AP4" s="1393"/>
      <c r="AQ4" s="1393"/>
      <c r="AR4" s="1393"/>
      <c r="AS4" s="1393"/>
      <c r="AT4" s="1393"/>
      <c r="AU4" s="1393"/>
      <c r="AV4" s="1393"/>
    </row>
    <row r="5" spans="1:48" ht="23.1" customHeight="1">
      <c r="A5" s="1383"/>
      <c r="B5" s="1169"/>
      <c r="C5" s="1171"/>
      <c r="D5" s="1365" t="s">
        <v>60</v>
      </c>
      <c r="E5" s="1187"/>
      <c r="F5" s="1295" t="s">
        <v>84</v>
      </c>
      <c r="G5" s="1289"/>
      <c r="H5" s="1289"/>
      <c r="I5" s="1399"/>
      <c r="J5" s="1301" t="s">
        <v>81</v>
      </c>
      <c r="K5" s="1299"/>
      <c r="L5" s="1299"/>
      <c r="M5" s="1300"/>
      <c r="N5" s="1339" t="s">
        <v>82</v>
      </c>
      <c r="O5" s="1340"/>
      <c r="P5" s="1340"/>
      <c r="Q5" s="1341"/>
      <c r="R5" s="1339" t="s">
        <v>83</v>
      </c>
      <c r="S5" s="1340"/>
      <c r="T5" s="1340"/>
      <c r="U5" s="1342"/>
      <c r="AB5" s="1383"/>
      <c r="AC5" s="1169"/>
      <c r="AD5" s="1171"/>
      <c r="AE5" s="1365" t="s">
        <v>60</v>
      </c>
      <c r="AF5" s="1187"/>
      <c r="AG5" s="1295" t="s">
        <v>84</v>
      </c>
      <c r="AH5" s="1289"/>
      <c r="AI5" s="1289"/>
      <c r="AJ5" s="1399"/>
      <c r="AK5" s="1301" t="s">
        <v>81</v>
      </c>
      <c r="AL5" s="1299"/>
      <c r="AM5" s="1299"/>
      <c r="AN5" s="1300"/>
      <c r="AO5" s="1339" t="s">
        <v>82</v>
      </c>
      <c r="AP5" s="1340"/>
      <c r="AQ5" s="1340"/>
      <c r="AR5" s="1341"/>
      <c r="AS5" s="1339" t="s">
        <v>83</v>
      </c>
      <c r="AT5" s="1340"/>
      <c r="AU5" s="1340"/>
      <c r="AV5" s="1342"/>
    </row>
    <row r="6" spans="1:48" ht="22.5" customHeight="1">
      <c r="A6" s="1383"/>
      <c r="B6" s="1169"/>
      <c r="C6" s="1171"/>
      <c r="D6" s="1366"/>
      <c r="E6" s="1367"/>
      <c r="F6" s="1535"/>
      <c r="G6" s="1536"/>
      <c r="H6" s="1536"/>
      <c r="I6" s="148" t="s">
        <v>103</v>
      </c>
      <c r="J6" s="1537" t="str">
        <f ca="1">IF($I$3&lt;&gt;"",IF(結果2面!$D$3=結果2面!$G$3,IF(結果1面!$Y$22="○",参考3_排出量経年!$L$273,IF(結果1面!$Y$23="○",参考3_排出量経年!$T$273,"")),"要入力"),"")</f>
        <v/>
      </c>
      <c r="K6" s="1538"/>
      <c r="L6" s="1538"/>
      <c r="M6" s="148" t="s">
        <v>103</v>
      </c>
      <c r="N6" s="1537" t="str">
        <f ca="1">IF($I$3&lt;&gt;"",IF(結果2面!$D$3=結果2面!$G$3-1,IF(結果1面!$Y$22="○",参考3_排出量経年!$L$273,IF(結果1面!$Y$23="○",参考3_排出量経年!$T$273,"")),IF(結果2面!$D$3&lt;結果2面!$G$3-1,"要入力","")),"")</f>
        <v/>
      </c>
      <c r="O6" s="1538"/>
      <c r="P6" s="1538"/>
      <c r="Q6" s="148" t="s">
        <v>103</v>
      </c>
      <c r="R6" s="1565" t="str">
        <f ca="1">IF($I$3&lt;&gt;"",IF(結果2面!$D$3=結果2面!$G$3-2,IF(結果1面!$Y$22="○",参考3_排出量経年!$L$273,IF(結果1面!$Y$23="○",参考3_排出量経年!$T$273,"")),IF(結果2面!$D$3&lt;結果2面!$G$3-2,"要入力","")),"")</f>
        <v/>
      </c>
      <c r="S6" s="1566"/>
      <c r="T6" s="1566"/>
      <c r="U6" s="147" t="s">
        <v>103</v>
      </c>
      <c r="Y6" s="120" t="s">
        <v>3618</v>
      </c>
      <c r="Z6" s="16"/>
      <c r="AA6" s="16"/>
      <c r="AB6" s="1383"/>
      <c r="AC6" s="1169"/>
      <c r="AD6" s="1171"/>
      <c r="AE6" s="1366"/>
      <c r="AF6" s="1367"/>
      <c r="AG6" s="1484">
        <v>3980</v>
      </c>
      <c r="AH6" s="1485"/>
      <c r="AI6" s="1485"/>
      <c r="AJ6" s="148" t="s">
        <v>103</v>
      </c>
      <c r="AK6" s="1484">
        <v>3940</v>
      </c>
      <c r="AL6" s="1485"/>
      <c r="AM6" s="1485"/>
      <c r="AN6" s="148" t="s">
        <v>103</v>
      </c>
      <c r="AO6" s="1484">
        <v>3900</v>
      </c>
      <c r="AP6" s="1485"/>
      <c r="AQ6" s="1485"/>
      <c r="AR6" s="148" t="s">
        <v>103</v>
      </c>
      <c r="AS6" s="1484">
        <v>3820</v>
      </c>
      <c r="AT6" s="1485"/>
      <c r="AU6" s="1485"/>
      <c r="AV6" s="147" t="s">
        <v>103</v>
      </c>
    </row>
    <row r="7" spans="1:48" ht="23.1" customHeight="1">
      <c r="A7" s="1383"/>
      <c r="B7" s="1169"/>
      <c r="C7" s="1171"/>
      <c r="D7" s="1366"/>
      <c r="E7" s="1367"/>
      <c r="F7" s="1301" t="s">
        <v>85</v>
      </c>
      <c r="G7" s="1299"/>
      <c r="H7" s="1299"/>
      <c r="I7" s="1300"/>
      <c r="J7" s="1301" t="s">
        <v>86</v>
      </c>
      <c r="K7" s="1299"/>
      <c r="L7" s="1299"/>
      <c r="M7" s="1300"/>
      <c r="N7" s="1301" t="s">
        <v>98</v>
      </c>
      <c r="O7" s="1299"/>
      <c r="P7" s="1299"/>
      <c r="Q7" s="1300"/>
      <c r="R7" s="1310" t="s">
        <v>97</v>
      </c>
      <c r="S7" s="1311"/>
      <c r="T7" s="1312"/>
      <c r="U7" s="1313"/>
      <c r="V7" s="122" t="s">
        <v>2323</v>
      </c>
      <c r="Z7" s="16"/>
      <c r="AA7" s="16"/>
      <c r="AB7" s="1383"/>
      <c r="AC7" s="1169"/>
      <c r="AD7" s="1171"/>
      <c r="AE7" s="1366"/>
      <c r="AF7" s="1367"/>
      <c r="AG7" s="1301" t="s">
        <v>85</v>
      </c>
      <c r="AH7" s="1299"/>
      <c r="AI7" s="1299"/>
      <c r="AJ7" s="1300"/>
      <c r="AK7" s="1301" t="s">
        <v>86</v>
      </c>
      <c r="AL7" s="1299"/>
      <c r="AM7" s="1299"/>
      <c r="AN7" s="1300"/>
      <c r="AO7" s="1301" t="s">
        <v>98</v>
      </c>
      <c r="AP7" s="1299"/>
      <c r="AQ7" s="1299"/>
      <c r="AR7" s="1300"/>
      <c r="AS7" s="1310" t="s">
        <v>97</v>
      </c>
      <c r="AT7" s="1311"/>
      <c r="AU7" s="1312"/>
      <c r="AV7" s="1313"/>
    </row>
    <row r="8" spans="1:48" ht="23.25" customHeight="1">
      <c r="A8" s="1383"/>
      <c r="B8" s="1496"/>
      <c r="C8" s="1497"/>
      <c r="D8" s="1208"/>
      <c r="E8" s="1174"/>
      <c r="F8" s="1544" t="str">
        <f ca="1">IF($I$3&lt;&gt;"",IF(結果2面!$D$3=結果2面!$G$3-3,IF(結果1面!$Y$22="○",参考3_排出量経年!$L$273,IF(結果1面!$Y$23="○",参考3_排出量経年!$T$273,"")),IF(結果2面!$D$3&lt;結果2面!$G$3-3,"要入力","")),"")</f>
        <v/>
      </c>
      <c r="G8" s="1545"/>
      <c r="H8" s="1545"/>
      <c r="I8" s="42" t="s">
        <v>103</v>
      </c>
      <c r="J8" s="1544" t="str">
        <f ca="1">IF($I$3&lt;&gt;"",IF(結果2面!$D$3=結果2面!$G$3-4,IF(結果1面!$Y$22="○",参考3_排出量経年!$L$273,IF(結果1面!$Y$23="○",参考3_排出量経年!$T$273,"")),IF(結果2面!$D$3&lt;結果2面!$G$3-4,"要入力","")),"")</f>
        <v/>
      </c>
      <c r="K8" s="1545"/>
      <c r="L8" s="1545"/>
      <c r="M8" s="148" t="s">
        <v>103</v>
      </c>
      <c r="N8" s="1535"/>
      <c r="O8" s="1536"/>
      <c r="P8" s="1536"/>
      <c r="Q8" s="148" t="s">
        <v>103</v>
      </c>
      <c r="R8" s="1525" t="str">
        <f>IF(F6="","",IF(J8&lt;&gt;"",(F6-J8)/F6*100,IF(F8&lt;&gt;"",(F6-F8)/F6*100,IF(R6&lt;&gt;"",(F6-R6)/F6*100,IF(N6&lt;&gt;"",(F6-N6)/F6*100,(F6-J6)/F6*100)))))</f>
        <v/>
      </c>
      <c r="S8" s="1526"/>
      <c r="T8" s="1526"/>
      <c r="U8" s="147" t="s">
        <v>129</v>
      </c>
      <c r="V8" s="174" t="str">
        <f>IF(F6="","",IF(J8&lt;&gt;"",IF(0&lt;=N8-J8,"達成","非達成"),IF(F8&lt;&gt;"",IF(0&lt;=N8-F8,"達成","非達成"),IF(R6&lt;&gt;"",IF(0&lt;=N8-R6,"達成","非達成"),IF(N6&lt;&gt;"",IF(0&lt;=N8-N6,"達成","非達成"),IF(0&lt;=N8-J6,"達成","非達成"))))))</f>
        <v/>
      </c>
      <c r="Z8" s="16"/>
      <c r="AA8" s="16"/>
      <c r="AB8" s="1383"/>
      <c r="AC8" s="1496"/>
      <c r="AD8" s="1497"/>
      <c r="AE8" s="1208"/>
      <c r="AF8" s="1174"/>
      <c r="AG8" s="1523"/>
      <c r="AH8" s="1524"/>
      <c r="AI8" s="1524"/>
      <c r="AJ8" s="42" t="s">
        <v>103</v>
      </c>
      <c r="AK8" s="1523"/>
      <c r="AL8" s="1524"/>
      <c r="AM8" s="1524"/>
      <c r="AN8" s="148" t="s">
        <v>103</v>
      </c>
      <c r="AO8" s="1484">
        <v>3830</v>
      </c>
      <c r="AP8" s="1485"/>
      <c r="AQ8" s="1485"/>
      <c r="AR8" s="148" t="s">
        <v>103</v>
      </c>
      <c r="AS8" s="1525">
        <f>IF(AG6="","",IF(AK8&lt;&gt;"",(AG6-AK8)/AG6*100,IF(AG8&lt;&gt;"",(AG6-AG8)/AG6*100,IF(AS6&lt;&gt;"",(AG6-AS6)/AG6*100,IF(AO6&lt;&gt;"",(AG6-AO6)/AG6*100,(AG6-AK6)/AG6*100)))))</f>
        <v>4.0201005025125625</v>
      </c>
      <c r="AT8" s="1526"/>
      <c r="AU8" s="1526"/>
      <c r="AV8" s="147" t="s">
        <v>105</v>
      </c>
    </row>
    <row r="9" spans="1:48" s="34" customFormat="1" ht="26.1" customHeight="1">
      <c r="A9" s="1383"/>
      <c r="B9" s="1166" t="s">
        <v>214</v>
      </c>
      <c r="C9" s="1168"/>
      <c r="D9" s="1301" t="s">
        <v>80</v>
      </c>
      <c r="E9" s="1300"/>
      <c r="F9" s="1541"/>
      <c r="G9" s="1542"/>
      <c r="H9" s="1542"/>
      <c r="I9" s="1543"/>
      <c r="J9" s="1336" t="s">
        <v>75</v>
      </c>
      <c r="K9" s="1337"/>
      <c r="L9" s="1337"/>
      <c r="M9" s="1501"/>
      <c r="N9" s="9" t="str">
        <f>IF(F9="","",I6&amp;"/")</f>
        <v/>
      </c>
      <c r="O9" s="1570"/>
      <c r="P9" s="1570"/>
      <c r="Q9" s="1571"/>
      <c r="R9" s="1364"/>
      <c r="S9" s="1116"/>
      <c r="T9" s="1116"/>
      <c r="U9" s="1116"/>
      <c r="V9" s="41"/>
      <c r="Z9" s="16"/>
      <c r="AA9" s="16"/>
      <c r="AB9" s="1383"/>
      <c r="AC9" s="1166" t="s">
        <v>214</v>
      </c>
      <c r="AD9" s="1168"/>
      <c r="AE9" s="1301" t="s">
        <v>80</v>
      </c>
      <c r="AF9" s="1300"/>
      <c r="AG9" s="1498" t="s">
        <v>225</v>
      </c>
      <c r="AH9" s="1499"/>
      <c r="AI9" s="1499"/>
      <c r="AJ9" s="1500"/>
      <c r="AK9" s="1336" t="s">
        <v>75</v>
      </c>
      <c r="AL9" s="1337"/>
      <c r="AM9" s="1337"/>
      <c r="AN9" s="1501"/>
      <c r="AO9" s="9" t="str">
        <f>IF(AG9="","",AJ6&amp;"/")</f>
        <v>tCO2/</v>
      </c>
      <c r="AP9" s="1502" t="s">
        <v>226</v>
      </c>
      <c r="AQ9" s="1502"/>
      <c r="AR9" s="1503"/>
      <c r="AS9" s="1364"/>
      <c r="AT9" s="1116"/>
      <c r="AU9" s="1116"/>
      <c r="AV9" s="1116"/>
    </row>
    <row r="10" spans="1:48" ht="23.1" customHeight="1" thickBot="1">
      <c r="A10" s="1383"/>
      <c r="B10" s="1169"/>
      <c r="C10" s="1171"/>
      <c r="D10" s="1365" t="s">
        <v>69</v>
      </c>
      <c r="E10" s="1187"/>
      <c r="F10" s="1301" t="s">
        <v>93</v>
      </c>
      <c r="G10" s="1299"/>
      <c r="H10" s="1299"/>
      <c r="I10" s="1300"/>
      <c r="J10" s="1301" t="s">
        <v>87</v>
      </c>
      <c r="K10" s="1299"/>
      <c r="L10" s="1299"/>
      <c r="M10" s="1300"/>
      <c r="N10" s="1301" t="s">
        <v>88</v>
      </c>
      <c r="O10" s="1299"/>
      <c r="P10" s="1299"/>
      <c r="Q10" s="1300"/>
      <c r="R10" s="1356" t="s">
        <v>89</v>
      </c>
      <c r="S10" s="1368"/>
      <c r="T10" s="1368"/>
      <c r="U10" s="1369"/>
      <c r="V10" s="173" t="s">
        <v>4578</v>
      </c>
      <c r="Z10" s="16"/>
      <c r="AA10" s="16"/>
      <c r="AB10" s="1383"/>
      <c r="AC10" s="1169"/>
      <c r="AD10" s="1171"/>
      <c r="AE10" s="1365" t="s">
        <v>69</v>
      </c>
      <c r="AF10" s="1187"/>
      <c r="AG10" s="1301" t="s">
        <v>93</v>
      </c>
      <c r="AH10" s="1299"/>
      <c r="AI10" s="1299"/>
      <c r="AJ10" s="1300"/>
      <c r="AK10" s="1301" t="s">
        <v>87</v>
      </c>
      <c r="AL10" s="1299"/>
      <c r="AM10" s="1299"/>
      <c r="AN10" s="1300"/>
      <c r="AO10" s="1301" t="s">
        <v>88</v>
      </c>
      <c r="AP10" s="1299"/>
      <c r="AQ10" s="1299"/>
      <c r="AR10" s="1300"/>
      <c r="AS10" s="1356" t="s">
        <v>89</v>
      </c>
      <c r="AT10" s="1368"/>
      <c r="AU10" s="1368"/>
      <c r="AV10" s="1369"/>
    </row>
    <row r="11" spans="1:48" ht="23.25" customHeight="1" thickBot="1">
      <c r="A11" s="1383"/>
      <c r="B11" s="1169"/>
      <c r="C11" s="1171"/>
      <c r="D11" s="1366"/>
      <c r="E11" s="1367"/>
      <c r="F11" s="1532"/>
      <c r="G11" s="1533"/>
      <c r="H11" s="1528" t="str">
        <f>N9&amp;O9</f>
        <v/>
      </c>
      <c r="I11" s="1529"/>
      <c r="J11" s="1539" t="str">
        <f ca="1">IF(J6=0,0,IFERROR(IF(AND($I$3&lt;&gt;"",$F$9&lt;&gt;""),IF(結果2面!$D$3=結果2面!$G$3,IF(結果1面!$Y$22="○",ROUND(J6/$V$11,2-INT(LOG(J6/$V$11))),IF(結果1面!$Y$23="○",ROUND(J6/$V$11,2-INT(LOG(J6/$V$11))),"")),IF($F$9&lt;&gt;"","要入力")),""),""))</f>
        <v/>
      </c>
      <c r="K11" s="1540"/>
      <c r="L11" s="1472" t="str">
        <f>N9&amp;O9</f>
        <v/>
      </c>
      <c r="M11" s="1478"/>
      <c r="N11" s="1546" t="str">
        <f ca="1">IF(N6=0,0,IFERROR(IF($I$3&lt;&gt;"",IF(結果2面!$D$3=結果2面!$G$3-1,IF(結果1面!$Y$22="○",ROUND(N6/$V$11,2-INT(LOG(N6/$V$11))),IF(結果1面!$Y$23="○",ROUND(N6/$V$11,2-INT(LOG(N6/$V$11))),"")),IF(AND($F$9&lt;&gt;"",結果2面!$D$3&lt;結果2面!$G$3-1),"要入力","")),""),""))</f>
        <v/>
      </c>
      <c r="O11" s="1547"/>
      <c r="P11" s="1472" t="str">
        <f>N9&amp;O9</f>
        <v/>
      </c>
      <c r="Q11" s="1478"/>
      <c r="R11" s="1539" t="str">
        <f ca="1">IF(R6=0,0,IFERROR(IF($I$3&lt;&gt;"",IF(結果2面!$D$3=結果2面!$G$3-2,IF(結果1面!$Y$22="○",ROUND(R6/$V$11,2-INT(LOG(R6/$V$11))),IF(結果1面!$Y$23="○",ROUND(R6/$V$11,2-INT(LOG(R6/$V$11))),"")),IF(AND($F$9&lt;&gt;"",結果2面!$D$3&lt;結果2面!$G$3-2),"要入力","")),""),""))</f>
        <v/>
      </c>
      <c r="S11" s="1540"/>
      <c r="T11" s="1472" t="str">
        <f>N9&amp;O9</f>
        <v/>
      </c>
      <c r="U11" s="1472"/>
      <c r="V11" s="747"/>
      <c r="Z11" s="16"/>
      <c r="AA11" s="16"/>
      <c r="AB11" s="1383"/>
      <c r="AC11" s="1169"/>
      <c r="AD11" s="1171"/>
      <c r="AE11" s="1366"/>
      <c r="AF11" s="1367"/>
      <c r="AG11" s="1527" t="s">
        <v>2324</v>
      </c>
      <c r="AH11" s="1467"/>
      <c r="AI11" s="1528" t="str">
        <f>AO9&amp;AP9</f>
        <v>tCO2/千km</v>
      </c>
      <c r="AJ11" s="1529"/>
      <c r="AK11" s="1479">
        <v>0.60199999999999998</v>
      </c>
      <c r="AL11" s="1480"/>
      <c r="AM11" s="1472" t="str">
        <f>AO9&amp;AP9</f>
        <v>tCO2/千km</v>
      </c>
      <c r="AN11" s="1478"/>
      <c r="AO11" s="1466">
        <v>0.60099999999999998</v>
      </c>
      <c r="AP11" s="1467"/>
      <c r="AQ11" s="1472" t="str">
        <f>AO9&amp;AP9</f>
        <v>tCO2/千km</v>
      </c>
      <c r="AR11" s="1478"/>
      <c r="AS11" s="1479">
        <v>0.59099999999999997</v>
      </c>
      <c r="AT11" s="1480"/>
      <c r="AU11" s="1472" t="str">
        <f>AO9&amp;AP9</f>
        <v>tCO2/千km</v>
      </c>
      <c r="AV11" s="1473"/>
    </row>
    <row r="12" spans="1:48" ht="23.1" customHeight="1">
      <c r="A12" s="1383"/>
      <c r="B12" s="1169"/>
      <c r="C12" s="1171"/>
      <c r="D12" s="1366"/>
      <c r="E12" s="1367"/>
      <c r="F12" s="1301" t="s">
        <v>90</v>
      </c>
      <c r="G12" s="1299"/>
      <c r="H12" s="1299"/>
      <c r="I12" s="1300"/>
      <c r="J12" s="1301" t="s">
        <v>91</v>
      </c>
      <c r="K12" s="1299"/>
      <c r="L12" s="1299"/>
      <c r="M12" s="1300"/>
      <c r="N12" s="1301" t="s">
        <v>106</v>
      </c>
      <c r="O12" s="1299"/>
      <c r="P12" s="1299"/>
      <c r="Q12" s="1300"/>
      <c r="R12" s="1310" t="s">
        <v>92</v>
      </c>
      <c r="S12" s="1311"/>
      <c r="T12" s="1312"/>
      <c r="U12" s="1313"/>
      <c r="V12" s="172" t="s">
        <v>2323</v>
      </c>
      <c r="Z12" s="16"/>
      <c r="AA12" s="16"/>
      <c r="AB12" s="1383"/>
      <c r="AC12" s="1169"/>
      <c r="AD12" s="1171"/>
      <c r="AE12" s="1366"/>
      <c r="AF12" s="1367"/>
      <c r="AG12" s="1301" t="s">
        <v>90</v>
      </c>
      <c r="AH12" s="1299"/>
      <c r="AI12" s="1299"/>
      <c r="AJ12" s="1300"/>
      <c r="AK12" s="1301" t="s">
        <v>91</v>
      </c>
      <c r="AL12" s="1299"/>
      <c r="AM12" s="1299"/>
      <c r="AN12" s="1300"/>
      <c r="AO12" s="1301" t="s">
        <v>106</v>
      </c>
      <c r="AP12" s="1299"/>
      <c r="AQ12" s="1299"/>
      <c r="AR12" s="1300"/>
      <c r="AS12" s="1310" t="s">
        <v>92</v>
      </c>
      <c r="AT12" s="1311"/>
      <c r="AU12" s="1312"/>
      <c r="AV12" s="1313"/>
    </row>
    <row r="13" spans="1:48" ht="21.75" customHeight="1">
      <c r="A13" s="1383"/>
      <c r="B13" s="1496"/>
      <c r="C13" s="1497"/>
      <c r="D13" s="1208"/>
      <c r="E13" s="1174"/>
      <c r="F13" s="1560" t="str">
        <f ca="1">IF(F8=0,0,IFERROR(IF($I$3&lt;&gt;"",IF(結果2面!$D$3=結果2面!$G$3-3,IF(結果1面!$Y$22="○",ROUND(F8/$V$11,2-INT(LOG(F8/$V$11))),IF(結果1面!$Y$23="○",ROUND(F8/$V$11,2-INT(LOG(F8/$V$11))),"")),IF(AND($F$9&lt;&gt;"",結果2面!$D$3&lt;結果2面!$G$3-3),"要入力","")),""),""))</f>
        <v/>
      </c>
      <c r="G13" s="1561"/>
      <c r="H13" s="1468" t="str">
        <f>N9&amp;O9</f>
        <v/>
      </c>
      <c r="I13" s="1469"/>
      <c r="J13" s="1568" t="str">
        <f ca="1">IF(J8=0,0,IFERROR(IF($I$3&lt;&gt;"",IF(結果2面!$D$3=結果2面!$G$3-4,IF(結果1面!$Y$22="○",ROUND(J8/$V$11,2-INT(LOG(J8/$V$11))),IF(結果1面!$Y$23="○",ROUND(J8/$V$11,2-INT(LOG(J8/$V$11))),"")),IF(AND($F$9&lt;&gt;"",結果2面!$D$3&lt;結果2面!$G$3-4),"要入力","")),""),""))</f>
        <v/>
      </c>
      <c r="K13" s="1569"/>
      <c r="L13" s="1468" t="str">
        <f>N9&amp;O9</f>
        <v/>
      </c>
      <c r="M13" s="1469"/>
      <c r="N13" s="1554"/>
      <c r="O13" s="1555"/>
      <c r="P13" s="1468" t="str">
        <f>N9&amp;O9</f>
        <v/>
      </c>
      <c r="Q13" s="1469"/>
      <c r="R13" s="1525" t="str">
        <f>IF(F11="","",IF(J13&lt;&gt;"",(F11-J13)/F11*100,IF(F13&lt;&gt;"",(F11-F13)/F11*100,IF(R11&lt;&gt;"",(F11-R11)/F11*100,IF(N11&lt;&gt;"",(F11-N11)/F11*100,(F11-J11)/F11*100)))))</f>
        <v/>
      </c>
      <c r="S13" s="1526"/>
      <c r="T13" s="1526"/>
      <c r="U13" s="147" t="s">
        <v>130</v>
      </c>
      <c r="V13" s="174" t="str">
        <f>IF(F11="","",IF(J13&lt;&gt;"",IF(0&lt;=N13-J13,"達成","非達成"),IF(F13&lt;&gt;"",IF(0&lt;=N13-F13,"達成","非達成"),IF(R11&lt;&gt;"",IF(0&lt;=N13-R11,"達成","非達成"),IF(N11&lt;&gt;"",IF(0&lt;=N13-N11,"達成","非達成"),IF(0&lt;=N13-J11,"達成","非達成"))))))</f>
        <v/>
      </c>
      <c r="AB13" s="1383"/>
      <c r="AC13" s="1496"/>
      <c r="AD13" s="1497"/>
      <c r="AE13" s="1208"/>
      <c r="AF13" s="1174"/>
      <c r="AG13" s="1474"/>
      <c r="AH13" s="1475"/>
      <c r="AI13" s="1468" t="str">
        <f>AO9&amp;AP9</f>
        <v>tCO2/千km</v>
      </c>
      <c r="AJ13" s="1469"/>
      <c r="AK13" s="1476"/>
      <c r="AL13" s="1477"/>
      <c r="AM13" s="1468" t="str">
        <f>AO9&amp;AP9</f>
        <v>tCO2/千km</v>
      </c>
      <c r="AN13" s="1469"/>
      <c r="AO13" s="1474">
        <v>0.59399999999999997</v>
      </c>
      <c r="AP13" s="1475"/>
      <c r="AQ13" s="1468" t="str">
        <f>AO9&amp;AP9</f>
        <v>tCO2/千km</v>
      </c>
      <c r="AR13" s="1469"/>
      <c r="AS13" s="1525">
        <f>IF(AG11="","",IF(AK13&lt;&gt;"",(AG11-AK13)/AG11*100,IF(AG13&lt;&gt;"",(AG11-AG13)/AG11*100,IF(AS11&lt;&gt;"",(AG11-AS11)/AG11*100,IF(AO11&lt;&gt;"",(AG11-AO11)/AG11*100,(AG11-AK11)/AG11*100)))))</f>
        <v>6.190476190476196</v>
      </c>
      <c r="AT13" s="1526"/>
      <c r="AU13" s="1526"/>
      <c r="AV13" s="147" t="s">
        <v>105</v>
      </c>
    </row>
    <row r="14" spans="1:48" s="34" customFormat="1" ht="225" customHeight="1">
      <c r="A14" s="1383"/>
      <c r="B14" s="1166" t="s">
        <v>204</v>
      </c>
      <c r="C14" s="1167"/>
      <c r="D14" s="1167"/>
      <c r="E14" s="1168"/>
      <c r="F14" s="1455" t="s">
        <v>3724</v>
      </c>
      <c r="G14" s="1456"/>
      <c r="H14" s="1456"/>
      <c r="I14" s="1456"/>
      <c r="J14" s="1456"/>
      <c r="K14" s="1456"/>
      <c r="L14" s="1456"/>
      <c r="M14" s="1456"/>
      <c r="N14" s="1456"/>
      <c r="O14" s="1456"/>
      <c r="P14" s="1456"/>
      <c r="Q14" s="1456"/>
      <c r="R14" s="1456"/>
      <c r="S14" s="1456"/>
      <c r="T14" s="1456"/>
      <c r="U14" s="1457"/>
      <c r="V14" s="41"/>
      <c r="Z14" s="14"/>
      <c r="AA14" s="14"/>
      <c r="AB14" s="1383"/>
      <c r="AC14" s="1166" t="s">
        <v>131</v>
      </c>
      <c r="AD14" s="1167"/>
      <c r="AE14" s="1167"/>
      <c r="AF14" s="1168"/>
      <c r="AG14" s="1510" t="s">
        <v>3717</v>
      </c>
      <c r="AH14" s="1511"/>
      <c r="AI14" s="1511"/>
      <c r="AJ14" s="1511"/>
      <c r="AK14" s="1511"/>
      <c r="AL14" s="1511"/>
      <c r="AM14" s="1511"/>
      <c r="AN14" s="1511"/>
      <c r="AO14" s="1511"/>
      <c r="AP14" s="1511"/>
      <c r="AQ14" s="1511"/>
      <c r="AR14" s="1511"/>
      <c r="AS14" s="1511"/>
      <c r="AT14" s="1511"/>
      <c r="AU14" s="1511"/>
      <c r="AV14" s="1512"/>
    </row>
    <row r="15" spans="1:48" s="12" customFormat="1" ht="14.1" customHeight="1">
      <c r="A15" s="1383"/>
      <c r="B15" s="1166" t="s">
        <v>94</v>
      </c>
      <c r="C15" s="1168"/>
      <c r="D15" s="1513" t="s">
        <v>17</v>
      </c>
      <c r="E15" s="1513"/>
      <c r="F15" s="1513"/>
      <c r="G15" s="1513"/>
      <c r="H15" s="1513"/>
      <c r="I15" s="1513"/>
      <c r="J15" s="1513"/>
      <c r="K15" s="1513"/>
      <c r="L15" s="1513"/>
      <c r="M15" s="1513"/>
      <c r="N15" s="1513" t="s">
        <v>95</v>
      </c>
      <c r="O15" s="1513"/>
      <c r="P15" s="1513"/>
      <c r="Q15" s="1514"/>
      <c r="R15" s="1515"/>
      <c r="S15" s="1516"/>
      <c r="T15" s="1516"/>
      <c r="U15" s="1516"/>
      <c r="V15" s="15"/>
      <c r="Z15" s="31"/>
      <c r="AA15" s="31"/>
      <c r="AB15" s="1383"/>
      <c r="AC15" s="1166" t="s">
        <v>94</v>
      </c>
      <c r="AD15" s="1168"/>
      <c r="AE15" s="1513" t="s">
        <v>17</v>
      </c>
      <c r="AF15" s="1513"/>
      <c r="AG15" s="1513"/>
      <c r="AH15" s="1513"/>
      <c r="AI15" s="1513"/>
      <c r="AJ15" s="1513"/>
      <c r="AK15" s="1513"/>
      <c r="AL15" s="1513"/>
      <c r="AM15" s="1513"/>
      <c r="AN15" s="1513"/>
      <c r="AO15" s="1513" t="s">
        <v>95</v>
      </c>
      <c r="AP15" s="1513"/>
      <c r="AQ15" s="1513"/>
      <c r="AR15" s="1514"/>
      <c r="AS15" s="1515"/>
      <c r="AT15" s="1516"/>
      <c r="AU15" s="1516"/>
      <c r="AV15" s="1516"/>
    </row>
    <row r="16" spans="1:48" s="12" customFormat="1" ht="14.1" customHeight="1">
      <c r="A16" s="1383"/>
      <c r="B16" s="1169"/>
      <c r="C16" s="1171"/>
      <c r="D16" s="1504" t="s">
        <v>7</v>
      </c>
      <c r="E16" s="1504"/>
      <c r="F16" s="1504"/>
      <c r="G16" s="1504"/>
      <c r="H16" s="1504"/>
      <c r="I16" s="1504"/>
      <c r="J16" s="1548" t="str">
        <f ca="1">IF(結果1面!E22="□","",IF(AND(結果1面!Y22="○",結果1面!Y23=""),結果1面!T22,IF(AND(結果1面!Y22="",結果1面!Y23="○"),結果1面!U23,"")))</f>
        <v/>
      </c>
      <c r="K16" s="1548"/>
      <c r="L16" s="1549"/>
      <c r="M16" s="43" t="s">
        <v>8</v>
      </c>
      <c r="N16" s="1520"/>
      <c r="O16" s="1520"/>
      <c r="P16" s="1520"/>
      <c r="Q16" s="1521"/>
      <c r="R16" s="1517"/>
      <c r="S16" s="1383"/>
      <c r="T16" s="1383"/>
      <c r="U16" s="1383"/>
      <c r="V16" s="144"/>
      <c r="Y16" s="120" t="s">
        <v>3619</v>
      </c>
      <c r="Z16" s="31"/>
      <c r="AA16" s="31"/>
      <c r="AB16" s="1383"/>
      <c r="AC16" s="1169"/>
      <c r="AD16" s="1171"/>
      <c r="AE16" s="1504" t="s">
        <v>7</v>
      </c>
      <c r="AF16" s="1504"/>
      <c r="AG16" s="1504"/>
      <c r="AH16" s="1504"/>
      <c r="AI16" s="1504"/>
      <c r="AJ16" s="1504"/>
      <c r="AK16" s="1518">
        <v>110</v>
      </c>
      <c r="AL16" s="1518"/>
      <c r="AM16" s="1519"/>
      <c r="AN16" s="43" t="s">
        <v>8</v>
      </c>
      <c r="AO16" s="1520"/>
      <c r="AP16" s="1520"/>
      <c r="AQ16" s="1520"/>
      <c r="AR16" s="1521"/>
      <c r="AS16" s="1517"/>
      <c r="AT16" s="1383"/>
      <c r="AU16" s="1383"/>
      <c r="AV16" s="1383"/>
    </row>
    <row r="17" spans="1:51" s="12" customFormat="1" ht="14.1" customHeight="1">
      <c r="A17" s="1383"/>
      <c r="B17" s="1169"/>
      <c r="C17" s="1171"/>
      <c r="D17" s="1504" t="s">
        <v>78</v>
      </c>
      <c r="E17" s="1504"/>
      <c r="F17" s="1504"/>
      <c r="G17" s="1504"/>
      <c r="H17" s="1504"/>
      <c r="I17" s="1504"/>
      <c r="J17" s="1552"/>
      <c r="K17" s="1552"/>
      <c r="L17" s="1553"/>
      <c r="M17" s="43" t="s">
        <v>8</v>
      </c>
      <c r="N17" s="1507" t="str">
        <f ca="1">IF(J16="","",J17/$J$16*100)</f>
        <v/>
      </c>
      <c r="O17" s="1507"/>
      <c r="P17" s="1508"/>
      <c r="Q17" s="24" t="s">
        <v>132</v>
      </c>
      <c r="R17" s="1517"/>
      <c r="S17" s="1383"/>
      <c r="T17" s="1383"/>
      <c r="U17" s="1383"/>
      <c r="V17" s="15"/>
      <c r="Z17" s="14"/>
      <c r="AA17" s="14"/>
      <c r="AB17" s="1383"/>
      <c r="AC17" s="1169"/>
      <c r="AD17" s="1171"/>
      <c r="AE17" s="1504" t="s">
        <v>78</v>
      </c>
      <c r="AF17" s="1504"/>
      <c r="AG17" s="1504"/>
      <c r="AH17" s="1504"/>
      <c r="AI17" s="1504"/>
      <c r="AJ17" s="1504"/>
      <c r="AK17" s="1505">
        <v>3</v>
      </c>
      <c r="AL17" s="1505"/>
      <c r="AM17" s="1506"/>
      <c r="AN17" s="43" t="s">
        <v>8</v>
      </c>
      <c r="AO17" s="1507">
        <f>IF(AK16="","",AK17/$AK$16*100)</f>
        <v>2.7272727272727271</v>
      </c>
      <c r="AP17" s="1507"/>
      <c r="AQ17" s="1508"/>
      <c r="AR17" s="24" t="s">
        <v>105</v>
      </c>
      <c r="AS17" s="1517"/>
      <c r="AT17" s="1383"/>
      <c r="AU17" s="1383"/>
      <c r="AV17" s="1383"/>
    </row>
    <row r="18" spans="1:51" s="12" customFormat="1" ht="14.1" customHeight="1">
      <c r="A18" s="1383"/>
      <c r="B18" s="1169"/>
      <c r="C18" s="1171"/>
      <c r="D18" s="1509" t="s">
        <v>205</v>
      </c>
      <c r="E18" s="1509"/>
      <c r="F18" s="1509"/>
      <c r="G18" s="1509"/>
      <c r="H18" s="1509"/>
      <c r="I18" s="1509"/>
      <c r="J18" s="1552"/>
      <c r="K18" s="1552"/>
      <c r="L18" s="1553"/>
      <c r="M18" s="43" t="s">
        <v>8</v>
      </c>
      <c r="N18" s="1507" t="str">
        <f ca="1">IF(J16="","",J18/$J$16*100)</f>
        <v/>
      </c>
      <c r="O18" s="1507"/>
      <c r="P18" s="1508"/>
      <c r="Q18" s="24" t="s">
        <v>132</v>
      </c>
      <c r="R18" s="1517"/>
      <c r="S18" s="1383"/>
      <c r="T18" s="1383"/>
      <c r="U18" s="1383"/>
      <c r="V18" s="15"/>
      <c r="Z18" s="22"/>
      <c r="AA18" s="22"/>
      <c r="AB18" s="1383"/>
      <c r="AC18" s="1169"/>
      <c r="AD18" s="1171"/>
      <c r="AE18" s="1509" t="s">
        <v>205</v>
      </c>
      <c r="AF18" s="1509"/>
      <c r="AG18" s="1509"/>
      <c r="AH18" s="1509"/>
      <c r="AI18" s="1509"/>
      <c r="AJ18" s="1509"/>
      <c r="AK18" s="1505">
        <v>2</v>
      </c>
      <c r="AL18" s="1505"/>
      <c r="AM18" s="1506"/>
      <c r="AN18" s="43" t="s">
        <v>8</v>
      </c>
      <c r="AO18" s="1507">
        <f>IF(AK17="","",AK18/$AK$16*100)</f>
        <v>1.8181818181818181</v>
      </c>
      <c r="AP18" s="1507"/>
      <c r="AQ18" s="1508"/>
      <c r="AR18" s="24" t="s">
        <v>105</v>
      </c>
      <c r="AS18" s="1517"/>
      <c r="AT18" s="1383"/>
      <c r="AU18" s="1383"/>
      <c r="AV18" s="1383"/>
    </row>
    <row r="19" spans="1:51" s="12" customFormat="1" ht="14.1" customHeight="1">
      <c r="A19" s="1383"/>
      <c r="B19" s="1169"/>
      <c r="C19" s="1171"/>
      <c r="D19" s="1504" t="s">
        <v>206</v>
      </c>
      <c r="E19" s="1504"/>
      <c r="F19" s="1504"/>
      <c r="G19" s="1504"/>
      <c r="H19" s="1504"/>
      <c r="I19" s="1504"/>
      <c r="J19" s="1552"/>
      <c r="K19" s="1552"/>
      <c r="L19" s="1553"/>
      <c r="M19" s="43" t="s">
        <v>8</v>
      </c>
      <c r="N19" s="1507" t="str">
        <f ca="1">IF(J16="","",J19/$J$16*100)</f>
        <v/>
      </c>
      <c r="O19" s="1507"/>
      <c r="P19" s="1508"/>
      <c r="Q19" s="24" t="s">
        <v>132</v>
      </c>
      <c r="R19" s="1517"/>
      <c r="S19" s="1383"/>
      <c r="T19" s="1383"/>
      <c r="U19" s="1383"/>
      <c r="V19" s="15"/>
      <c r="Z19" s="22"/>
      <c r="AA19" s="22"/>
      <c r="AB19" s="1383"/>
      <c r="AC19" s="1169"/>
      <c r="AD19" s="1171"/>
      <c r="AE19" s="1504" t="s">
        <v>206</v>
      </c>
      <c r="AF19" s="1504"/>
      <c r="AG19" s="1504"/>
      <c r="AH19" s="1504"/>
      <c r="AI19" s="1504"/>
      <c r="AJ19" s="1504"/>
      <c r="AK19" s="1505">
        <v>5</v>
      </c>
      <c r="AL19" s="1505"/>
      <c r="AM19" s="1506"/>
      <c r="AN19" s="43" t="s">
        <v>8</v>
      </c>
      <c r="AO19" s="1507">
        <f>IF(AK18="","",AK19/$AK$16*100)</f>
        <v>4.5454545454545459</v>
      </c>
      <c r="AP19" s="1507"/>
      <c r="AQ19" s="1508"/>
      <c r="AR19" s="24" t="s">
        <v>105</v>
      </c>
      <c r="AS19" s="1517"/>
      <c r="AT19" s="1383"/>
      <c r="AU19" s="1383"/>
      <c r="AV19" s="1383"/>
    </row>
    <row r="20" spans="1:51" s="12" customFormat="1" ht="14.1" customHeight="1">
      <c r="A20" s="1383"/>
      <c r="B20" s="1496"/>
      <c r="C20" s="1497"/>
      <c r="D20" s="1522" t="s">
        <v>207</v>
      </c>
      <c r="E20" s="1522"/>
      <c r="F20" s="1522"/>
      <c r="G20" s="1522"/>
      <c r="H20" s="1522"/>
      <c r="I20" s="1522"/>
      <c r="J20" s="1550"/>
      <c r="K20" s="1550"/>
      <c r="L20" s="1551"/>
      <c r="M20" s="42" t="s">
        <v>8</v>
      </c>
      <c r="N20" s="1507" t="str">
        <f ca="1">IF(J16="","",J20/$J$16*100)</f>
        <v/>
      </c>
      <c r="O20" s="1507"/>
      <c r="P20" s="1508"/>
      <c r="Q20" s="44" t="s">
        <v>132</v>
      </c>
      <c r="R20" s="1517"/>
      <c r="S20" s="1383"/>
      <c r="T20" s="1383"/>
      <c r="U20" s="1383"/>
      <c r="V20" s="15"/>
      <c r="Z20" s="22"/>
      <c r="AA20" s="22"/>
      <c r="AB20" s="1383"/>
      <c r="AC20" s="1496"/>
      <c r="AD20" s="1497"/>
      <c r="AE20" s="1522" t="s">
        <v>207</v>
      </c>
      <c r="AF20" s="1522"/>
      <c r="AG20" s="1522"/>
      <c r="AH20" s="1522"/>
      <c r="AI20" s="1522"/>
      <c r="AJ20" s="1522"/>
      <c r="AK20" s="1523">
        <v>0</v>
      </c>
      <c r="AL20" s="1523"/>
      <c r="AM20" s="1524"/>
      <c r="AN20" s="42" t="s">
        <v>8</v>
      </c>
      <c r="AO20" s="1507">
        <f>IF(AK19="","",AK20/$AK$16*100)</f>
        <v>0</v>
      </c>
      <c r="AP20" s="1507"/>
      <c r="AQ20" s="1508"/>
      <c r="AR20" s="44" t="s">
        <v>105</v>
      </c>
      <c r="AS20" s="1517"/>
      <c r="AT20" s="1383"/>
      <c r="AU20" s="1383"/>
      <c r="AV20" s="1383"/>
    </row>
    <row r="21" spans="1:51" s="34" customFormat="1" ht="9.9" customHeight="1">
      <c r="A21" s="1383"/>
      <c r="B21" s="1331"/>
      <c r="C21" s="1331"/>
      <c r="D21" s="1331"/>
      <c r="E21" s="1331"/>
      <c r="F21" s="1331"/>
      <c r="G21" s="1331"/>
      <c r="H21" s="1331"/>
      <c r="I21" s="1331"/>
      <c r="J21" s="1331"/>
      <c r="K21" s="1331"/>
      <c r="L21" s="1331"/>
      <c r="M21" s="1331"/>
      <c r="N21" s="1331"/>
      <c r="O21" s="1331"/>
      <c r="P21" s="1331"/>
      <c r="Q21" s="1331"/>
      <c r="R21" s="1481"/>
      <c r="S21" s="1481"/>
      <c r="T21" s="1481"/>
      <c r="U21" s="1481"/>
      <c r="V21" s="41"/>
      <c r="Z21" s="22"/>
      <c r="AA21" s="22"/>
      <c r="AB21" s="1383"/>
      <c r="AC21" s="1331"/>
      <c r="AD21" s="1331"/>
      <c r="AE21" s="1331"/>
      <c r="AF21" s="1331"/>
      <c r="AG21" s="1331"/>
      <c r="AH21" s="1331"/>
      <c r="AI21" s="1331"/>
      <c r="AJ21" s="1331"/>
      <c r="AK21" s="1331"/>
      <c r="AL21" s="1331"/>
      <c r="AM21" s="1331"/>
      <c r="AN21" s="1331"/>
      <c r="AO21" s="1331"/>
      <c r="AP21" s="1331"/>
      <c r="AQ21" s="1331"/>
      <c r="AR21" s="1331"/>
      <c r="AS21" s="1481"/>
      <c r="AT21" s="1481"/>
      <c r="AU21" s="1481"/>
      <c r="AV21" s="1481"/>
    </row>
    <row r="22" spans="1:51" ht="23.1" customHeight="1">
      <c r="A22" s="1383"/>
      <c r="B22" s="1232" t="s">
        <v>215</v>
      </c>
      <c r="C22" s="1233"/>
      <c r="D22" s="1233" t="s">
        <v>60</v>
      </c>
      <c r="E22" s="1233"/>
      <c r="F22" s="1336" t="s">
        <v>84</v>
      </c>
      <c r="G22" s="1337"/>
      <c r="H22" s="1337"/>
      <c r="I22" s="1338"/>
      <c r="J22" s="1301" t="s">
        <v>81</v>
      </c>
      <c r="K22" s="1299"/>
      <c r="L22" s="1299"/>
      <c r="M22" s="1300"/>
      <c r="N22" s="1301" t="s">
        <v>82</v>
      </c>
      <c r="O22" s="1299"/>
      <c r="P22" s="1299"/>
      <c r="Q22" s="1300"/>
      <c r="R22" s="1339" t="s">
        <v>83</v>
      </c>
      <c r="S22" s="1340"/>
      <c r="T22" s="1340"/>
      <c r="U22" s="1342"/>
      <c r="Y22" s="120" t="s">
        <v>3621</v>
      </c>
      <c r="Z22" s="22"/>
      <c r="AA22" s="22"/>
      <c r="AB22" s="1383"/>
      <c r="AC22" s="1232" t="s">
        <v>215</v>
      </c>
      <c r="AD22" s="1233"/>
      <c r="AE22" s="1233" t="s">
        <v>60</v>
      </c>
      <c r="AF22" s="1233"/>
      <c r="AG22" s="1336" t="s">
        <v>84</v>
      </c>
      <c r="AH22" s="1337"/>
      <c r="AI22" s="1337"/>
      <c r="AJ22" s="1338"/>
      <c r="AK22" s="1301" t="s">
        <v>81</v>
      </c>
      <c r="AL22" s="1299"/>
      <c r="AM22" s="1299"/>
      <c r="AN22" s="1300"/>
      <c r="AO22" s="1301" t="s">
        <v>82</v>
      </c>
      <c r="AP22" s="1299"/>
      <c r="AQ22" s="1299"/>
      <c r="AR22" s="1300"/>
      <c r="AS22" s="1339" t="s">
        <v>83</v>
      </c>
      <c r="AT22" s="1340"/>
      <c r="AU22" s="1340"/>
      <c r="AV22" s="1342"/>
    </row>
    <row r="23" spans="1:51" ht="22.5" customHeight="1">
      <c r="A23" s="1383"/>
      <c r="B23" s="1482"/>
      <c r="C23" s="1483"/>
      <c r="D23" s="1483"/>
      <c r="E23" s="1483"/>
      <c r="F23" s="1535"/>
      <c r="G23" s="1536"/>
      <c r="H23" s="1536"/>
      <c r="I23" s="148" t="s">
        <v>103</v>
      </c>
      <c r="J23" s="1535"/>
      <c r="K23" s="1536"/>
      <c r="L23" s="1536"/>
      <c r="M23" s="148" t="s">
        <v>103</v>
      </c>
      <c r="N23" s="1535"/>
      <c r="O23" s="1536"/>
      <c r="P23" s="1536"/>
      <c r="Q23" s="148" t="s">
        <v>103</v>
      </c>
      <c r="R23" s="1535"/>
      <c r="S23" s="1536"/>
      <c r="T23" s="1536"/>
      <c r="U23" s="147" t="s">
        <v>103</v>
      </c>
      <c r="Y23" s="120" t="s">
        <v>3620</v>
      </c>
      <c r="Z23" s="22"/>
      <c r="AA23" s="22"/>
      <c r="AB23" s="1383"/>
      <c r="AC23" s="1482"/>
      <c r="AD23" s="1483"/>
      <c r="AE23" s="1483"/>
      <c r="AF23" s="1483"/>
      <c r="AG23" s="1484">
        <v>11900</v>
      </c>
      <c r="AH23" s="1485"/>
      <c r="AI23" s="1485"/>
      <c r="AJ23" s="148" t="s">
        <v>103</v>
      </c>
      <c r="AK23" s="1484">
        <v>11700</v>
      </c>
      <c r="AL23" s="1485"/>
      <c r="AM23" s="1485"/>
      <c r="AN23" s="148" t="s">
        <v>103</v>
      </c>
      <c r="AO23" s="1484">
        <v>11600</v>
      </c>
      <c r="AP23" s="1485"/>
      <c r="AQ23" s="1485"/>
      <c r="AR23" s="148" t="s">
        <v>103</v>
      </c>
      <c r="AS23" s="1484">
        <v>11200</v>
      </c>
      <c r="AT23" s="1485"/>
      <c r="AU23" s="1485"/>
      <c r="AV23" s="147" t="s">
        <v>103</v>
      </c>
    </row>
    <row r="24" spans="1:51" ht="23.1" customHeight="1">
      <c r="A24" s="1383"/>
      <c r="B24" s="1482"/>
      <c r="C24" s="1483"/>
      <c r="D24" s="1483"/>
      <c r="E24" s="1483"/>
      <c r="F24" s="1301" t="s">
        <v>85</v>
      </c>
      <c r="G24" s="1299"/>
      <c r="H24" s="1299"/>
      <c r="I24" s="1300"/>
      <c r="J24" s="1301" t="s">
        <v>86</v>
      </c>
      <c r="K24" s="1299"/>
      <c r="L24" s="1299"/>
      <c r="M24" s="1300"/>
      <c r="N24" s="1301" t="s">
        <v>98</v>
      </c>
      <c r="O24" s="1299"/>
      <c r="P24" s="1299"/>
      <c r="Q24" s="1300"/>
      <c r="R24" s="1310" t="s">
        <v>97</v>
      </c>
      <c r="S24" s="1311"/>
      <c r="T24" s="1312"/>
      <c r="U24" s="1313"/>
      <c r="V24" s="122" t="s">
        <v>2323</v>
      </c>
      <c r="AB24" s="1383"/>
      <c r="AC24" s="1482"/>
      <c r="AD24" s="1483"/>
      <c r="AE24" s="1483"/>
      <c r="AF24" s="1483"/>
      <c r="AG24" s="1301" t="s">
        <v>85</v>
      </c>
      <c r="AH24" s="1299"/>
      <c r="AI24" s="1299"/>
      <c r="AJ24" s="1300"/>
      <c r="AK24" s="1301" t="s">
        <v>86</v>
      </c>
      <c r="AL24" s="1299"/>
      <c r="AM24" s="1299"/>
      <c r="AN24" s="1300"/>
      <c r="AO24" s="1301" t="s">
        <v>98</v>
      </c>
      <c r="AP24" s="1299"/>
      <c r="AQ24" s="1299"/>
      <c r="AR24" s="1300"/>
      <c r="AS24" s="1310" t="s">
        <v>97</v>
      </c>
      <c r="AT24" s="1311"/>
      <c r="AU24" s="1312"/>
      <c r="AV24" s="1313"/>
    </row>
    <row r="25" spans="1:51" ht="22.5" customHeight="1">
      <c r="A25" s="1383"/>
      <c r="B25" s="1482"/>
      <c r="C25" s="1483"/>
      <c r="D25" s="1483"/>
      <c r="E25" s="1483"/>
      <c r="F25" s="1535"/>
      <c r="G25" s="1536"/>
      <c r="H25" s="1536"/>
      <c r="I25" s="148" t="s">
        <v>103</v>
      </c>
      <c r="J25" s="1535"/>
      <c r="K25" s="1536"/>
      <c r="L25" s="1536"/>
      <c r="M25" s="148" t="s">
        <v>103</v>
      </c>
      <c r="N25" s="1535"/>
      <c r="O25" s="1536"/>
      <c r="P25" s="1536"/>
      <c r="Q25" s="148" t="s">
        <v>103</v>
      </c>
      <c r="R25" s="1486" t="str">
        <f>IF(F23="","",IF(J25&lt;&gt;"",(F23-J25)/F23*100,IF(F25&lt;&gt;"",(F23-F25)/F23*100,IF(R23&lt;&gt;"",(F23-R23)/F23*100,IF(N23&lt;&gt;"",(F23-N23)/F23*100,(F23-J23)/F23*100)))))</f>
        <v/>
      </c>
      <c r="S25" s="1487"/>
      <c r="T25" s="1487"/>
      <c r="U25" s="147" t="s">
        <v>129</v>
      </c>
      <c r="V25" s="174" t="str">
        <f>IF(F23="","",IF(J25&lt;&gt;"",IF(0&lt;=N25-J25,"達成","非達成"),IF(F25&lt;&gt;"",IF(0&lt;=N25-F25,"達成","非達成"),IF(R23&lt;&gt;"",IF(0&lt;=N25-R23,"達成","非達成"),IF(N23&lt;&gt;"",IF(0&lt;=N25-N23,"達成","非達成"),IF(0&lt;=N25-J23,"達成","非達成"))))))</f>
        <v/>
      </c>
      <c r="AB25" s="1383"/>
      <c r="AC25" s="1482"/>
      <c r="AD25" s="1483"/>
      <c r="AE25" s="1483"/>
      <c r="AF25" s="1483"/>
      <c r="AG25" s="1484"/>
      <c r="AH25" s="1485"/>
      <c r="AI25" s="1485"/>
      <c r="AJ25" s="148" t="s">
        <v>103</v>
      </c>
      <c r="AK25" s="1484"/>
      <c r="AL25" s="1485"/>
      <c r="AM25" s="1485"/>
      <c r="AN25" s="148" t="s">
        <v>103</v>
      </c>
      <c r="AO25" s="1484">
        <v>11200</v>
      </c>
      <c r="AP25" s="1485"/>
      <c r="AQ25" s="1485"/>
      <c r="AR25" s="148" t="s">
        <v>103</v>
      </c>
      <c r="AS25" s="1486">
        <f>IF(AG23="","",IF(AK25&lt;&gt;"",(AG23-AK25)/AG23*100,IF(AG25&lt;&gt;"",(AG23-AG25)/AG23*100,IF(AS23&lt;&gt;"",(AG23-AS23)/AG23*100,IF(AO23&lt;&gt;"",(AG23-AO23)/AG23*100,(AG23-AK23)/AG23*100)))))</f>
        <v>5.8823529411764701</v>
      </c>
      <c r="AT25" s="1487"/>
      <c r="AU25" s="1487"/>
      <c r="AV25" s="147" t="s">
        <v>105</v>
      </c>
    </row>
    <row r="26" spans="1:51" s="34" customFormat="1" ht="18.75" customHeight="1">
      <c r="A26" s="1383"/>
      <c r="B26" s="1482"/>
      <c r="C26" s="1483"/>
      <c r="D26" s="1483" t="s">
        <v>69</v>
      </c>
      <c r="E26" s="1483"/>
      <c r="F26" s="1295" t="s">
        <v>80</v>
      </c>
      <c r="G26" s="1289"/>
      <c r="H26" s="1488"/>
      <c r="I26" s="1489"/>
      <c r="J26" s="1562"/>
      <c r="K26" s="1563"/>
      <c r="L26" s="1563"/>
      <c r="M26" s="1564"/>
      <c r="N26" s="1295" t="s">
        <v>75</v>
      </c>
      <c r="O26" s="1289"/>
      <c r="P26" s="1289"/>
      <c r="Q26" s="1493"/>
      <c r="R26" s="10" t="str">
        <f>IF(J26="","",I25&amp;"/")</f>
        <v/>
      </c>
      <c r="S26" s="1558"/>
      <c r="T26" s="1558"/>
      <c r="U26" s="1559"/>
      <c r="V26" s="41"/>
      <c r="X26" s="41"/>
      <c r="Z26" s="14"/>
      <c r="AA26" s="14"/>
      <c r="AB26" s="1383"/>
      <c r="AC26" s="1482"/>
      <c r="AD26" s="1483"/>
      <c r="AE26" s="1483" t="s">
        <v>69</v>
      </c>
      <c r="AF26" s="1483"/>
      <c r="AG26" s="1295" t="s">
        <v>80</v>
      </c>
      <c r="AH26" s="1289"/>
      <c r="AI26" s="1488"/>
      <c r="AJ26" s="1489"/>
      <c r="AK26" s="1490" t="s">
        <v>227</v>
      </c>
      <c r="AL26" s="1491"/>
      <c r="AM26" s="1491"/>
      <c r="AN26" s="1492"/>
      <c r="AO26" s="1295" t="s">
        <v>75</v>
      </c>
      <c r="AP26" s="1289"/>
      <c r="AQ26" s="1289"/>
      <c r="AR26" s="1493"/>
      <c r="AS26" s="10" t="str">
        <f>IF(AK26="","",AJ25&amp;"/")</f>
        <v>tCO2/</v>
      </c>
      <c r="AT26" s="1494" t="s">
        <v>226</v>
      </c>
      <c r="AU26" s="1494"/>
      <c r="AV26" s="1495"/>
      <c r="AY26" s="41"/>
    </row>
    <row r="27" spans="1:51" ht="23.1" customHeight="1">
      <c r="A27" s="1383"/>
      <c r="B27" s="1482"/>
      <c r="C27" s="1483"/>
      <c r="D27" s="1483"/>
      <c r="E27" s="1483"/>
      <c r="F27" s="1301" t="s">
        <v>93</v>
      </c>
      <c r="G27" s="1299"/>
      <c r="H27" s="1299"/>
      <c r="I27" s="1300"/>
      <c r="J27" s="1301" t="s">
        <v>87</v>
      </c>
      <c r="K27" s="1299"/>
      <c r="L27" s="1299"/>
      <c r="M27" s="1300"/>
      <c r="N27" s="1301" t="s">
        <v>88</v>
      </c>
      <c r="O27" s="1299"/>
      <c r="P27" s="1299"/>
      <c r="Q27" s="1300"/>
      <c r="R27" s="1301" t="s">
        <v>89</v>
      </c>
      <c r="S27" s="1299"/>
      <c r="T27" s="1299"/>
      <c r="U27" s="1302"/>
      <c r="AB27" s="1383"/>
      <c r="AC27" s="1482"/>
      <c r="AD27" s="1483"/>
      <c r="AE27" s="1483"/>
      <c r="AF27" s="1483"/>
      <c r="AG27" s="1301" t="s">
        <v>93</v>
      </c>
      <c r="AH27" s="1299"/>
      <c r="AI27" s="1299"/>
      <c r="AJ27" s="1300"/>
      <c r="AK27" s="1301" t="s">
        <v>87</v>
      </c>
      <c r="AL27" s="1299"/>
      <c r="AM27" s="1299"/>
      <c r="AN27" s="1300"/>
      <c r="AO27" s="1301" t="s">
        <v>88</v>
      </c>
      <c r="AP27" s="1299"/>
      <c r="AQ27" s="1299"/>
      <c r="AR27" s="1300"/>
      <c r="AS27" s="1301" t="s">
        <v>89</v>
      </c>
      <c r="AT27" s="1299"/>
      <c r="AU27" s="1299"/>
      <c r="AV27" s="1302"/>
    </row>
    <row r="28" spans="1:51" ht="22.5" customHeight="1">
      <c r="A28" s="1383"/>
      <c r="B28" s="1482"/>
      <c r="C28" s="1483"/>
      <c r="D28" s="1483"/>
      <c r="E28" s="1483"/>
      <c r="F28" s="1532"/>
      <c r="G28" s="1533"/>
      <c r="H28" s="1472" t="str">
        <f>R26&amp;S26</f>
        <v/>
      </c>
      <c r="I28" s="1478"/>
      <c r="J28" s="1567"/>
      <c r="K28" s="1531"/>
      <c r="L28" s="1472" t="str">
        <f>R26&amp;S26</f>
        <v/>
      </c>
      <c r="M28" s="1478"/>
      <c r="N28" s="1532"/>
      <c r="O28" s="1533"/>
      <c r="P28" s="1472" t="str">
        <f>R26&amp;S26</f>
        <v/>
      </c>
      <c r="Q28" s="1478"/>
      <c r="R28" s="1530"/>
      <c r="S28" s="1531"/>
      <c r="T28" s="1472" t="str">
        <f>R26&amp;S26</f>
        <v/>
      </c>
      <c r="U28" s="1473"/>
      <c r="AB28" s="1383"/>
      <c r="AC28" s="1482"/>
      <c r="AD28" s="1483"/>
      <c r="AE28" s="1483"/>
      <c r="AF28" s="1483"/>
      <c r="AG28" s="1466">
        <v>0.52300000000000002</v>
      </c>
      <c r="AH28" s="1467"/>
      <c r="AI28" s="1472" t="str">
        <f>AS26&amp;AT26</f>
        <v>tCO2/千km</v>
      </c>
      <c r="AJ28" s="1478"/>
      <c r="AK28" s="1479">
        <v>0.51100000000000001</v>
      </c>
      <c r="AL28" s="1480"/>
      <c r="AM28" s="1472" t="str">
        <f>AS26&amp;AT26</f>
        <v>tCO2/千km</v>
      </c>
      <c r="AN28" s="1478"/>
      <c r="AO28" s="1466">
        <v>0.50900000000000001</v>
      </c>
      <c r="AP28" s="1467"/>
      <c r="AQ28" s="1472" t="str">
        <f>AS26&amp;AT26</f>
        <v>tCO2/千km</v>
      </c>
      <c r="AR28" s="1478"/>
      <c r="AS28" s="1479">
        <v>0.48699999999999999</v>
      </c>
      <c r="AT28" s="1480"/>
      <c r="AU28" s="1472" t="str">
        <f>AS26&amp;AT26</f>
        <v>tCO2/千km</v>
      </c>
      <c r="AV28" s="1473"/>
    </row>
    <row r="29" spans="1:51" ht="23.1" customHeight="1">
      <c r="A29" s="1383"/>
      <c r="B29" s="1482"/>
      <c r="C29" s="1483"/>
      <c r="D29" s="1483"/>
      <c r="E29" s="1483"/>
      <c r="F29" s="1301" t="s">
        <v>90</v>
      </c>
      <c r="G29" s="1299"/>
      <c r="H29" s="1299"/>
      <c r="I29" s="1300"/>
      <c r="J29" s="1301" t="s">
        <v>91</v>
      </c>
      <c r="K29" s="1299"/>
      <c r="L29" s="1299"/>
      <c r="M29" s="1300"/>
      <c r="N29" s="1301" t="s">
        <v>106</v>
      </c>
      <c r="O29" s="1299"/>
      <c r="P29" s="1299"/>
      <c r="Q29" s="1300"/>
      <c r="R29" s="1310" t="s">
        <v>92</v>
      </c>
      <c r="S29" s="1311"/>
      <c r="T29" s="1312"/>
      <c r="U29" s="1313"/>
      <c r="V29" s="122" t="s">
        <v>2323</v>
      </c>
      <c r="AB29" s="1383"/>
      <c r="AC29" s="1482"/>
      <c r="AD29" s="1483"/>
      <c r="AE29" s="1483"/>
      <c r="AF29" s="1483"/>
      <c r="AG29" s="1301" t="s">
        <v>90</v>
      </c>
      <c r="AH29" s="1299"/>
      <c r="AI29" s="1299"/>
      <c r="AJ29" s="1300"/>
      <c r="AK29" s="1301" t="s">
        <v>91</v>
      </c>
      <c r="AL29" s="1299"/>
      <c r="AM29" s="1299"/>
      <c r="AN29" s="1300"/>
      <c r="AO29" s="1301" t="s">
        <v>106</v>
      </c>
      <c r="AP29" s="1299"/>
      <c r="AQ29" s="1299"/>
      <c r="AR29" s="1300"/>
      <c r="AS29" s="1310" t="s">
        <v>92</v>
      </c>
      <c r="AT29" s="1311"/>
      <c r="AU29" s="1312"/>
      <c r="AV29" s="1313"/>
    </row>
    <row r="30" spans="1:51" ht="22.5" customHeight="1" thickBot="1">
      <c r="A30" s="1383"/>
      <c r="B30" s="1242"/>
      <c r="C30" s="1243"/>
      <c r="D30" s="1243"/>
      <c r="E30" s="1243"/>
      <c r="F30" s="1554"/>
      <c r="G30" s="1555"/>
      <c r="H30" s="1468" t="str">
        <f>R26&amp;S26</f>
        <v/>
      </c>
      <c r="I30" s="1469"/>
      <c r="J30" s="1556"/>
      <c r="K30" s="1557"/>
      <c r="L30" s="1468" t="str">
        <f>R26&amp;S26</f>
        <v/>
      </c>
      <c r="M30" s="1469"/>
      <c r="N30" s="1554"/>
      <c r="O30" s="1555"/>
      <c r="P30" s="1468" t="str">
        <f>R26&amp;S26</f>
        <v/>
      </c>
      <c r="Q30" s="1469"/>
      <c r="R30" s="1470" t="str">
        <f>IF(F28="","",IF(J30&lt;&gt;"",(F28-J30)/F28*100,IF(F30&lt;&gt;"",(F28-F30)/F28*100,IF(R28&lt;&gt;"",(F28-R28)/F28*100,IF(N28&lt;&gt;"",(F28-N28)/F28*100,(F28-J28)/F28*100)))))</f>
        <v/>
      </c>
      <c r="S30" s="1471"/>
      <c r="T30" s="1471"/>
      <c r="U30" s="44" t="s">
        <v>130</v>
      </c>
      <c r="V30" s="174" t="str">
        <f>IF(F28="","",IF(J30&lt;&gt;"",IF(0&lt;=N30-J30,"達成","非達成"),IF(F30&lt;&gt;"",IF(0&lt;=N30-F30,"達成","非達成"),IF(R28&lt;&gt;"",IF(0&lt;=N30-R28,"達成","非達成"),IF(N28&lt;&gt;"",IF(0&lt;=N30-N28,"達成","非達成"),IF(0&lt;=N30-J28,"達成","非達成"))))))</f>
        <v/>
      </c>
      <c r="Z30" s="17"/>
      <c r="AA30" s="31"/>
      <c r="AB30" s="1383"/>
      <c r="AC30" s="1242"/>
      <c r="AD30" s="1243"/>
      <c r="AE30" s="1243"/>
      <c r="AF30" s="1243"/>
      <c r="AG30" s="1474"/>
      <c r="AH30" s="1475"/>
      <c r="AI30" s="1468" t="str">
        <f>AS26&amp;AT26</f>
        <v>tCO2/千km</v>
      </c>
      <c r="AJ30" s="1469"/>
      <c r="AK30" s="1476"/>
      <c r="AL30" s="1477"/>
      <c r="AM30" s="1468" t="str">
        <f>AS26&amp;AT26</f>
        <v>tCO2/千km</v>
      </c>
      <c r="AN30" s="1469"/>
      <c r="AO30" s="1474">
        <v>0.49099999999999999</v>
      </c>
      <c r="AP30" s="1475"/>
      <c r="AQ30" s="1468" t="str">
        <f>AS26&amp;AT26</f>
        <v>tCO2/千km</v>
      </c>
      <c r="AR30" s="1469"/>
      <c r="AS30" s="1470">
        <f>IF(AG28="","",IF(AK30&lt;&gt;"",(AG28-AK30)/AG28*100,IF(AG30&lt;&gt;"",(AG28-AG30)/AG28*100,IF(AS28&lt;&gt;"",(AG28-AS28)/AG28*100,IF(AO28&lt;&gt;"",(AG28-AO28)/AG28*100,(AG28-AK28)/AG28*100)))))</f>
        <v>6.8833652007648238</v>
      </c>
      <c r="AT30" s="1471"/>
      <c r="AU30" s="1471"/>
      <c r="AV30" s="44" t="s">
        <v>105</v>
      </c>
    </row>
    <row r="31" spans="1:51">
      <c r="A31" s="34"/>
      <c r="AB31" s="34"/>
    </row>
    <row r="32" spans="1:51">
      <c r="A32" s="34"/>
      <c r="AB32" s="34"/>
    </row>
    <row r="33" spans="1:28">
      <c r="A33" s="34"/>
      <c r="AB33" s="34"/>
    </row>
    <row r="34" spans="1:28">
      <c r="A34" s="34"/>
      <c r="Z34" s="31"/>
      <c r="AA34" s="31"/>
      <c r="AB34" s="34"/>
    </row>
    <row r="35" spans="1:28">
      <c r="A35" s="34"/>
      <c r="Z35" s="19"/>
      <c r="AA35" s="19"/>
      <c r="AB35" s="34"/>
    </row>
    <row r="36" spans="1:28">
      <c r="A36" s="34"/>
      <c r="Z36" s="16"/>
      <c r="AA36" s="16"/>
      <c r="AB36" s="34"/>
    </row>
    <row r="37" spans="1:28">
      <c r="A37" s="41"/>
      <c r="Z37" s="16"/>
      <c r="AA37" s="16"/>
      <c r="AB37" s="41"/>
    </row>
    <row r="38" spans="1:28">
      <c r="A38" s="41"/>
      <c r="Z38" s="16"/>
      <c r="AA38" s="16"/>
      <c r="AB38" s="41"/>
    </row>
    <row r="39" spans="1:28">
      <c r="A39" s="41"/>
      <c r="Z39" s="16"/>
      <c r="AA39" s="16"/>
      <c r="AB39" s="41"/>
    </row>
    <row r="40" spans="1:28">
      <c r="A40" s="41"/>
      <c r="AB40" s="41"/>
    </row>
    <row r="41" spans="1:28">
      <c r="A41" s="34"/>
      <c r="AB41" s="34"/>
    </row>
    <row r="42" spans="1:28">
      <c r="A42" s="34"/>
      <c r="AB42" s="34"/>
    </row>
  </sheetData>
  <sheetProtection password="E7B8" sheet="1" formatCells="0"/>
  <mergeCells count="249">
    <mergeCell ref="B14:E14"/>
    <mergeCell ref="J28:K28"/>
    <mergeCell ref="J24:M24"/>
    <mergeCell ref="R5:U5"/>
    <mergeCell ref="P13:Q13"/>
    <mergeCell ref="G4:H4"/>
    <mergeCell ref="N13:O13"/>
    <mergeCell ref="J13:K13"/>
    <mergeCell ref="N12:Q12"/>
    <mergeCell ref="N6:P6"/>
    <mergeCell ref="N8:P8"/>
    <mergeCell ref="P11:Q11"/>
    <mergeCell ref="R8:T8"/>
    <mergeCell ref="N7:Q7"/>
    <mergeCell ref="R9:U9"/>
    <mergeCell ref="J7:M7"/>
    <mergeCell ref="O9:Q9"/>
    <mergeCell ref="R22:U22"/>
    <mergeCell ref="R15:U20"/>
    <mergeCell ref="N17:P17"/>
    <mergeCell ref="N18:P18"/>
    <mergeCell ref="N16:Q16"/>
    <mergeCell ref="N15:Q15"/>
    <mergeCell ref="T11:U11"/>
    <mergeCell ref="A2:U2"/>
    <mergeCell ref="F11:G11"/>
    <mergeCell ref="A3:A30"/>
    <mergeCell ref="T28:U28"/>
    <mergeCell ref="F30:G30"/>
    <mergeCell ref="H30:I30"/>
    <mergeCell ref="J30:K30"/>
    <mergeCell ref="R30:T30"/>
    <mergeCell ref="N30:O30"/>
    <mergeCell ref="P28:Q28"/>
    <mergeCell ref="S26:U26"/>
    <mergeCell ref="J8:L8"/>
    <mergeCell ref="F13:G13"/>
    <mergeCell ref="F3:H3"/>
    <mergeCell ref="D26:E30"/>
    <mergeCell ref="J25:L25"/>
    <mergeCell ref="F26:I26"/>
    <mergeCell ref="J26:M26"/>
    <mergeCell ref="N3:U4"/>
    <mergeCell ref="J10:M10"/>
    <mergeCell ref="J9:M9"/>
    <mergeCell ref="N5:Q5"/>
    <mergeCell ref="R6:T6"/>
    <mergeCell ref="R7:U7"/>
    <mergeCell ref="P30:Q30"/>
    <mergeCell ref="D20:I20"/>
    <mergeCell ref="N24:Q24"/>
    <mergeCell ref="D17:I17"/>
    <mergeCell ref="D19:I19"/>
    <mergeCell ref="L30:M30"/>
    <mergeCell ref="N25:P25"/>
    <mergeCell ref="F24:I24"/>
    <mergeCell ref="F29:I29"/>
    <mergeCell ref="J20:L20"/>
    <mergeCell ref="J17:L17"/>
    <mergeCell ref="D18:I18"/>
    <mergeCell ref="N19:P19"/>
    <mergeCell ref="N20:P20"/>
    <mergeCell ref="F23:H23"/>
    <mergeCell ref="J23:L23"/>
    <mergeCell ref="F25:H25"/>
    <mergeCell ref="L28:M28"/>
    <mergeCell ref="N29:Q29"/>
    <mergeCell ref="J19:L19"/>
    <mergeCell ref="J18:L18"/>
    <mergeCell ref="J22:M22"/>
    <mergeCell ref="N26:Q26"/>
    <mergeCell ref="N11:O11"/>
    <mergeCell ref="N10:Q10"/>
    <mergeCell ref="R10:U10"/>
    <mergeCell ref="N22:Q22"/>
    <mergeCell ref="B21:U21"/>
    <mergeCell ref="B15:C20"/>
    <mergeCell ref="D16:I16"/>
    <mergeCell ref="R12:U12"/>
    <mergeCell ref="R11:S11"/>
    <mergeCell ref="R13:T13"/>
    <mergeCell ref="J16:L16"/>
    <mergeCell ref="F14:U14"/>
    <mergeCell ref="D15:M15"/>
    <mergeCell ref="B22:C30"/>
    <mergeCell ref="F27:I27"/>
    <mergeCell ref="J27:M27"/>
    <mergeCell ref="J29:M29"/>
    <mergeCell ref="D22:E25"/>
    <mergeCell ref="F22:I22"/>
    <mergeCell ref="F28:G28"/>
    <mergeCell ref="H28:I28"/>
    <mergeCell ref="R23:T23"/>
    <mergeCell ref="N23:P23"/>
    <mergeCell ref="R24:U24"/>
    <mergeCell ref="D3:E4"/>
    <mergeCell ref="B3:C8"/>
    <mergeCell ref="F6:H6"/>
    <mergeCell ref="J6:L6"/>
    <mergeCell ref="D5:E8"/>
    <mergeCell ref="B9:C13"/>
    <mergeCell ref="F5:I5"/>
    <mergeCell ref="D9:E9"/>
    <mergeCell ref="J11:K11"/>
    <mergeCell ref="F12:I12"/>
    <mergeCell ref="F9:I9"/>
    <mergeCell ref="H11:I11"/>
    <mergeCell ref="F10:I10"/>
    <mergeCell ref="D10:E13"/>
    <mergeCell ref="J12:M12"/>
    <mergeCell ref="H13:I13"/>
    <mergeCell ref="L13:M13"/>
    <mergeCell ref="F7:I7"/>
    <mergeCell ref="F8:H8"/>
    <mergeCell ref="K4:M4"/>
    <mergeCell ref="L11:M11"/>
    <mergeCell ref="J3:M3"/>
    <mergeCell ref="J5:M5"/>
    <mergeCell ref="R29:U29"/>
    <mergeCell ref="R27:U27"/>
    <mergeCell ref="R25:T25"/>
    <mergeCell ref="R28:S28"/>
    <mergeCell ref="N27:Q27"/>
    <mergeCell ref="N28:O28"/>
    <mergeCell ref="AB1:AV1"/>
    <mergeCell ref="AB2:AV2"/>
    <mergeCell ref="AB3:AB30"/>
    <mergeCell ref="AC3:AD8"/>
    <mergeCell ref="AE3:AF4"/>
    <mergeCell ref="AG3:AI3"/>
    <mergeCell ref="AK3:AN3"/>
    <mergeCell ref="AO3:AV4"/>
    <mergeCell ref="AH4:AI4"/>
    <mergeCell ref="AL4:AN4"/>
    <mergeCell ref="AK7:AN7"/>
    <mergeCell ref="AO7:AR7"/>
    <mergeCell ref="AS7:AV7"/>
    <mergeCell ref="AG8:AI8"/>
    <mergeCell ref="AK8:AM8"/>
    <mergeCell ref="AO8:AQ8"/>
    <mergeCell ref="AS8:AU8"/>
    <mergeCell ref="AE5:AF8"/>
    <mergeCell ref="AG5:AJ5"/>
    <mergeCell ref="AK5:AN5"/>
    <mergeCell ref="AO5:AR5"/>
    <mergeCell ref="AS5:AV5"/>
    <mergeCell ref="AG6:AI6"/>
    <mergeCell ref="AK6:AM6"/>
    <mergeCell ref="AO6:AQ6"/>
    <mergeCell ref="AS6:AU6"/>
    <mergeCell ref="AG7:AJ7"/>
    <mergeCell ref="AS10:AV10"/>
    <mergeCell ref="AG11:AH11"/>
    <mergeCell ref="AI11:AJ11"/>
    <mergeCell ref="AK11:AL11"/>
    <mergeCell ref="AM11:AN11"/>
    <mergeCell ref="AO11:AP11"/>
    <mergeCell ref="AQ11:AR11"/>
    <mergeCell ref="AS11:AT11"/>
    <mergeCell ref="AU11:AV11"/>
    <mergeCell ref="AG10:AJ10"/>
    <mergeCell ref="AK10:AN10"/>
    <mergeCell ref="AO10:AR10"/>
    <mergeCell ref="AO16:AR16"/>
    <mergeCell ref="AE20:AJ20"/>
    <mergeCell ref="AK20:AM20"/>
    <mergeCell ref="AO20:AQ20"/>
    <mergeCell ref="AG12:AJ12"/>
    <mergeCell ref="AK12:AN12"/>
    <mergeCell ref="AO12:AR12"/>
    <mergeCell ref="AS12:AV12"/>
    <mergeCell ref="AG13:AH13"/>
    <mergeCell ref="AI13:AJ13"/>
    <mergeCell ref="AK13:AL13"/>
    <mergeCell ref="AM13:AN13"/>
    <mergeCell ref="AO13:AP13"/>
    <mergeCell ref="AQ13:AR13"/>
    <mergeCell ref="AS13:AU13"/>
    <mergeCell ref="AC9:AD13"/>
    <mergeCell ref="AE9:AF9"/>
    <mergeCell ref="AG9:AJ9"/>
    <mergeCell ref="AK9:AN9"/>
    <mergeCell ref="AP9:AR9"/>
    <mergeCell ref="AS9:AV9"/>
    <mergeCell ref="AE10:AF13"/>
    <mergeCell ref="AE19:AJ19"/>
    <mergeCell ref="AK19:AM19"/>
    <mergeCell ref="AO19:AQ19"/>
    <mergeCell ref="AE17:AJ17"/>
    <mergeCell ref="AK17:AM17"/>
    <mergeCell ref="AO17:AQ17"/>
    <mergeCell ref="AE18:AJ18"/>
    <mergeCell ref="AK18:AM18"/>
    <mergeCell ref="AO18:AQ18"/>
    <mergeCell ref="AC14:AF14"/>
    <mergeCell ref="AG14:AV14"/>
    <mergeCell ref="AC15:AD20"/>
    <mergeCell ref="AE15:AN15"/>
    <mergeCell ref="AO15:AR15"/>
    <mergeCell ref="AS15:AV20"/>
    <mergeCell ref="AE16:AJ16"/>
    <mergeCell ref="AK16:AM16"/>
    <mergeCell ref="AC21:AV21"/>
    <mergeCell ref="AC22:AD30"/>
    <mergeCell ref="AE22:AF25"/>
    <mergeCell ref="AG22:AJ22"/>
    <mergeCell ref="AK22:AN22"/>
    <mergeCell ref="AO22:AR22"/>
    <mergeCell ref="AS22:AV22"/>
    <mergeCell ref="AG23:AI23"/>
    <mergeCell ref="AK23:AM23"/>
    <mergeCell ref="AO23:AQ23"/>
    <mergeCell ref="AS23:AU23"/>
    <mergeCell ref="AG24:AJ24"/>
    <mergeCell ref="AK24:AN24"/>
    <mergeCell ref="AO24:AR24"/>
    <mergeCell ref="AS24:AV24"/>
    <mergeCell ref="AG25:AI25"/>
    <mergeCell ref="AK25:AM25"/>
    <mergeCell ref="AO25:AQ25"/>
    <mergeCell ref="AS25:AU25"/>
    <mergeCell ref="AE26:AF30"/>
    <mergeCell ref="AG26:AJ26"/>
    <mergeCell ref="AK26:AN26"/>
    <mergeCell ref="AO26:AR26"/>
    <mergeCell ref="AT26:AV26"/>
    <mergeCell ref="AG27:AJ27"/>
    <mergeCell ref="AK27:AN27"/>
    <mergeCell ref="AO27:AR27"/>
    <mergeCell ref="AS27:AV27"/>
    <mergeCell ref="AG28:AH28"/>
    <mergeCell ref="AQ30:AR30"/>
    <mergeCell ref="AS30:AU30"/>
    <mergeCell ref="AU28:AV28"/>
    <mergeCell ref="AG29:AJ29"/>
    <mergeCell ref="AK29:AN29"/>
    <mergeCell ref="AO29:AR29"/>
    <mergeCell ref="AS29:AV29"/>
    <mergeCell ref="AG30:AH30"/>
    <mergeCell ref="AI30:AJ30"/>
    <mergeCell ref="AK30:AL30"/>
    <mergeCell ref="AM30:AN30"/>
    <mergeCell ref="AO30:AP30"/>
    <mergeCell ref="AI28:AJ28"/>
    <mergeCell ref="AK28:AL28"/>
    <mergeCell ref="AM28:AN28"/>
    <mergeCell ref="AO28:AP28"/>
    <mergeCell ref="AQ28:AR28"/>
    <mergeCell ref="AS28:AT28"/>
  </mergeCells>
  <phoneticPr fontId="3"/>
  <conditionalFormatting sqref="N30:O30 R28:S28 N28:O28 J28:K28 J30:K30 F30:G30 F28:G28 F25:H25 F23:H23 J23:L23 J25:L25 J26:M26 S26:U26 N25:P25 N23:P23 R23:T23">
    <cfRule type="notContainsBlanks" dxfId="57" priority="19">
      <formula>LEN(TRIM(F23))&gt;0</formula>
    </cfRule>
  </conditionalFormatting>
  <dataValidations count="2">
    <dataValidation allowBlank="1" showInputMessage="1" showErrorMessage="1" prompt="全角1,000文字（23行）まで入力できます。" sqref="F14:U14"/>
    <dataValidation imeMode="halfAlpha" allowBlank="1" showInputMessage="1" showErrorMessage="1" sqref="F30:G30 R6:T6 N6:P6 J6:L6 F6:H6 N8:P8 J8:L8 F8:H8 R11:S11 N11:O11 N13:O13 J11:K11 J13:K13 F11:G11 F13:G13 J30:K30 R23:T23 N23:P23 J23:L23 F23:H23 N25:P25 J25:L25 F25:H25 R28:S28 N28:O28 J28:K28 F28:G28 N30:O30 J17:L20"/>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22</xdr:col>
                    <xdr:colOff>106680</xdr:colOff>
                    <xdr:row>7</xdr:row>
                    <xdr:rowOff>83820</xdr:rowOff>
                  </from>
                  <to>
                    <xdr:col>22</xdr:col>
                    <xdr:colOff>487680</xdr:colOff>
                    <xdr:row>8</xdr:row>
                    <xdr:rowOff>129540</xdr:rowOff>
                  </to>
                </anchor>
              </controlPr>
            </control>
          </mc:Choice>
        </mc:AlternateContent>
        <mc:AlternateContent xmlns:mc="http://schemas.openxmlformats.org/markup-compatibility/2006">
          <mc:Choice Requires="x14">
            <control shapeId="3082" r:id="rId5" name="Check Box 10">
              <controlPr defaultSize="0" autoFill="0" autoLine="0" autoPict="0">
                <anchor moveWithCells="1">
                  <from>
                    <xdr:col>22</xdr:col>
                    <xdr:colOff>114300</xdr:colOff>
                    <xdr:row>13</xdr:row>
                    <xdr:rowOff>975360</xdr:rowOff>
                  </from>
                  <to>
                    <xdr:col>22</xdr:col>
                    <xdr:colOff>495300</xdr:colOff>
                    <xdr:row>13</xdr:row>
                    <xdr:rowOff>1318260</xdr:rowOff>
                  </to>
                </anchor>
              </controlPr>
            </control>
          </mc:Choice>
        </mc:AlternateContent>
        <mc:AlternateContent xmlns:mc="http://schemas.openxmlformats.org/markup-compatibility/2006">
          <mc:Choice Requires="x14">
            <control shapeId="3083" r:id="rId6" name="Check Box 11">
              <controlPr defaultSize="0" autoFill="0" autoLine="0" autoPict="0">
                <anchor moveWithCells="1">
                  <from>
                    <xdr:col>22</xdr:col>
                    <xdr:colOff>83820</xdr:colOff>
                    <xdr:row>1</xdr:row>
                    <xdr:rowOff>160020</xdr:rowOff>
                  </from>
                  <to>
                    <xdr:col>22</xdr:col>
                    <xdr:colOff>411480</xdr:colOff>
                    <xdr:row>2</xdr:row>
                    <xdr:rowOff>106680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21</xdr:col>
                    <xdr:colOff>495300</xdr:colOff>
                    <xdr:row>13</xdr:row>
                    <xdr:rowOff>2849880</xdr:rowOff>
                  </from>
                  <to>
                    <xdr:col>21</xdr:col>
                    <xdr:colOff>746760</xdr:colOff>
                    <xdr:row>15</xdr:row>
                    <xdr:rowOff>114300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22</xdr:col>
                    <xdr:colOff>457200</xdr:colOff>
                    <xdr:row>21</xdr:row>
                    <xdr:rowOff>121920</xdr:rowOff>
                  </from>
                  <to>
                    <xdr:col>22</xdr:col>
                    <xdr:colOff>769620</xdr:colOff>
                    <xdr:row>22</xdr:row>
                    <xdr:rowOff>137160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B1B5DACF-3F5F-474E-91FC-C495F3EB0817}">
            <xm:f>結果2面!$D$3=結果2面!$G$3</xm:f>
            <x14:dxf>
              <fill>
                <patternFill>
                  <bgColor theme="0" tint="-4.9989318521683403E-2"/>
                </patternFill>
              </fill>
            </x14:dxf>
          </x14:cfRule>
          <x14:cfRule type="expression" priority="18" id="{86560FE0-DF24-44C4-B881-65DCDD694199}">
            <xm:f>結果2面!$D$3&lt;結果2面!$G$3</xm:f>
            <x14:dxf>
              <fill>
                <patternFill>
                  <bgColor theme="9" tint="0.79998168889431442"/>
                </patternFill>
              </fill>
            </x14:dxf>
          </x14:cfRule>
          <xm:sqref>J6:L6</xm:sqref>
        </x14:conditionalFormatting>
        <x14:conditionalFormatting xmlns:xm="http://schemas.microsoft.com/office/excel/2006/main">
          <x14:cfRule type="expression" priority="9" id="{5A461DF6-773A-4AAC-BD08-911FD1BCB5BA}">
            <xm:f>結果2面!$D$3=結果2面!$G$3-1</xm:f>
            <x14:dxf>
              <fill>
                <patternFill>
                  <bgColor theme="0" tint="-4.9989318521683403E-2"/>
                </patternFill>
              </fill>
            </x14:dxf>
          </x14:cfRule>
          <x14:cfRule type="expression" priority="17" id="{A617DCC8-626D-464B-9E31-3C4C97BF9FAF}">
            <xm:f>結果2面!$D$3&lt;結果2面!$G$3-1</xm:f>
            <x14:dxf>
              <fill>
                <patternFill>
                  <bgColor theme="9" tint="0.79998168889431442"/>
                </patternFill>
              </fill>
            </x14:dxf>
          </x14:cfRule>
          <xm:sqref>N6:P6</xm:sqref>
        </x14:conditionalFormatting>
        <x14:conditionalFormatting xmlns:xm="http://schemas.microsoft.com/office/excel/2006/main">
          <x14:cfRule type="expression" priority="8" id="{62BF1E7B-6F95-474C-B477-8C802704D579}">
            <xm:f>結果2面!$D$3=結果2面!$G$3-2</xm:f>
            <x14:dxf>
              <fill>
                <patternFill>
                  <bgColor theme="0" tint="-4.9989318521683403E-2"/>
                </patternFill>
              </fill>
            </x14:dxf>
          </x14:cfRule>
          <x14:cfRule type="expression" priority="16" id="{811F60B3-A8C5-41E0-AB20-6F26CE0BC734}">
            <xm:f>結果2面!$D$3&lt;結果2面!$G$3-2</xm:f>
            <x14:dxf>
              <fill>
                <patternFill>
                  <bgColor theme="9" tint="0.79998168889431442"/>
                </patternFill>
              </fill>
            </x14:dxf>
          </x14:cfRule>
          <xm:sqref>R6:T6</xm:sqref>
        </x14:conditionalFormatting>
        <x14:conditionalFormatting xmlns:xm="http://schemas.microsoft.com/office/excel/2006/main">
          <x14:cfRule type="expression" priority="7" id="{221FED47-3DE0-481F-8B70-AF25534CC3EB}">
            <xm:f>結果2面!$D$3=結果2面!$G$3-3</xm:f>
            <x14:dxf>
              <fill>
                <patternFill>
                  <bgColor theme="0" tint="-4.9989318521683403E-2"/>
                </patternFill>
              </fill>
            </x14:dxf>
          </x14:cfRule>
          <x14:cfRule type="expression" priority="15" id="{E6DE1296-1CAF-4879-9408-C6E9CD8F3B72}">
            <xm:f>結果2面!$D$3&lt;結果2面!$G$3-3</xm:f>
            <x14:dxf>
              <fill>
                <patternFill>
                  <bgColor theme="9" tint="0.79998168889431442"/>
                </patternFill>
              </fill>
            </x14:dxf>
          </x14:cfRule>
          <xm:sqref>F8:H8</xm:sqref>
        </x14:conditionalFormatting>
        <x14:conditionalFormatting xmlns:xm="http://schemas.microsoft.com/office/excel/2006/main">
          <x14:cfRule type="expression" priority="5" id="{96A7EC51-37F6-4C0B-8F4F-E591B9348D61}">
            <xm:f>結果2面!$D$3=結果2面!$G$3</xm:f>
            <x14:dxf>
              <fill>
                <patternFill>
                  <bgColor theme="0" tint="-4.9989318521683403E-2"/>
                </patternFill>
              </fill>
            </x14:dxf>
          </x14:cfRule>
          <x14:cfRule type="expression" priority="14" id="{A023A37D-843C-41CD-9E0A-890F93154276}">
            <xm:f>結果2面!$D$3&lt;結果2面!$G$3</xm:f>
            <x14:dxf>
              <fill>
                <patternFill>
                  <bgColor theme="9" tint="0.79998168889431442"/>
                </patternFill>
              </fill>
            </x14:dxf>
          </x14:cfRule>
          <xm:sqref>J11:K11</xm:sqref>
        </x14:conditionalFormatting>
        <x14:conditionalFormatting xmlns:xm="http://schemas.microsoft.com/office/excel/2006/main">
          <x14:cfRule type="expression" priority="4" id="{29AF9E7F-E77B-4FF8-A4C8-7FA4E8103081}">
            <xm:f>結果2面!$D$3=結果2面!$G$3-1</xm:f>
            <x14:dxf>
              <fill>
                <patternFill>
                  <bgColor theme="0" tint="-4.9989318521683403E-2"/>
                </patternFill>
              </fill>
            </x14:dxf>
          </x14:cfRule>
          <x14:cfRule type="expression" priority="13" id="{6E9EE4AF-6FD1-48EB-B67D-1EB8CB1A71C6}">
            <xm:f>結果2面!$D$3&lt;結果2面!$G$3-1</xm:f>
            <x14:dxf>
              <fill>
                <patternFill>
                  <bgColor theme="9" tint="0.79998168889431442"/>
                </patternFill>
              </fill>
            </x14:dxf>
          </x14:cfRule>
          <xm:sqref>N11:O11</xm:sqref>
        </x14:conditionalFormatting>
        <x14:conditionalFormatting xmlns:xm="http://schemas.microsoft.com/office/excel/2006/main">
          <x14:cfRule type="expression" priority="3" id="{33CD6B42-3751-411C-852A-ED12294DFA64}">
            <xm:f>結果2面!$D$3=結果2面!$G$3-2</xm:f>
            <x14:dxf>
              <fill>
                <patternFill>
                  <bgColor theme="0" tint="-4.9989318521683403E-2"/>
                </patternFill>
              </fill>
            </x14:dxf>
          </x14:cfRule>
          <x14:cfRule type="expression" priority="12" id="{9B71E596-E6EC-4B8A-A5A6-FDB1986679EE}">
            <xm:f>結果2面!$D$3&lt;結果2面!$G$3-2</xm:f>
            <x14:dxf>
              <fill>
                <patternFill>
                  <bgColor theme="9" tint="0.79998168889431442"/>
                </patternFill>
              </fill>
            </x14:dxf>
          </x14:cfRule>
          <xm:sqref>R11:S11</xm:sqref>
        </x14:conditionalFormatting>
        <x14:conditionalFormatting xmlns:xm="http://schemas.microsoft.com/office/excel/2006/main">
          <x14:cfRule type="expression" priority="2" id="{AB519711-E695-4986-8815-15F0942D4BD3}">
            <xm:f>結果2面!$D$3=結果2面!$G$3-3</xm:f>
            <x14:dxf>
              <fill>
                <patternFill>
                  <bgColor theme="0" tint="-4.9989318521683403E-2"/>
                </patternFill>
              </fill>
            </x14:dxf>
          </x14:cfRule>
          <x14:cfRule type="expression" priority="11" id="{16D88AC5-FDAF-43E5-B70C-0FACDE981AB3}">
            <xm:f>結果2面!$D$3&lt;結果2面!$G$3-3</xm:f>
            <x14:dxf>
              <fill>
                <patternFill>
                  <bgColor theme="9" tint="0.79998168889431442"/>
                </patternFill>
              </fill>
            </x14:dxf>
          </x14:cfRule>
          <xm:sqref>F13:G13</xm:sqref>
        </x14:conditionalFormatting>
        <x14:conditionalFormatting xmlns:xm="http://schemas.microsoft.com/office/excel/2006/main">
          <x14:cfRule type="expression" priority="6" id="{27643576-88F0-4EB4-A4A0-CBC3C8E1FE87}">
            <xm:f>結果2面!$D$3=結果2面!$G$3-4</xm:f>
            <x14:dxf>
              <fill>
                <patternFill>
                  <bgColor theme="0" tint="-4.9989318521683403E-2"/>
                </patternFill>
              </fill>
            </x14:dxf>
          </x14:cfRule>
          <xm:sqref>J8:L8</xm:sqref>
        </x14:conditionalFormatting>
        <x14:conditionalFormatting xmlns:xm="http://schemas.microsoft.com/office/excel/2006/main">
          <x14:cfRule type="expression" priority="1" id="{37F687DF-4AD3-4C6C-B382-D363696426AF}">
            <xm:f>結果2面!$D$3=結果2面!$G$3-4</xm:f>
            <x14:dxf>
              <fill>
                <patternFill>
                  <bgColor theme="0" tint="-4.9989318521683403E-2"/>
                </patternFill>
              </fill>
            </x14:dxf>
          </x14:cfRule>
          <xm:sqref>J13:K13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V40"/>
  <sheetViews>
    <sheetView showGridLines="0" view="pageBreakPreview" zoomScaleNormal="85" zoomScaleSheetLayoutView="100" workbookViewId="0">
      <selection activeCell="D4" sqref="D4:J4"/>
    </sheetView>
  </sheetViews>
  <sheetFormatPr defaultColWidth="9" defaultRowHeight="13.2" outlineLevelCol="1"/>
  <cols>
    <col min="1" max="1" width="1.21875" style="39" customWidth="1"/>
    <col min="2" max="2" width="5" style="41" customWidth="1"/>
    <col min="3" max="3" width="3.77734375" style="41" customWidth="1"/>
    <col min="4" max="17" width="5.44140625" style="41" customWidth="1"/>
    <col min="18" max="18" width="31.21875" style="40" customWidth="1"/>
    <col min="19" max="20" width="9" style="40" hidden="1" customWidth="1" outlineLevel="1"/>
    <col min="21" max="21" width="3.21875" style="14" customWidth="1" collapsed="1"/>
    <col min="22" max="22" width="3.21875" style="14" customWidth="1"/>
    <col min="23" max="23" width="1.21875" style="39" customWidth="1"/>
    <col min="24" max="24" width="5" style="41" customWidth="1"/>
    <col min="25" max="25" width="3.77734375" style="41" customWidth="1"/>
    <col min="26" max="39" width="5.6640625" style="41" customWidth="1"/>
    <col min="40" max="40" width="4.33203125" style="41" customWidth="1"/>
    <col min="41" max="16384" width="9" style="41"/>
  </cols>
  <sheetData>
    <row r="1" spans="1:74" s="34" customFormat="1" ht="18.75" customHeight="1">
      <c r="A1" s="15" t="s">
        <v>47</v>
      </c>
      <c r="B1" s="15"/>
      <c r="C1" s="15"/>
      <c r="D1" s="15"/>
      <c r="E1" s="15"/>
      <c r="F1" s="15"/>
      <c r="G1" s="15"/>
      <c r="H1" s="15"/>
      <c r="I1" s="15"/>
      <c r="J1" s="15"/>
      <c r="K1" s="15"/>
      <c r="L1" s="15"/>
      <c r="M1" s="15"/>
      <c r="N1" s="15"/>
      <c r="O1" s="15"/>
      <c r="P1" s="15"/>
      <c r="Q1" s="75">
        <f>結果1面!$M$11</f>
        <v>0</v>
      </c>
      <c r="R1" s="113"/>
      <c r="S1" s="114" t="s">
        <v>3614</v>
      </c>
      <c r="T1" s="114" t="s">
        <v>3608</v>
      </c>
      <c r="U1" s="46"/>
      <c r="V1" s="46"/>
      <c r="W1" s="1264" t="s">
        <v>47</v>
      </c>
      <c r="X1" s="1264"/>
      <c r="Y1" s="1264"/>
      <c r="Z1" s="1264"/>
      <c r="AA1" s="1264"/>
      <c r="AB1" s="1264"/>
      <c r="AC1" s="1264"/>
      <c r="AD1" s="1264"/>
      <c r="AE1" s="1264"/>
      <c r="AF1" s="1264"/>
      <c r="AG1" s="1264"/>
      <c r="AH1" s="1264"/>
      <c r="AI1" s="1264"/>
      <c r="AJ1" s="1264"/>
      <c r="AK1" s="1264"/>
      <c r="AL1" s="1264"/>
      <c r="AM1" s="1264"/>
      <c r="BV1" s="34" t="s">
        <v>163</v>
      </c>
    </row>
    <row r="2" spans="1:74" s="34" customFormat="1" ht="12.6" thickBot="1">
      <c r="A2" s="1223" t="s">
        <v>3596</v>
      </c>
      <c r="B2" s="1223"/>
      <c r="C2" s="1223"/>
      <c r="D2" s="1223"/>
      <c r="E2" s="1223"/>
      <c r="F2" s="1223"/>
      <c r="G2" s="1223"/>
      <c r="H2" s="1223"/>
      <c r="I2" s="1223"/>
      <c r="J2" s="1223"/>
      <c r="K2" s="1223"/>
      <c r="L2" s="1223"/>
      <c r="M2" s="1223"/>
      <c r="N2" s="1223"/>
      <c r="O2" s="1223"/>
      <c r="P2" s="1223"/>
      <c r="Q2" s="1223"/>
      <c r="R2" s="38"/>
      <c r="S2" s="38"/>
      <c r="T2" s="38"/>
      <c r="U2" s="14"/>
      <c r="V2" s="14"/>
      <c r="W2" s="1223" t="s">
        <v>3596</v>
      </c>
      <c r="X2" s="1223"/>
      <c r="Y2" s="1223"/>
      <c r="Z2" s="1223"/>
      <c r="AA2" s="1223"/>
      <c r="AB2" s="1223"/>
      <c r="AC2" s="1223"/>
      <c r="AD2" s="1223"/>
      <c r="AE2" s="1223"/>
      <c r="AF2" s="1223"/>
      <c r="AG2" s="1223"/>
      <c r="AH2" s="1223"/>
      <c r="AI2" s="1223"/>
      <c r="AJ2" s="1223"/>
      <c r="AK2" s="1223"/>
      <c r="AL2" s="1223"/>
      <c r="AM2" s="1223"/>
    </row>
    <row r="3" spans="1:74" ht="16.95" customHeight="1">
      <c r="A3" s="1226"/>
      <c r="B3" s="1166" t="s">
        <v>3597</v>
      </c>
      <c r="C3" s="1168"/>
      <c r="D3" s="1513" t="s">
        <v>11</v>
      </c>
      <c r="E3" s="1513"/>
      <c r="F3" s="1513"/>
      <c r="G3" s="1513"/>
      <c r="H3" s="1513"/>
      <c r="I3" s="1513"/>
      <c r="J3" s="1513"/>
      <c r="K3" s="1513" t="s">
        <v>18</v>
      </c>
      <c r="L3" s="1513"/>
      <c r="M3" s="1513"/>
      <c r="N3" s="1513"/>
      <c r="O3" s="1513"/>
      <c r="P3" s="1513"/>
      <c r="Q3" s="1514"/>
      <c r="R3" s="138" t="str">
        <f>結果1面!$Z$1</f>
        <v>2025ver5</v>
      </c>
      <c r="U3" s="28"/>
      <c r="V3" s="31"/>
      <c r="W3" s="1226"/>
      <c r="X3" s="1166" t="s">
        <v>3597</v>
      </c>
      <c r="Y3" s="1168"/>
      <c r="Z3" s="1513" t="s">
        <v>11</v>
      </c>
      <c r="AA3" s="1513"/>
      <c r="AB3" s="1513"/>
      <c r="AC3" s="1513"/>
      <c r="AD3" s="1513"/>
      <c r="AE3" s="1513"/>
      <c r="AF3" s="1513"/>
      <c r="AG3" s="1513" t="s">
        <v>18</v>
      </c>
      <c r="AH3" s="1513"/>
      <c r="AI3" s="1513"/>
      <c r="AJ3" s="1513"/>
      <c r="AK3" s="1513"/>
      <c r="AL3" s="1513"/>
      <c r="AM3" s="1514"/>
    </row>
    <row r="4" spans="1:74" s="34" customFormat="1" ht="360.6" customHeight="1">
      <c r="A4" s="1226"/>
      <c r="B4" s="1496"/>
      <c r="C4" s="1497"/>
      <c r="D4" s="1580"/>
      <c r="E4" s="1581"/>
      <c r="F4" s="1581"/>
      <c r="G4" s="1581"/>
      <c r="H4" s="1581"/>
      <c r="I4" s="1581"/>
      <c r="J4" s="1581"/>
      <c r="K4" s="1580"/>
      <c r="L4" s="1581"/>
      <c r="M4" s="1581"/>
      <c r="N4" s="1581"/>
      <c r="O4" s="1581"/>
      <c r="P4" s="1581"/>
      <c r="Q4" s="1584"/>
      <c r="R4" s="38"/>
      <c r="S4" s="38"/>
      <c r="T4" s="38"/>
      <c r="U4" s="16"/>
      <c r="V4" s="16"/>
      <c r="W4" s="1226"/>
      <c r="X4" s="1496"/>
      <c r="Y4" s="1497"/>
      <c r="Z4" s="1585" t="s">
        <v>3719</v>
      </c>
      <c r="AA4" s="1586"/>
      <c r="AB4" s="1586"/>
      <c r="AC4" s="1586"/>
      <c r="AD4" s="1586"/>
      <c r="AE4" s="1586"/>
      <c r="AF4" s="1586"/>
      <c r="AG4" s="1585" t="s">
        <v>3725</v>
      </c>
      <c r="AH4" s="1586"/>
      <c r="AI4" s="1586"/>
      <c r="AJ4" s="1586"/>
      <c r="AK4" s="1586"/>
      <c r="AL4" s="1586"/>
      <c r="AM4" s="1587"/>
    </row>
    <row r="5" spans="1:74" ht="16.95" customHeight="1">
      <c r="A5" s="1226"/>
      <c r="B5" s="1166" t="s">
        <v>3598</v>
      </c>
      <c r="C5" s="1168"/>
      <c r="D5" s="1513" t="s">
        <v>11</v>
      </c>
      <c r="E5" s="1513"/>
      <c r="F5" s="1513"/>
      <c r="G5" s="1513"/>
      <c r="H5" s="1513"/>
      <c r="I5" s="1513"/>
      <c r="J5" s="1513"/>
      <c r="K5" s="1513" t="s">
        <v>18</v>
      </c>
      <c r="L5" s="1513"/>
      <c r="M5" s="1513"/>
      <c r="N5" s="1513"/>
      <c r="O5" s="1513"/>
      <c r="P5" s="1513"/>
      <c r="Q5" s="1514"/>
      <c r="W5" s="1226"/>
      <c r="X5" s="1166" t="s">
        <v>3598</v>
      </c>
      <c r="Y5" s="1168"/>
      <c r="Z5" s="1513" t="s">
        <v>11</v>
      </c>
      <c r="AA5" s="1513"/>
      <c r="AB5" s="1513"/>
      <c r="AC5" s="1513"/>
      <c r="AD5" s="1513"/>
      <c r="AE5" s="1513"/>
      <c r="AF5" s="1513"/>
      <c r="AG5" s="1513" t="s">
        <v>18</v>
      </c>
      <c r="AH5" s="1513"/>
      <c r="AI5" s="1513"/>
      <c r="AJ5" s="1513"/>
      <c r="AK5" s="1513"/>
      <c r="AL5" s="1513"/>
      <c r="AM5" s="1514"/>
    </row>
    <row r="6" spans="1:74" s="34" customFormat="1" ht="255" customHeight="1">
      <c r="A6" s="1226"/>
      <c r="B6" s="1496"/>
      <c r="C6" s="1497"/>
      <c r="D6" s="1580"/>
      <c r="E6" s="1581"/>
      <c r="F6" s="1581"/>
      <c r="G6" s="1581"/>
      <c r="H6" s="1581"/>
      <c r="I6" s="1581"/>
      <c r="J6" s="1581"/>
      <c r="K6" s="1580"/>
      <c r="L6" s="1581"/>
      <c r="M6" s="1581"/>
      <c r="N6" s="1581"/>
      <c r="O6" s="1581"/>
      <c r="P6" s="1581"/>
      <c r="Q6" s="1584"/>
      <c r="R6" s="38"/>
      <c r="S6" s="38"/>
      <c r="T6" s="38"/>
      <c r="U6" s="16"/>
      <c r="V6" s="16"/>
      <c r="W6" s="1226"/>
      <c r="X6" s="1496"/>
      <c r="Y6" s="1497"/>
      <c r="Z6" s="1585" t="s">
        <v>3716</v>
      </c>
      <c r="AA6" s="1586"/>
      <c r="AB6" s="1586"/>
      <c r="AC6" s="1586"/>
      <c r="AD6" s="1586"/>
      <c r="AE6" s="1586"/>
      <c r="AF6" s="1586"/>
      <c r="AG6" s="1585" t="s">
        <v>3718</v>
      </c>
      <c r="AH6" s="1586"/>
      <c r="AI6" s="1586"/>
      <c r="AJ6" s="1586"/>
      <c r="AK6" s="1586"/>
      <c r="AL6" s="1586"/>
      <c r="AM6" s="1587"/>
    </row>
    <row r="7" spans="1:74" ht="16.95" customHeight="1">
      <c r="A7" s="1226"/>
      <c r="B7" s="1166" t="s">
        <v>216</v>
      </c>
      <c r="C7" s="1168"/>
      <c r="D7" s="1513" t="s">
        <v>11</v>
      </c>
      <c r="E7" s="1513"/>
      <c r="F7" s="1513"/>
      <c r="G7" s="1513"/>
      <c r="H7" s="1513"/>
      <c r="I7" s="1513"/>
      <c r="J7" s="1513"/>
      <c r="K7" s="1513" t="s">
        <v>18</v>
      </c>
      <c r="L7" s="1513"/>
      <c r="M7" s="1513"/>
      <c r="N7" s="1513"/>
      <c r="O7" s="1513"/>
      <c r="P7" s="1513"/>
      <c r="Q7" s="1514"/>
      <c r="U7" s="16"/>
      <c r="V7" s="16"/>
      <c r="W7" s="1226"/>
      <c r="X7" s="1166" t="s">
        <v>216</v>
      </c>
      <c r="Y7" s="1168"/>
      <c r="Z7" s="1513" t="s">
        <v>11</v>
      </c>
      <c r="AA7" s="1513"/>
      <c r="AB7" s="1513"/>
      <c r="AC7" s="1513"/>
      <c r="AD7" s="1513"/>
      <c r="AE7" s="1513"/>
      <c r="AF7" s="1513"/>
      <c r="AG7" s="1513" t="s">
        <v>18</v>
      </c>
      <c r="AH7" s="1513"/>
      <c r="AI7" s="1513"/>
      <c r="AJ7" s="1513"/>
      <c r="AK7" s="1513"/>
      <c r="AL7" s="1513"/>
      <c r="AM7" s="1514"/>
    </row>
    <row r="8" spans="1:74" s="34" customFormat="1" ht="91.8" customHeight="1" thickBot="1">
      <c r="A8" s="1226"/>
      <c r="B8" s="1496"/>
      <c r="C8" s="1497"/>
      <c r="D8" s="1580"/>
      <c r="E8" s="1581"/>
      <c r="F8" s="1581"/>
      <c r="G8" s="1581"/>
      <c r="H8" s="1581"/>
      <c r="I8" s="1581"/>
      <c r="J8" s="1581"/>
      <c r="K8" s="1581"/>
      <c r="L8" s="1581"/>
      <c r="M8" s="1581"/>
      <c r="N8" s="1581"/>
      <c r="O8" s="1581"/>
      <c r="P8" s="1581"/>
      <c r="Q8" s="1584"/>
      <c r="R8" s="38"/>
      <c r="S8" s="38"/>
      <c r="T8" s="38"/>
      <c r="U8" s="83"/>
      <c r="V8" s="19"/>
      <c r="W8" s="1226"/>
      <c r="X8" s="1496"/>
      <c r="Y8" s="1497"/>
      <c r="Z8" s="1585" t="s">
        <v>3638</v>
      </c>
      <c r="AA8" s="1586"/>
      <c r="AB8" s="1586"/>
      <c r="AC8" s="1586"/>
      <c r="AD8" s="1586"/>
      <c r="AE8" s="1586"/>
      <c r="AF8" s="1586"/>
      <c r="AG8" s="1586" t="s">
        <v>230</v>
      </c>
      <c r="AH8" s="1586"/>
      <c r="AI8" s="1586"/>
      <c r="AJ8" s="1586"/>
      <c r="AK8" s="1586"/>
      <c r="AL8" s="1586"/>
      <c r="AM8" s="1587"/>
    </row>
    <row r="9" spans="1:74" s="34" customFormat="1" ht="12">
      <c r="A9" s="1400" t="s">
        <v>160</v>
      </c>
      <c r="B9" s="1400"/>
      <c r="C9" s="1400"/>
      <c r="D9" s="1400"/>
      <c r="E9" s="1400"/>
      <c r="F9" s="1400"/>
      <c r="G9" s="1400"/>
      <c r="H9" s="1400"/>
      <c r="I9" s="1400"/>
      <c r="J9" s="1400"/>
      <c r="K9" s="1400"/>
      <c r="L9" s="1400"/>
      <c r="M9" s="1400"/>
      <c r="N9" s="1400"/>
      <c r="O9" s="1400"/>
      <c r="P9" s="1400"/>
      <c r="Q9" s="1400"/>
      <c r="R9" s="38"/>
      <c r="S9" s="38"/>
      <c r="T9" s="38"/>
      <c r="U9" s="16"/>
      <c r="V9" s="16"/>
      <c r="W9" s="1400" t="s">
        <v>160</v>
      </c>
      <c r="X9" s="1400"/>
      <c r="Y9" s="1400"/>
      <c r="Z9" s="1400"/>
      <c r="AA9" s="1400"/>
      <c r="AB9" s="1400"/>
      <c r="AC9" s="1400"/>
      <c r="AD9" s="1400"/>
      <c r="AE9" s="1400"/>
      <c r="AF9" s="1400"/>
      <c r="AG9" s="1400"/>
      <c r="AH9" s="1400"/>
      <c r="AI9" s="1400"/>
      <c r="AJ9" s="1400"/>
      <c r="AK9" s="1400"/>
      <c r="AL9" s="1400"/>
      <c r="AM9" s="1400"/>
    </row>
    <row r="10" spans="1:74" ht="16.95" customHeight="1" thickBot="1">
      <c r="A10" s="1226"/>
      <c r="B10" s="1574" t="s">
        <v>3600</v>
      </c>
      <c r="C10" s="1575"/>
      <c r="D10" s="1513" t="s">
        <v>11</v>
      </c>
      <c r="E10" s="1513"/>
      <c r="F10" s="1513"/>
      <c r="G10" s="1513"/>
      <c r="H10" s="1513"/>
      <c r="I10" s="1513"/>
      <c r="J10" s="1513"/>
      <c r="K10" s="1513" t="s">
        <v>18</v>
      </c>
      <c r="L10" s="1513"/>
      <c r="M10" s="1513"/>
      <c r="N10" s="1513"/>
      <c r="O10" s="1513"/>
      <c r="P10" s="1513"/>
      <c r="Q10" s="1514"/>
      <c r="U10" s="16"/>
      <c r="V10" s="16"/>
      <c r="W10" s="1259"/>
      <c r="X10" s="1592" t="s">
        <v>3600</v>
      </c>
      <c r="Y10" s="1216"/>
      <c r="Z10" s="1513" t="s">
        <v>11</v>
      </c>
      <c r="AA10" s="1513"/>
      <c r="AB10" s="1513"/>
      <c r="AC10" s="1513"/>
      <c r="AD10" s="1513"/>
      <c r="AE10" s="1513"/>
      <c r="AF10" s="1513"/>
      <c r="AG10" s="1513" t="s">
        <v>18</v>
      </c>
      <c r="AH10" s="1513"/>
      <c r="AI10" s="1513"/>
      <c r="AJ10" s="1513"/>
      <c r="AK10" s="1513"/>
      <c r="AL10" s="1513"/>
      <c r="AM10" s="1514"/>
    </row>
    <row r="11" spans="1:74" s="34" customFormat="1" ht="300" customHeight="1">
      <c r="A11" s="1226"/>
      <c r="B11" s="1576"/>
      <c r="C11" s="1577"/>
      <c r="D11" s="1572"/>
      <c r="E11" s="1572"/>
      <c r="F11" s="1572"/>
      <c r="G11" s="1572"/>
      <c r="H11" s="1572"/>
      <c r="I11" s="1572"/>
      <c r="J11" s="1572"/>
      <c r="K11" s="1572"/>
      <c r="L11" s="1572"/>
      <c r="M11" s="1572"/>
      <c r="N11" s="1572"/>
      <c r="O11" s="1572"/>
      <c r="P11" s="1572"/>
      <c r="Q11" s="1573"/>
      <c r="R11" s="38"/>
      <c r="S11" s="38"/>
      <c r="T11" s="38"/>
      <c r="U11" s="28"/>
      <c r="V11" s="31"/>
      <c r="W11" s="1259"/>
      <c r="X11" s="1404"/>
      <c r="Y11" s="1219"/>
      <c r="Z11" s="1588"/>
      <c r="AA11" s="1588"/>
      <c r="AB11" s="1588"/>
      <c r="AC11" s="1588"/>
      <c r="AD11" s="1588"/>
      <c r="AE11" s="1588"/>
      <c r="AF11" s="1588"/>
      <c r="AG11" s="1588"/>
      <c r="AH11" s="1588"/>
      <c r="AI11" s="1588"/>
      <c r="AJ11" s="1588"/>
      <c r="AK11" s="1588"/>
      <c r="AL11" s="1588"/>
      <c r="AM11" s="1589"/>
    </row>
    <row r="12" spans="1:74" s="34" customFormat="1" ht="300" customHeight="1" thickBot="1">
      <c r="A12" s="91"/>
      <c r="B12" s="1578"/>
      <c r="C12" s="1579"/>
      <c r="D12" s="1582"/>
      <c r="E12" s="1582"/>
      <c r="F12" s="1582"/>
      <c r="G12" s="1582"/>
      <c r="H12" s="1582"/>
      <c r="I12" s="1582"/>
      <c r="J12" s="1582"/>
      <c r="K12" s="1582"/>
      <c r="L12" s="1582"/>
      <c r="M12" s="1582"/>
      <c r="N12" s="1582"/>
      <c r="O12" s="1582"/>
      <c r="P12" s="1582"/>
      <c r="Q12" s="1583"/>
      <c r="R12" s="38"/>
      <c r="S12" s="38"/>
      <c r="T12" s="38"/>
      <c r="U12" s="17"/>
      <c r="V12" s="31"/>
      <c r="W12" s="91"/>
      <c r="X12" s="1593"/>
      <c r="Y12" s="1594"/>
      <c r="Z12" s="1590"/>
      <c r="AA12" s="1590"/>
      <c r="AB12" s="1590"/>
      <c r="AC12" s="1590"/>
      <c r="AD12" s="1590"/>
      <c r="AE12" s="1590"/>
      <c r="AF12" s="1590"/>
      <c r="AG12" s="1590"/>
      <c r="AH12" s="1590"/>
      <c r="AI12" s="1590"/>
      <c r="AJ12" s="1590"/>
      <c r="AK12" s="1590"/>
      <c r="AL12" s="1590"/>
      <c r="AM12" s="1591"/>
    </row>
    <row r="13" spans="1:74" s="34" customFormat="1" ht="12">
      <c r="A13" s="1400" t="s">
        <v>161</v>
      </c>
      <c r="B13" s="1400"/>
      <c r="C13" s="1400"/>
      <c r="D13" s="1400"/>
      <c r="E13" s="1400"/>
      <c r="F13" s="1400"/>
      <c r="G13" s="1400"/>
      <c r="H13" s="1400"/>
      <c r="I13" s="1400"/>
      <c r="J13" s="1400"/>
      <c r="K13" s="1400"/>
      <c r="L13" s="1400"/>
      <c r="M13" s="1400"/>
      <c r="N13" s="1400"/>
      <c r="O13" s="1400"/>
      <c r="P13" s="1400"/>
      <c r="Q13" s="1400"/>
      <c r="R13" s="38"/>
      <c r="S13" s="38"/>
      <c r="T13" s="38"/>
      <c r="U13" s="14"/>
      <c r="V13" s="14"/>
      <c r="W13" s="1400" t="s">
        <v>161</v>
      </c>
      <c r="X13" s="1400"/>
      <c r="Y13" s="1400"/>
      <c r="Z13" s="1400"/>
      <c r="AA13" s="1400"/>
      <c r="AB13" s="1400"/>
      <c r="AC13" s="1400"/>
      <c r="AD13" s="1400"/>
      <c r="AE13" s="1400"/>
      <c r="AF13" s="1400"/>
      <c r="AG13" s="1400"/>
      <c r="AH13" s="1400"/>
      <c r="AI13" s="1400"/>
      <c r="AJ13" s="1400"/>
      <c r="AK13" s="1400"/>
      <c r="AL13" s="1400"/>
      <c r="AM13" s="1400"/>
    </row>
    <row r="14" spans="1:74" ht="16.95" customHeight="1" thickBot="1">
      <c r="A14" s="1259"/>
      <c r="B14" s="1574" t="s">
        <v>3599</v>
      </c>
      <c r="C14" s="1575"/>
      <c r="D14" s="1513" t="s">
        <v>11</v>
      </c>
      <c r="E14" s="1513"/>
      <c r="F14" s="1513"/>
      <c r="G14" s="1513"/>
      <c r="H14" s="1513"/>
      <c r="I14" s="1513"/>
      <c r="J14" s="1513"/>
      <c r="K14" s="1513" t="s">
        <v>18</v>
      </c>
      <c r="L14" s="1513"/>
      <c r="M14" s="1513"/>
      <c r="N14" s="1513"/>
      <c r="O14" s="1513"/>
      <c r="P14" s="1513"/>
      <c r="Q14" s="1514"/>
      <c r="W14" s="1226"/>
      <c r="X14" s="1574" t="s">
        <v>3599</v>
      </c>
      <c r="Y14" s="1575"/>
      <c r="Z14" s="1513" t="s">
        <v>11</v>
      </c>
      <c r="AA14" s="1513"/>
      <c r="AB14" s="1513"/>
      <c r="AC14" s="1513"/>
      <c r="AD14" s="1513"/>
      <c r="AE14" s="1513"/>
      <c r="AF14" s="1513"/>
      <c r="AG14" s="1513" t="s">
        <v>18</v>
      </c>
      <c r="AH14" s="1513"/>
      <c r="AI14" s="1513"/>
      <c r="AJ14" s="1513"/>
      <c r="AK14" s="1513"/>
      <c r="AL14" s="1513"/>
      <c r="AM14" s="1514"/>
    </row>
    <row r="15" spans="1:74" s="34" customFormat="1" ht="299.25" customHeight="1">
      <c r="A15" s="1259"/>
      <c r="B15" s="1576"/>
      <c r="C15" s="1577"/>
      <c r="D15" s="1572"/>
      <c r="E15" s="1572"/>
      <c r="F15" s="1572"/>
      <c r="G15" s="1572"/>
      <c r="H15" s="1572"/>
      <c r="I15" s="1572"/>
      <c r="J15" s="1572"/>
      <c r="K15" s="1572"/>
      <c r="L15" s="1572"/>
      <c r="M15" s="1572"/>
      <c r="N15" s="1572"/>
      <c r="O15" s="1572"/>
      <c r="P15" s="1572"/>
      <c r="Q15" s="1573"/>
      <c r="R15" s="38"/>
      <c r="S15" s="38"/>
      <c r="T15" s="38"/>
      <c r="U15" s="28"/>
      <c r="V15" s="31"/>
      <c r="W15" s="1226"/>
      <c r="X15" s="1576"/>
      <c r="Y15" s="1577"/>
      <c r="Z15" s="1588"/>
      <c r="AA15" s="1588"/>
      <c r="AB15" s="1588"/>
      <c r="AC15" s="1588"/>
      <c r="AD15" s="1588"/>
      <c r="AE15" s="1588"/>
      <c r="AF15" s="1588"/>
      <c r="AG15" s="1588"/>
      <c r="AH15" s="1588"/>
      <c r="AI15" s="1588"/>
      <c r="AJ15" s="1588"/>
      <c r="AK15" s="1588"/>
      <c r="AL15" s="1588"/>
      <c r="AM15" s="1589"/>
    </row>
    <row r="16" spans="1:74" s="34" customFormat="1" ht="300" customHeight="1" thickBot="1">
      <c r="A16" s="91"/>
      <c r="B16" s="1578"/>
      <c r="C16" s="1579"/>
      <c r="D16" s="1582"/>
      <c r="E16" s="1582"/>
      <c r="F16" s="1582"/>
      <c r="G16" s="1582"/>
      <c r="H16" s="1582"/>
      <c r="I16" s="1582"/>
      <c r="J16" s="1582"/>
      <c r="K16" s="1582"/>
      <c r="L16" s="1582"/>
      <c r="M16" s="1582"/>
      <c r="N16" s="1582"/>
      <c r="O16" s="1582"/>
      <c r="P16" s="1582"/>
      <c r="Q16" s="1583"/>
      <c r="R16" s="38"/>
      <c r="S16" s="38"/>
      <c r="T16" s="38"/>
      <c r="U16" s="17"/>
      <c r="V16" s="31"/>
      <c r="W16" s="91"/>
      <c r="X16" s="1578"/>
      <c r="Y16" s="1579"/>
      <c r="Z16" s="1590"/>
      <c r="AA16" s="1590"/>
      <c r="AB16" s="1590"/>
      <c r="AC16" s="1590"/>
      <c r="AD16" s="1590"/>
      <c r="AE16" s="1590"/>
      <c r="AF16" s="1590"/>
      <c r="AG16" s="1590"/>
      <c r="AH16" s="1590"/>
      <c r="AI16" s="1590"/>
      <c r="AJ16" s="1590"/>
      <c r="AK16" s="1590"/>
      <c r="AL16" s="1590"/>
      <c r="AM16" s="1591"/>
    </row>
    <row r="17" spans="1:39" s="34" customFormat="1" ht="12">
      <c r="A17" s="1400" t="s">
        <v>162</v>
      </c>
      <c r="B17" s="1400"/>
      <c r="C17" s="1400"/>
      <c r="D17" s="1400"/>
      <c r="E17" s="1400"/>
      <c r="F17" s="1400"/>
      <c r="G17" s="1400"/>
      <c r="H17" s="1400"/>
      <c r="I17" s="1400"/>
      <c r="J17" s="1400"/>
      <c r="K17" s="1400"/>
      <c r="L17" s="1400"/>
      <c r="M17" s="1400"/>
      <c r="N17" s="1400"/>
      <c r="O17" s="1400"/>
      <c r="P17" s="1400"/>
      <c r="Q17" s="1400"/>
      <c r="R17" s="38"/>
      <c r="S17" s="38"/>
      <c r="T17" s="38"/>
      <c r="U17" s="14"/>
      <c r="V17" s="14"/>
      <c r="W17" s="1400" t="s">
        <v>162</v>
      </c>
      <c r="X17" s="1400"/>
      <c r="Y17" s="1400"/>
      <c r="Z17" s="1400"/>
      <c r="AA17" s="1400"/>
      <c r="AB17" s="1400"/>
      <c r="AC17" s="1400"/>
      <c r="AD17" s="1400"/>
      <c r="AE17" s="1400"/>
      <c r="AF17" s="1400"/>
      <c r="AG17" s="1400"/>
      <c r="AH17" s="1400"/>
      <c r="AI17" s="1400"/>
      <c r="AJ17" s="1400"/>
      <c r="AK17" s="1400"/>
      <c r="AL17" s="1400"/>
      <c r="AM17" s="1400"/>
    </row>
    <row r="18" spans="1:39" ht="16.95" customHeight="1" thickBot="1">
      <c r="A18" s="1226"/>
      <c r="B18" s="1574" t="s">
        <v>216</v>
      </c>
      <c r="C18" s="1178"/>
      <c r="D18" s="1513" t="s">
        <v>11</v>
      </c>
      <c r="E18" s="1513"/>
      <c r="F18" s="1513"/>
      <c r="G18" s="1513"/>
      <c r="H18" s="1513"/>
      <c r="I18" s="1513"/>
      <c r="J18" s="1513"/>
      <c r="K18" s="1513" t="s">
        <v>18</v>
      </c>
      <c r="L18" s="1513"/>
      <c r="M18" s="1513"/>
      <c r="N18" s="1513"/>
      <c r="O18" s="1513"/>
      <c r="P18" s="1513"/>
      <c r="Q18" s="1514"/>
      <c r="U18" s="22"/>
      <c r="V18" s="22"/>
      <c r="W18" s="1259"/>
      <c r="X18" s="1574" t="s">
        <v>216</v>
      </c>
      <c r="Y18" s="1178"/>
      <c r="Z18" s="1513" t="s">
        <v>11</v>
      </c>
      <c r="AA18" s="1513"/>
      <c r="AB18" s="1513"/>
      <c r="AC18" s="1513"/>
      <c r="AD18" s="1513"/>
      <c r="AE18" s="1513"/>
      <c r="AF18" s="1513"/>
      <c r="AG18" s="1513" t="s">
        <v>18</v>
      </c>
      <c r="AH18" s="1513"/>
      <c r="AI18" s="1513"/>
      <c r="AJ18" s="1513"/>
      <c r="AK18" s="1513"/>
      <c r="AL18" s="1513"/>
      <c r="AM18" s="1514"/>
    </row>
    <row r="19" spans="1:39" s="34" customFormat="1" ht="300" customHeight="1">
      <c r="A19" s="1226"/>
      <c r="B19" s="1576"/>
      <c r="C19" s="1595"/>
      <c r="D19" s="1572"/>
      <c r="E19" s="1572"/>
      <c r="F19" s="1572"/>
      <c r="G19" s="1572"/>
      <c r="H19" s="1572"/>
      <c r="I19" s="1572"/>
      <c r="J19" s="1572"/>
      <c r="K19" s="1572"/>
      <c r="L19" s="1572"/>
      <c r="M19" s="1572"/>
      <c r="N19" s="1572"/>
      <c r="O19" s="1572"/>
      <c r="P19" s="1572"/>
      <c r="Q19" s="1573"/>
      <c r="R19" s="38"/>
      <c r="S19" s="38"/>
      <c r="T19" s="38"/>
      <c r="U19" s="111"/>
      <c r="V19" s="84"/>
      <c r="W19" s="1259"/>
      <c r="X19" s="1576"/>
      <c r="Y19" s="1595"/>
      <c r="Z19" s="1588"/>
      <c r="AA19" s="1588"/>
      <c r="AB19" s="1588"/>
      <c r="AC19" s="1588"/>
      <c r="AD19" s="1588"/>
      <c r="AE19" s="1588"/>
      <c r="AF19" s="1588"/>
      <c r="AG19" s="1588"/>
      <c r="AH19" s="1588"/>
      <c r="AI19" s="1588"/>
      <c r="AJ19" s="1588"/>
      <c r="AK19" s="1588"/>
      <c r="AL19" s="1588"/>
      <c r="AM19" s="1589"/>
    </row>
    <row r="20" spans="1:39" s="34" customFormat="1" ht="300" customHeight="1" thickBot="1">
      <c r="A20" s="91"/>
      <c r="B20" s="1578"/>
      <c r="C20" s="1200"/>
      <c r="D20" s="1582"/>
      <c r="E20" s="1582"/>
      <c r="F20" s="1582"/>
      <c r="G20" s="1582"/>
      <c r="H20" s="1582"/>
      <c r="I20" s="1582"/>
      <c r="J20" s="1582"/>
      <c r="K20" s="1582"/>
      <c r="L20" s="1582"/>
      <c r="M20" s="1582"/>
      <c r="N20" s="1582"/>
      <c r="O20" s="1582"/>
      <c r="P20" s="1582"/>
      <c r="Q20" s="1583"/>
      <c r="R20" s="38"/>
      <c r="S20" s="38"/>
      <c r="T20" s="38"/>
      <c r="U20" s="112"/>
      <c r="V20" s="84"/>
      <c r="W20" s="91"/>
      <c r="X20" s="1578"/>
      <c r="Y20" s="1200"/>
      <c r="Z20" s="1590"/>
      <c r="AA20" s="1590"/>
      <c r="AB20" s="1590"/>
      <c r="AC20" s="1590"/>
      <c r="AD20" s="1590"/>
      <c r="AE20" s="1590"/>
      <c r="AF20" s="1590"/>
      <c r="AG20" s="1590"/>
      <c r="AH20" s="1590"/>
      <c r="AI20" s="1590"/>
      <c r="AJ20" s="1590"/>
      <c r="AK20" s="1590"/>
      <c r="AL20" s="1590"/>
      <c r="AM20" s="1591"/>
    </row>
    <row r="21" spans="1:39" ht="12">
      <c r="A21" s="45"/>
      <c r="U21" s="22"/>
      <c r="V21" s="22"/>
      <c r="W21" s="45"/>
    </row>
    <row r="22" spans="1:39" ht="12">
      <c r="A22" s="45"/>
      <c r="U22" s="22"/>
      <c r="V22" s="22"/>
      <c r="W22" s="45"/>
    </row>
    <row r="23" spans="1:39" ht="12">
      <c r="A23" s="45"/>
      <c r="U23" s="22"/>
      <c r="V23" s="22"/>
      <c r="W23" s="45"/>
    </row>
    <row r="24" spans="1:39" ht="12">
      <c r="A24" s="34"/>
      <c r="W24" s="34"/>
    </row>
    <row r="25" spans="1:39" ht="12">
      <c r="A25" s="34"/>
      <c r="W25" s="34"/>
    </row>
    <row r="26" spans="1:39" ht="12">
      <c r="A26" s="34"/>
      <c r="W26" s="34"/>
    </row>
    <row r="27" spans="1:39" ht="12">
      <c r="A27" s="34"/>
      <c r="W27" s="34"/>
    </row>
    <row r="28" spans="1:39" ht="12">
      <c r="A28" s="34"/>
      <c r="W28" s="34"/>
    </row>
    <row r="29" spans="1:39" ht="12">
      <c r="A29" s="34"/>
      <c r="W29" s="34"/>
    </row>
    <row r="30" spans="1:39" ht="12">
      <c r="A30" s="34"/>
      <c r="U30" s="31"/>
      <c r="V30" s="31"/>
      <c r="W30" s="34"/>
    </row>
    <row r="31" spans="1:39" ht="12">
      <c r="A31" s="34"/>
      <c r="W31" s="34"/>
    </row>
    <row r="32" spans="1:39" ht="12">
      <c r="A32" s="34"/>
      <c r="W32" s="34"/>
    </row>
    <row r="33" spans="1:23" ht="12">
      <c r="A33" s="34"/>
      <c r="W33" s="34"/>
    </row>
    <row r="34" spans="1:23" ht="12">
      <c r="A34" s="34"/>
      <c r="U34" s="31"/>
      <c r="V34" s="31"/>
      <c r="W34" s="34"/>
    </row>
    <row r="35" spans="1:23" ht="12">
      <c r="A35" s="41"/>
      <c r="U35" s="19"/>
      <c r="V35" s="19"/>
      <c r="W35" s="41"/>
    </row>
    <row r="36" spans="1:23" ht="12">
      <c r="A36" s="41"/>
      <c r="U36" s="16"/>
      <c r="V36" s="16"/>
      <c r="W36" s="41"/>
    </row>
    <row r="37" spans="1:23" ht="12">
      <c r="A37" s="41"/>
      <c r="U37" s="16"/>
      <c r="V37" s="16"/>
      <c r="W37" s="41"/>
    </row>
    <row r="38" spans="1:23" ht="12">
      <c r="A38" s="41"/>
      <c r="U38" s="16"/>
      <c r="V38" s="16"/>
      <c r="W38" s="41"/>
    </row>
    <row r="39" spans="1:23" ht="12">
      <c r="A39" s="34"/>
      <c r="U39" s="16"/>
      <c r="V39" s="16"/>
      <c r="W39" s="34"/>
    </row>
    <row r="40" spans="1:23" ht="12">
      <c r="A40" s="34"/>
      <c r="W40" s="34"/>
    </row>
  </sheetData>
  <sheetProtection password="E7B8" sheet="1" formatCells="0"/>
  <mergeCells count="89">
    <mergeCell ref="Z12:AF12"/>
    <mergeCell ref="AG12:AM12"/>
    <mergeCell ref="X10:Y12"/>
    <mergeCell ref="X18:Y20"/>
    <mergeCell ref="B18:C20"/>
    <mergeCell ref="D16:J16"/>
    <mergeCell ref="K16:Q16"/>
    <mergeCell ref="Z16:AF16"/>
    <mergeCell ref="AG16:AM16"/>
    <mergeCell ref="Z20:AF20"/>
    <mergeCell ref="AG20:AM20"/>
    <mergeCell ref="D20:J20"/>
    <mergeCell ref="K20:Q20"/>
    <mergeCell ref="B14:C16"/>
    <mergeCell ref="W17:AM17"/>
    <mergeCell ref="W18:W19"/>
    <mergeCell ref="Z18:AF18"/>
    <mergeCell ref="AG18:AM18"/>
    <mergeCell ref="Z19:AF19"/>
    <mergeCell ref="AG19:AM19"/>
    <mergeCell ref="W13:AM13"/>
    <mergeCell ref="W14:W15"/>
    <mergeCell ref="Z14:AF14"/>
    <mergeCell ref="AG14:AM14"/>
    <mergeCell ref="Z15:AF15"/>
    <mergeCell ref="AG15:AM15"/>
    <mergeCell ref="X14:Y16"/>
    <mergeCell ref="Z8:AF8"/>
    <mergeCell ref="AG8:AM8"/>
    <mergeCell ref="W9:AM9"/>
    <mergeCell ref="W10:W11"/>
    <mergeCell ref="Z10:AF10"/>
    <mergeCell ref="AG10:AM10"/>
    <mergeCell ref="Z11:AF11"/>
    <mergeCell ref="AG11:AM11"/>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D12:J12"/>
    <mergeCell ref="K12:Q12"/>
    <mergeCell ref="A13:Q13"/>
    <mergeCell ref="D10:J10"/>
    <mergeCell ref="A2:Q2"/>
    <mergeCell ref="K6:Q6"/>
    <mergeCell ref="D7:J7"/>
    <mergeCell ref="K7:Q7"/>
    <mergeCell ref="B7:C8"/>
    <mergeCell ref="D8:J8"/>
    <mergeCell ref="K8:Q8"/>
    <mergeCell ref="K3:Q3"/>
    <mergeCell ref="D4:J4"/>
    <mergeCell ref="B3:C4"/>
    <mergeCell ref="D3:J3"/>
    <mergeCell ref="K4:Q4"/>
    <mergeCell ref="D5:J5"/>
    <mergeCell ref="K5:Q5"/>
    <mergeCell ref="D6:J6"/>
    <mergeCell ref="A9:Q9"/>
    <mergeCell ref="B5:C6"/>
    <mergeCell ref="A3:A8"/>
    <mergeCell ref="K10:Q10"/>
    <mergeCell ref="D11:J11"/>
    <mergeCell ref="K11:Q11"/>
    <mergeCell ref="A18:A19"/>
    <mergeCell ref="A17:Q17"/>
    <mergeCell ref="D18:J18"/>
    <mergeCell ref="K18:Q18"/>
    <mergeCell ref="D19:J19"/>
    <mergeCell ref="K19:Q19"/>
    <mergeCell ref="D15:J15"/>
    <mergeCell ref="K15:Q15"/>
    <mergeCell ref="D14:J14"/>
    <mergeCell ref="K14:Q14"/>
    <mergeCell ref="B10:C12"/>
    <mergeCell ref="A14:A15"/>
    <mergeCell ref="A10:A11"/>
  </mergeCells>
  <phoneticPr fontId="3"/>
  <dataValidations count="1">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alignWithMargins="0">
    <oddFooter xml:space="preserve">&amp;R
</oddFooter>
  </headerFooter>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17</xdr:col>
                    <xdr:colOff>167640</xdr:colOff>
                    <xdr:row>3</xdr:row>
                    <xdr:rowOff>266700</xdr:rowOff>
                  </from>
                  <to>
                    <xdr:col>17</xdr:col>
                    <xdr:colOff>548640</xdr:colOff>
                    <xdr:row>3</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17</xdr:col>
                    <xdr:colOff>99060</xdr:colOff>
                    <xdr:row>3</xdr:row>
                    <xdr:rowOff>3185160</xdr:rowOff>
                  </from>
                  <to>
                    <xdr:col>17</xdr:col>
                    <xdr:colOff>480060</xdr:colOff>
                    <xdr:row>3</xdr:row>
                    <xdr:rowOff>3528060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17</xdr:col>
                    <xdr:colOff>144780</xdr:colOff>
                    <xdr:row>3</xdr:row>
                    <xdr:rowOff>2385060</xdr:rowOff>
                  </from>
                  <to>
                    <xdr:col>17</xdr:col>
                    <xdr:colOff>525780</xdr:colOff>
                    <xdr:row>3</xdr:row>
                    <xdr:rowOff>2727960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17</xdr:col>
                    <xdr:colOff>114300</xdr:colOff>
                    <xdr:row>5</xdr:row>
                    <xdr:rowOff>83820</xdr:rowOff>
                  </from>
                  <to>
                    <xdr:col>17</xdr:col>
                    <xdr:colOff>495300</xdr:colOff>
                    <xdr:row>5</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57</vt:i4>
      </vt:variant>
    </vt:vector>
  </HeadingPairs>
  <TitlesOfParts>
    <vt:vector size="72" baseType="lpstr">
      <vt:lpstr>非表示_リスト(計画・実績報告)</vt:lpstr>
      <vt:lpstr>A.貼付_2025提出</vt:lpstr>
      <vt:lpstr>A.貼付_2026提出</vt:lpstr>
      <vt:lpstr>A.貼付_2027提出</vt:lpstr>
      <vt:lpstr>A.貼付_2028提出</vt:lpstr>
      <vt:lpstr>結果1面</vt:lpstr>
      <vt:lpstr>結果2面</vt:lpstr>
      <vt:lpstr>結果3面</vt:lpstr>
      <vt:lpstr>結果4面</vt:lpstr>
      <vt:lpstr>結果5面</vt:lpstr>
      <vt:lpstr>結果6面</vt:lpstr>
      <vt:lpstr>結果7面個別票</vt:lpstr>
      <vt:lpstr>結果8面個別票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結果1面!Print_Area</vt:lpstr>
      <vt:lpstr>結果2面!Print_Area</vt:lpstr>
      <vt:lpstr>結果3面!Print_Area</vt:lpstr>
      <vt:lpstr>結果4面!Print_Area</vt:lpstr>
      <vt:lpstr>結果5面!Print_Area</vt:lpstr>
      <vt:lpstr>結果6面!Print_Area</vt:lpstr>
      <vt:lpstr>結果7面個別票!Print_Area</vt:lpstr>
      <vt:lpstr>結果8面個別票!Print_Area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2020-05-22T04:15:52Z</dcterms:created>
  <dcterms:modified xsi:type="dcterms:W3CDTF">2025-09-19T08:03:12Z</dcterms:modified>
</cp:coreProperties>
</file>